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owx\Downloads\"/>
    </mc:Choice>
  </mc:AlternateContent>
  <xr:revisionPtr revIDLastSave="0" documentId="13_ncr:1_{14546900-6F5A-446B-A04A-FF711FC97B62}" xr6:coauthVersionLast="47" xr6:coauthVersionMax="47" xr10:uidLastSave="{00000000-0000-0000-0000-000000000000}"/>
  <bookViews>
    <workbookView xWindow="-108" yWindow="456" windowWidth="23256" windowHeight="13332" tabRatio="868" firstSheet="5" activeTab="6" xr2:uid="{00000000-000D-0000-FFFF-FFFF00000000}"/>
  </bookViews>
  <sheets>
    <sheet name="From" sheetId="38" r:id="rId1"/>
    <sheet name="D 31 Mar" sheetId="111" r:id="rId2"/>
    <sheet name="N 30 Mar" sheetId="110" r:id="rId3"/>
    <sheet name="D 30 Mar" sheetId="109" r:id="rId4"/>
    <sheet name="N 29 Mar" sheetId="108" r:id="rId5"/>
    <sheet name="D 28 Mar " sheetId="107" r:id="rId6"/>
    <sheet name="N 27 Mar" sheetId="106" r:id="rId7"/>
    <sheet name="D 27 Mar" sheetId="105" r:id="rId8"/>
    <sheet name="N 26 Mar" sheetId="104" r:id="rId9"/>
    <sheet name="D 26 Mar " sheetId="103" r:id="rId10"/>
    <sheet name="N 25 Mar" sheetId="102" r:id="rId11"/>
    <sheet name="D 25 Mar" sheetId="101" r:id="rId12"/>
    <sheet name="N 24 Mar" sheetId="100" r:id="rId13"/>
    <sheet name="D 24 Mar" sheetId="99" r:id="rId14"/>
    <sheet name="ยังไม่หั่น" sheetId="98" r:id="rId15"/>
    <sheet name="ของเหลือหั่น" sheetId="97" r:id="rId16"/>
    <sheet name="N 23 Mar" sheetId="96" r:id="rId17"/>
    <sheet name="D 23 Mar" sheetId="95" r:id="rId18"/>
    <sheet name="N 22 Mar" sheetId="94" r:id="rId19"/>
    <sheet name="D 21 Mar " sheetId="93" r:id="rId20"/>
    <sheet name="N 20 Mar" sheetId="92" r:id="rId21"/>
    <sheet name="D 20 Mar" sheetId="91" r:id="rId22"/>
    <sheet name="N 19 Mar" sheetId="90" r:id="rId23"/>
    <sheet name="D 19 Mar" sheetId="89" r:id="rId24"/>
    <sheet name="N 18 Mar" sheetId="88" r:id="rId25"/>
    <sheet name="D 18 Mar" sheetId="87" r:id="rId26"/>
    <sheet name="N 17 Mar" sheetId="86" r:id="rId27"/>
    <sheet name="D 17 Mar " sheetId="85" r:id="rId28"/>
    <sheet name="N 16 Mar" sheetId="83" r:id="rId29"/>
    <sheet name="D 16 Mar" sheetId="81" r:id="rId30"/>
    <sheet name="N 15 Mar" sheetId="80" r:id="rId31"/>
    <sheet name="D 14 Mar" sheetId="79" r:id="rId32"/>
    <sheet name="N 13 Mar" sheetId="78" r:id="rId33"/>
    <sheet name="D 13 Mar " sheetId="77" r:id="rId34"/>
    <sheet name="D 12 Mar" sheetId="75" r:id="rId35"/>
    <sheet name="N 11 Mar" sheetId="74" r:id="rId36"/>
    <sheet name="D 11 Mar" sheetId="73" r:id="rId37"/>
    <sheet name="N 12 Mar" sheetId="76" r:id="rId38"/>
    <sheet name="N 10 Mar" sheetId="72" r:id="rId39"/>
    <sheet name="D 10 Mar" sheetId="71" r:id="rId40"/>
    <sheet name="N 9 Mar" sheetId="70" r:id="rId41"/>
    <sheet name="D 9 Mar" sheetId="69" r:id="rId42"/>
    <sheet name="N 8 Mar" sheetId="68" r:id="rId43"/>
    <sheet name="D 7 Mar" sheetId="66" r:id="rId44"/>
    <sheet name="N 6 Mar" sheetId="65" r:id="rId45"/>
    <sheet name="D 6 Mar" sheetId="64" r:id="rId46"/>
    <sheet name="N 5 Mar" sheetId="63" r:id="rId47"/>
    <sheet name="D 5 Mar" sheetId="62" r:id="rId48"/>
    <sheet name="N 4 Mar" sheetId="61" r:id="rId49"/>
    <sheet name="D 4 Mar" sheetId="60" r:id="rId50"/>
    <sheet name="N 3 Mar" sheetId="59" r:id="rId51"/>
    <sheet name="D 3 Mar" sheetId="58" r:id="rId52"/>
    <sheet name="N 2 Mar" sheetId="57" r:id="rId53"/>
    <sheet name="D 2 Mar" sheetId="56" r:id="rId54"/>
    <sheet name="N 01 Mar" sheetId="55" r:id="rId5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4" i="111" l="1"/>
  <c r="K133" i="111"/>
  <c r="I124" i="111"/>
  <c r="L124" i="111" s="1"/>
  <c r="I125" i="111"/>
  <c r="L125" i="111" s="1"/>
  <c r="I126" i="111"/>
  <c r="L126" i="111" s="1"/>
  <c r="I127" i="111"/>
  <c r="L127" i="111" s="1"/>
  <c r="I128" i="111"/>
  <c r="L128" i="111" s="1"/>
  <c r="I129" i="111"/>
  <c r="L129" i="111" s="1"/>
  <c r="I130" i="111"/>
  <c r="L130" i="111" s="1"/>
  <c r="K132" i="111"/>
  <c r="K29" i="111"/>
  <c r="K27" i="111"/>
  <c r="I27" i="111"/>
  <c r="K92" i="111"/>
  <c r="K87" i="111"/>
  <c r="K86" i="111"/>
  <c r="K84" i="111"/>
  <c r="K83" i="111"/>
  <c r="K81" i="111"/>
  <c r="K80" i="111"/>
  <c r="K78" i="111"/>
  <c r="K77" i="111"/>
  <c r="K76" i="111"/>
  <c r="K75" i="111"/>
  <c r="K73" i="111"/>
  <c r="K72" i="111"/>
  <c r="K74" i="111"/>
  <c r="K79" i="111"/>
  <c r="K82" i="111"/>
  <c r="K85" i="111"/>
  <c r="K88" i="111"/>
  <c r="K89" i="111"/>
  <c r="K90" i="111"/>
  <c r="K91" i="111"/>
  <c r="K71" i="111"/>
  <c r="I77" i="111"/>
  <c r="I60" i="111"/>
  <c r="L60" i="111" s="1"/>
  <c r="I61" i="111"/>
  <c r="L61" i="111" s="1"/>
  <c r="I62" i="111"/>
  <c r="L62" i="111" s="1"/>
  <c r="I63" i="111"/>
  <c r="L63" i="111" s="1"/>
  <c r="I64" i="111"/>
  <c r="L64" i="111" s="1"/>
  <c r="I65" i="111"/>
  <c r="L65" i="111" s="1"/>
  <c r="I66" i="111"/>
  <c r="L66" i="111" s="1"/>
  <c r="I67" i="111"/>
  <c r="L67" i="111" s="1"/>
  <c r="I68" i="111"/>
  <c r="L68" i="111" s="1"/>
  <c r="I69" i="111"/>
  <c r="L69" i="111" s="1"/>
  <c r="I70" i="111"/>
  <c r="L70" i="111" s="1"/>
  <c r="I82" i="111"/>
  <c r="L82" i="111"/>
  <c r="I83" i="111"/>
  <c r="L83" i="111"/>
  <c r="I84" i="111"/>
  <c r="L84" i="111"/>
  <c r="I85" i="111"/>
  <c r="L85" i="111"/>
  <c r="I86" i="111"/>
  <c r="L86" i="111"/>
  <c r="I87" i="111"/>
  <c r="L87" i="111"/>
  <c r="I88" i="111"/>
  <c r="L88" i="111"/>
  <c r="I89" i="111"/>
  <c r="L89" i="111"/>
  <c r="I90" i="111"/>
  <c r="L90" i="111"/>
  <c r="I91" i="111"/>
  <c r="L91" i="111"/>
  <c r="I92" i="111"/>
  <c r="L92" i="111"/>
  <c r="K13" i="111"/>
  <c r="I18" i="111"/>
  <c r="L18" i="111" s="1"/>
  <c r="I19" i="111"/>
  <c r="L19" i="111" s="1"/>
  <c r="I20" i="111"/>
  <c r="L20" i="111"/>
  <c r="I21" i="111"/>
  <c r="L21" i="111" s="1"/>
  <c r="I22" i="111"/>
  <c r="L22" i="111"/>
  <c r="I16" i="111"/>
  <c r="L16" i="111" s="1"/>
  <c r="I17" i="111"/>
  <c r="L17" i="111"/>
  <c r="I117" i="111"/>
  <c r="L117" i="111" s="1"/>
  <c r="I118" i="111"/>
  <c r="L118" i="111" s="1"/>
  <c r="I119" i="111"/>
  <c r="L119" i="111" s="1"/>
  <c r="I120" i="111"/>
  <c r="L120" i="111" s="1"/>
  <c r="I121" i="111"/>
  <c r="L121" i="111"/>
  <c r="I122" i="111"/>
  <c r="L122" i="111" s="1"/>
  <c r="I123" i="111"/>
  <c r="L123" i="111" s="1"/>
  <c r="I131" i="111"/>
  <c r="L131" i="111" s="1"/>
  <c r="I132" i="111"/>
  <c r="L132" i="111" s="1"/>
  <c r="I133" i="111"/>
  <c r="L133" i="111" s="1"/>
  <c r="I134" i="111"/>
  <c r="L134" i="111" s="1"/>
  <c r="I135" i="111"/>
  <c r="L135" i="111" s="1"/>
  <c r="I136" i="111"/>
  <c r="L136" i="111" s="1"/>
  <c r="I137" i="111"/>
  <c r="L137" i="111" s="1"/>
  <c r="I138" i="111"/>
  <c r="L138" i="111"/>
  <c r="I139" i="111"/>
  <c r="L139" i="111" s="1"/>
  <c r="I140" i="111"/>
  <c r="L140" i="111" s="1"/>
  <c r="I141" i="111"/>
  <c r="L141" i="111" s="1"/>
  <c r="K150" i="111"/>
  <c r="AL142" i="111"/>
  <c r="AK142" i="111"/>
  <c r="AJ142" i="111"/>
  <c r="AI142" i="111"/>
  <c r="AH142" i="111"/>
  <c r="AG142" i="111"/>
  <c r="AF142" i="111"/>
  <c r="AE142" i="111"/>
  <c r="AD142" i="111"/>
  <c r="AC142" i="111"/>
  <c r="AB142" i="111"/>
  <c r="AA142" i="111"/>
  <c r="Z142" i="111"/>
  <c r="Y142" i="111"/>
  <c r="X142" i="111"/>
  <c r="W142" i="111"/>
  <c r="V142" i="111"/>
  <c r="U142" i="111"/>
  <c r="T142" i="111"/>
  <c r="S142" i="111"/>
  <c r="R142" i="111"/>
  <c r="Q142" i="111"/>
  <c r="P142" i="111"/>
  <c r="O142" i="111"/>
  <c r="N142" i="111"/>
  <c r="M142" i="111"/>
  <c r="I116" i="111"/>
  <c r="L116" i="111" s="1"/>
  <c r="I115" i="111"/>
  <c r="L115" i="111" s="1"/>
  <c r="I114" i="111"/>
  <c r="L114" i="111" s="1"/>
  <c r="I113" i="111"/>
  <c r="L113" i="111" s="1"/>
  <c r="I112" i="111"/>
  <c r="L112" i="111" s="1"/>
  <c r="I111" i="111"/>
  <c r="L111" i="111" s="1"/>
  <c r="I110" i="111"/>
  <c r="L110" i="111" s="1"/>
  <c r="I109" i="111"/>
  <c r="L109" i="111" s="1"/>
  <c r="I108" i="111"/>
  <c r="L108" i="111" s="1"/>
  <c r="I107" i="111"/>
  <c r="L107" i="111" s="1"/>
  <c r="I106" i="111"/>
  <c r="L106" i="111" s="1"/>
  <c r="I105" i="111"/>
  <c r="L105" i="111" s="1"/>
  <c r="I104" i="111"/>
  <c r="L104" i="111" s="1"/>
  <c r="I103" i="111"/>
  <c r="L103" i="111" s="1"/>
  <c r="I102" i="111"/>
  <c r="L102" i="111" s="1"/>
  <c r="I101" i="111"/>
  <c r="L101" i="111" s="1"/>
  <c r="I100" i="111"/>
  <c r="L100" i="111" s="1"/>
  <c r="I99" i="111"/>
  <c r="L99" i="111" s="1"/>
  <c r="I98" i="111"/>
  <c r="L98" i="111" s="1"/>
  <c r="I97" i="111"/>
  <c r="L97" i="111" s="1"/>
  <c r="I96" i="111"/>
  <c r="L96" i="111" s="1"/>
  <c r="I95" i="111"/>
  <c r="L95" i="111" s="1"/>
  <c r="I94" i="111"/>
  <c r="L94" i="111" s="1"/>
  <c r="I93" i="111"/>
  <c r="L93" i="111" s="1"/>
  <c r="I81" i="111"/>
  <c r="L81" i="111" s="1"/>
  <c r="I80" i="111"/>
  <c r="L80" i="111" s="1"/>
  <c r="I79" i="111"/>
  <c r="L79" i="111" s="1"/>
  <c r="I78" i="111"/>
  <c r="L78" i="111" s="1"/>
  <c r="I76" i="111"/>
  <c r="L76" i="111" s="1"/>
  <c r="I75" i="111"/>
  <c r="I74" i="111"/>
  <c r="I73" i="111"/>
  <c r="I72" i="111"/>
  <c r="I71" i="111"/>
  <c r="I59" i="111"/>
  <c r="L59" i="111" s="1"/>
  <c r="K142" i="111"/>
  <c r="I58" i="111"/>
  <c r="I57" i="111"/>
  <c r="L57" i="111" s="1"/>
  <c r="I56" i="111"/>
  <c r="L56" i="111" s="1"/>
  <c r="I55" i="111"/>
  <c r="L55" i="111" s="1"/>
  <c r="I54" i="111"/>
  <c r="L54" i="111" s="1"/>
  <c r="I53" i="111"/>
  <c r="L53" i="111" s="1"/>
  <c r="I52" i="111"/>
  <c r="L52" i="111" s="1"/>
  <c r="I51" i="111"/>
  <c r="L51" i="111" s="1"/>
  <c r="I50" i="111"/>
  <c r="L50" i="111" s="1"/>
  <c r="I49" i="111"/>
  <c r="L49" i="111" s="1"/>
  <c r="I48" i="111"/>
  <c r="L48" i="111" s="1"/>
  <c r="I47" i="111"/>
  <c r="L47" i="111" s="1"/>
  <c r="I46" i="111"/>
  <c r="L46" i="111" s="1"/>
  <c r="I45" i="111"/>
  <c r="L45" i="111" s="1"/>
  <c r="I44" i="111"/>
  <c r="L44" i="111" s="1"/>
  <c r="I43" i="111"/>
  <c r="L43" i="111" s="1"/>
  <c r="I42" i="111"/>
  <c r="L42" i="111" s="1"/>
  <c r="I41" i="111"/>
  <c r="L41" i="111" s="1"/>
  <c r="I40" i="111"/>
  <c r="L40" i="111" s="1"/>
  <c r="I39" i="111"/>
  <c r="L39" i="111" s="1"/>
  <c r="I38" i="111"/>
  <c r="L38" i="111" s="1"/>
  <c r="I37" i="111"/>
  <c r="L37" i="111" s="1"/>
  <c r="I36" i="111"/>
  <c r="L36" i="111" s="1"/>
  <c r="I35" i="111"/>
  <c r="L35" i="111" s="1"/>
  <c r="I34" i="111"/>
  <c r="L34" i="111" s="1"/>
  <c r="I33" i="111"/>
  <c r="L33" i="111" s="1"/>
  <c r="AL32" i="111"/>
  <c r="AK32" i="111"/>
  <c r="AJ32" i="111"/>
  <c r="AI32" i="111"/>
  <c r="AH32" i="111"/>
  <c r="AG32" i="111"/>
  <c r="AF32" i="111"/>
  <c r="AE32" i="111"/>
  <c r="AD32" i="111"/>
  <c r="AC32" i="111"/>
  <c r="AB32" i="111"/>
  <c r="AA32" i="111"/>
  <c r="Z32" i="111"/>
  <c r="Y32" i="111"/>
  <c r="X32" i="111"/>
  <c r="W32" i="111"/>
  <c r="V32" i="111"/>
  <c r="U32" i="111"/>
  <c r="T32" i="111"/>
  <c r="S32" i="111"/>
  <c r="R32" i="111"/>
  <c r="Q32" i="111"/>
  <c r="P32" i="111"/>
  <c r="O32" i="111"/>
  <c r="N32" i="111"/>
  <c r="M32" i="111"/>
  <c r="K32" i="111"/>
  <c r="I31" i="111"/>
  <c r="L31" i="111" s="1"/>
  <c r="I30" i="111"/>
  <c r="L30" i="111" s="1"/>
  <c r="I29" i="111"/>
  <c r="L29" i="111" s="1"/>
  <c r="I28" i="111"/>
  <c r="L28" i="111" s="1"/>
  <c r="L27" i="111"/>
  <c r="I26" i="111"/>
  <c r="L26" i="111" s="1"/>
  <c r="AL25" i="111"/>
  <c r="AK25" i="111"/>
  <c r="AJ25" i="111"/>
  <c r="AI25" i="111"/>
  <c r="AH25" i="111"/>
  <c r="AG25" i="111"/>
  <c r="AF25" i="111"/>
  <c r="AE25" i="111"/>
  <c r="AD25" i="111"/>
  <c r="AC25" i="111"/>
  <c r="AB25" i="111"/>
  <c r="AA25" i="111"/>
  <c r="Z25" i="111"/>
  <c r="Y25" i="111"/>
  <c r="X25" i="111"/>
  <c r="W25" i="111"/>
  <c r="V25" i="111"/>
  <c r="U25" i="111"/>
  <c r="T25" i="111"/>
  <c r="S25" i="111"/>
  <c r="R25" i="111"/>
  <c r="Q25" i="111"/>
  <c r="P25" i="111"/>
  <c r="O25" i="111"/>
  <c r="N25" i="111"/>
  <c r="M25" i="111"/>
  <c r="K25" i="111"/>
  <c r="I24" i="111"/>
  <c r="L24" i="111" s="1"/>
  <c r="I23" i="111"/>
  <c r="L23" i="111" s="1"/>
  <c r="I15" i="111"/>
  <c r="L15" i="111" s="1"/>
  <c r="I14" i="111"/>
  <c r="L14" i="111" s="1"/>
  <c r="I13" i="111"/>
  <c r="L13" i="111" s="1"/>
  <c r="I12" i="111"/>
  <c r="L12" i="111" s="1"/>
  <c r="I11" i="111"/>
  <c r="L11" i="111" s="1"/>
  <c r="I10" i="111"/>
  <c r="L10" i="111" s="1"/>
  <c r="I9" i="111"/>
  <c r="L9" i="111" s="1"/>
  <c r="I8" i="111"/>
  <c r="L8" i="111" s="1"/>
  <c r="I7" i="111"/>
  <c r="L7" i="111" s="1"/>
  <c r="I6" i="111"/>
  <c r="L6" i="111" s="1"/>
  <c r="I5" i="111"/>
  <c r="L5" i="111" s="1"/>
  <c r="I4" i="111"/>
  <c r="L4" i="111" s="1"/>
  <c r="K64" i="110"/>
  <c r="K63" i="110"/>
  <c r="K57" i="110"/>
  <c r="K55" i="110"/>
  <c r="K54" i="110"/>
  <c r="K53" i="110"/>
  <c r="K52" i="110"/>
  <c r="K51" i="110"/>
  <c r="K50" i="110"/>
  <c r="K37" i="110"/>
  <c r="K13" i="110"/>
  <c r="K14" i="110"/>
  <c r="K12" i="110"/>
  <c r="K10" i="110"/>
  <c r="K9" i="110"/>
  <c r="K16" i="110"/>
  <c r="K24" i="110"/>
  <c r="K23" i="110"/>
  <c r="K22" i="110"/>
  <c r="K21" i="110"/>
  <c r="K20" i="110"/>
  <c r="K18" i="110"/>
  <c r="K17" i="110"/>
  <c r="K15" i="110"/>
  <c r="K6" i="110"/>
  <c r="K7" i="110"/>
  <c r="K8" i="110"/>
  <c r="I53" i="110"/>
  <c r="I54" i="110"/>
  <c r="I55" i="110"/>
  <c r="L55" i="110" s="1"/>
  <c r="I76" i="110"/>
  <c r="L76" i="110" s="1"/>
  <c r="I77" i="110"/>
  <c r="L77" i="110" s="1"/>
  <c r="I86" i="110"/>
  <c r="L86" i="110" s="1"/>
  <c r="I87" i="110"/>
  <c r="L87" i="110" s="1"/>
  <c r="I88" i="110"/>
  <c r="L88" i="110" s="1"/>
  <c r="I89" i="110"/>
  <c r="L89" i="110" s="1"/>
  <c r="I90" i="110"/>
  <c r="L90" i="110" s="1"/>
  <c r="I58" i="110"/>
  <c r="L58" i="110" s="1"/>
  <c r="AL95" i="110"/>
  <c r="AK95" i="110"/>
  <c r="AJ95" i="110"/>
  <c r="AI95" i="110"/>
  <c r="AH95" i="110"/>
  <c r="AG95" i="110"/>
  <c r="AF95" i="110"/>
  <c r="AE95" i="110"/>
  <c r="AD95" i="110"/>
  <c r="AC95" i="110"/>
  <c r="AB95" i="110"/>
  <c r="AA95" i="110"/>
  <c r="Z95" i="110"/>
  <c r="Y95" i="110"/>
  <c r="X95" i="110"/>
  <c r="W95" i="110"/>
  <c r="V95" i="110"/>
  <c r="U95" i="110"/>
  <c r="T95" i="110"/>
  <c r="S95" i="110"/>
  <c r="R95" i="110"/>
  <c r="Q95" i="110"/>
  <c r="P95" i="110"/>
  <c r="O95" i="110"/>
  <c r="N95" i="110"/>
  <c r="M95" i="110"/>
  <c r="K95" i="110"/>
  <c r="L94" i="110"/>
  <c r="I93" i="110"/>
  <c r="L93" i="110" s="1"/>
  <c r="I92" i="110"/>
  <c r="L92" i="110" s="1"/>
  <c r="I85" i="110"/>
  <c r="L85" i="110" s="1"/>
  <c r="I84" i="110"/>
  <c r="L84" i="110" s="1"/>
  <c r="I83" i="110"/>
  <c r="L83" i="110" s="1"/>
  <c r="I82" i="110"/>
  <c r="L82" i="110" s="1"/>
  <c r="I81" i="110"/>
  <c r="L81" i="110" s="1"/>
  <c r="I80" i="110"/>
  <c r="L80" i="110" s="1"/>
  <c r="I79" i="110"/>
  <c r="L79" i="110" s="1"/>
  <c r="I78" i="110"/>
  <c r="L78" i="110" s="1"/>
  <c r="I75" i="110"/>
  <c r="L75" i="110" s="1"/>
  <c r="I74" i="110"/>
  <c r="L74" i="110" s="1"/>
  <c r="I73" i="110"/>
  <c r="L73" i="110" s="1"/>
  <c r="I72" i="110"/>
  <c r="L72" i="110" s="1"/>
  <c r="I71" i="110"/>
  <c r="L71" i="110" s="1"/>
  <c r="I70" i="110"/>
  <c r="L70" i="110" s="1"/>
  <c r="I68" i="110"/>
  <c r="L68" i="110" s="1"/>
  <c r="I67" i="110"/>
  <c r="L67" i="110" s="1"/>
  <c r="I66" i="110"/>
  <c r="L66" i="110" s="1"/>
  <c r="I65" i="110"/>
  <c r="L65" i="110" s="1"/>
  <c r="I64" i="110"/>
  <c r="L64" i="110" s="1"/>
  <c r="I63" i="110"/>
  <c r="L63" i="110" s="1"/>
  <c r="I61" i="110"/>
  <c r="L61" i="110" s="1"/>
  <c r="I60" i="110"/>
  <c r="L60" i="110" s="1"/>
  <c r="I59" i="110"/>
  <c r="L59" i="110" s="1"/>
  <c r="I57" i="110"/>
  <c r="L57" i="110" s="1"/>
  <c r="L54" i="110"/>
  <c r="L53" i="110"/>
  <c r="I52" i="110"/>
  <c r="L52" i="110" s="1"/>
  <c r="I51" i="110"/>
  <c r="L51" i="110" s="1"/>
  <c r="I50" i="110"/>
  <c r="L50" i="110" s="1"/>
  <c r="I49" i="110"/>
  <c r="L49" i="110" s="1"/>
  <c r="I48" i="110"/>
  <c r="L48" i="110" s="1"/>
  <c r="I47" i="110"/>
  <c r="L47" i="110" s="1"/>
  <c r="I46" i="110"/>
  <c r="L46" i="110" s="1"/>
  <c r="I45" i="110"/>
  <c r="L45" i="110" s="1"/>
  <c r="I44" i="110"/>
  <c r="L44" i="110" s="1"/>
  <c r="I43" i="110"/>
  <c r="L43" i="110" s="1"/>
  <c r="I42" i="110"/>
  <c r="L42" i="110" s="1"/>
  <c r="I41" i="110"/>
  <c r="L41" i="110" s="1"/>
  <c r="I40" i="110"/>
  <c r="L40" i="110" s="1"/>
  <c r="I39" i="110"/>
  <c r="L39" i="110" s="1"/>
  <c r="I38" i="110"/>
  <c r="L38" i="110" s="1"/>
  <c r="I37" i="110"/>
  <c r="L37" i="110" s="1"/>
  <c r="I36" i="110"/>
  <c r="L36" i="110" s="1"/>
  <c r="I35" i="110"/>
  <c r="L35" i="110" s="1"/>
  <c r="I34" i="110"/>
  <c r="L34" i="110" s="1"/>
  <c r="I33" i="110"/>
  <c r="L33" i="110" s="1"/>
  <c r="I32" i="110"/>
  <c r="L32" i="110" s="1"/>
  <c r="I31" i="110"/>
  <c r="L31" i="110" s="1"/>
  <c r="I30" i="110"/>
  <c r="L95" i="110" s="1"/>
  <c r="AL29" i="110"/>
  <c r="AK29" i="110"/>
  <c r="AJ29" i="110"/>
  <c r="AI29" i="110"/>
  <c r="AH29" i="110"/>
  <c r="AG29" i="110"/>
  <c r="AF29" i="110"/>
  <c r="AE29" i="110"/>
  <c r="AD29" i="110"/>
  <c r="AC29" i="110"/>
  <c r="AB29" i="110"/>
  <c r="AA29" i="110"/>
  <c r="Z29" i="110"/>
  <c r="Y29" i="110"/>
  <c r="X29" i="110"/>
  <c r="W29" i="110"/>
  <c r="V29" i="110"/>
  <c r="U29" i="110"/>
  <c r="T29" i="110"/>
  <c r="S29" i="110"/>
  <c r="R29" i="110"/>
  <c r="Q29" i="110"/>
  <c r="P29" i="110"/>
  <c r="O29" i="110"/>
  <c r="N29" i="110"/>
  <c r="M29" i="110"/>
  <c r="K29" i="110"/>
  <c r="I27" i="110"/>
  <c r="L27" i="110" s="1"/>
  <c r="L29" i="110" s="1"/>
  <c r="AL26" i="110"/>
  <c r="AL96" i="110" s="1"/>
  <c r="AK26" i="110"/>
  <c r="AK96" i="110" s="1"/>
  <c r="AJ26" i="110"/>
  <c r="AJ96" i="110" s="1"/>
  <c r="AI26" i="110"/>
  <c r="AI96" i="110" s="1"/>
  <c r="AH26" i="110"/>
  <c r="AH96" i="110" s="1"/>
  <c r="AG26" i="110"/>
  <c r="AG96" i="110" s="1"/>
  <c r="AF26" i="110"/>
  <c r="AF96" i="110" s="1"/>
  <c r="AE26" i="110"/>
  <c r="AE96" i="110" s="1"/>
  <c r="AD26" i="110"/>
  <c r="AD96" i="110" s="1"/>
  <c r="AC26" i="110"/>
  <c r="AC96" i="110" s="1"/>
  <c r="AB26" i="110"/>
  <c r="AB96" i="110" s="1"/>
  <c r="AA26" i="110"/>
  <c r="AA96" i="110" s="1"/>
  <c r="Z26" i="110"/>
  <c r="Z96" i="110" s="1"/>
  <c r="Y26" i="110"/>
  <c r="Y96" i="110" s="1"/>
  <c r="X26" i="110"/>
  <c r="X96" i="110" s="1"/>
  <c r="W26" i="110"/>
  <c r="W96" i="110" s="1"/>
  <c r="V26" i="110"/>
  <c r="V96" i="110" s="1"/>
  <c r="U26" i="110"/>
  <c r="U96" i="110" s="1"/>
  <c r="T26" i="110"/>
  <c r="T96" i="110" s="1"/>
  <c r="S26" i="110"/>
  <c r="S96" i="110" s="1"/>
  <c r="R26" i="110"/>
  <c r="R96" i="110" s="1"/>
  <c r="Q26" i="110"/>
  <c r="Q96" i="110" s="1"/>
  <c r="P26" i="110"/>
  <c r="P96" i="110" s="1"/>
  <c r="O26" i="110"/>
  <c r="O96" i="110" s="1"/>
  <c r="N26" i="110"/>
  <c r="N96" i="110" s="1"/>
  <c r="M26" i="110"/>
  <c r="M96" i="110" s="1"/>
  <c r="K26" i="110"/>
  <c r="K96" i="110" s="1"/>
  <c r="I25" i="110"/>
  <c r="L25" i="110" s="1"/>
  <c r="I24" i="110"/>
  <c r="L24" i="110" s="1"/>
  <c r="I23" i="110"/>
  <c r="L23" i="110" s="1"/>
  <c r="I22" i="110"/>
  <c r="L22" i="110" s="1"/>
  <c r="I21" i="110"/>
  <c r="L21" i="110" s="1"/>
  <c r="I20" i="110"/>
  <c r="L20" i="110" s="1"/>
  <c r="I19" i="110"/>
  <c r="L19" i="110" s="1"/>
  <c r="I18" i="110"/>
  <c r="L18" i="110" s="1"/>
  <c r="I17" i="110"/>
  <c r="L17" i="110" s="1"/>
  <c r="I16" i="110"/>
  <c r="L16" i="110" s="1"/>
  <c r="I15" i="110"/>
  <c r="L15" i="110" s="1"/>
  <c r="I14" i="110"/>
  <c r="L14" i="110" s="1"/>
  <c r="I13" i="110"/>
  <c r="L13" i="110" s="1"/>
  <c r="I12" i="110"/>
  <c r="L12" i="110" s="1"/>
  <c r="I11" i="110"/>
  <c r="L11" i="110" s="1"/>
  <c r="I10" i="110"/>
  <c r="L10" i="110" s="1"/>
  <c r="I9" i="110"/>
  <c r="L9" i="110" s="1"/>
  <c r="I8" i="110"/>
  <c r="L8" i="110" s="1"/>
  <c r="I7" i="110"/>
  <c r="L7" i="110" s="1"/>
  <c r="I6" i="110"/>
  <c r="L6" i="110" s="1"/>
  <c r="I5" i="110"/>
  <c r="L5" i="110" s="1"/>
  <c r="I4" i="110"/>
  <c r="L4" i="110" s="1"/>
  <c r="L26" i="110" s="1"/>
  <c r="L96" i="110" s="1"/>
  <c r="I123" i="109"/>
  <c r="I124" i="109"/>
  <c r="I125" i="109"/>
  <c r="I126" i="109"/>
  <c r="I127" i="109"/>
  <c r="L123" i="109"/>
  <c r="L125" i="109"/>
  <c r="L126" i="109"/>
  <c r="L127" i="109"/>
  <c r="I99" i="109"/>
  <c r="L99" i="109" s="1"/>
  <c r="K136" i="109"/>
  <c r="K117" i="109"/>
  <c r="I122" i="109"/>
  <c r="L122" i="109" s="1"/>
  <c r="I91" i="109"/>
  <c r="L91" i="109" s="1"/>
  <c r="K116" i="109"/>
  <c r="I88" i="109"/>
  <c r="L88" i="109" s="1"/>
  <c r="I85" i="109"/>
  <c r="L85" i="109" s="1"/>
  <c r="I82" i="109"/>
  <c r="L82" i="109" s="1"/>
  <c r="I79" i="109"/>
  <c r="L79" i="109" s="1"/>
  <c r="I76" i="109"/>
  <c r="L76" i="109" s="1"/>
  <c r="I77" i="109"/>
  <c r="L77" i="109" s="1"/>
  <c r="I73" i="109"/>
  <c r="L73" i="109" s="1"/>
  <c r="I70" i="109"/>
  <c r="L70" i="109" s="1"/>
  <c r="I67" i="109"/>
  <c r="L67" i="109" s="1"/>
  <c r="I64" i="109"/>
  <c r="L64" i="109" s="1"/>
  <c r="K60" i="109"/>
  <c r="K58" i="109"/>
  <c r="K57" i="109"/>
  <c r="K55" i="109"/>
  <c r="K54" i="109"/>
  <c r="K53" i="109"/>
  <c r="K56" i="109"/>
  <c r="K59" i="109"/>
  <c r="K52" i="109"/>
  <c r="K21" i="109"/>
  <c r="K20" i="109"/>
  <c r="Q143" i="111" l="1"/>
  <c r="AC143" i="111"/>
  <c r="R143" i="111"/>
  <c r="AD143" i="111"/>
  <c r="AJ143" i="111"/>
  <c r="AF143" i="111"/>
  <c r="AL143" i="111"/>
  <c r="U143" i="111"/>
  <c r="AI143" i="111"/>
  <c r="AG143" i="111"/>
  <c r="V143" i="111"/>
  <c r="AK143" i="111"/>
  <c r="AE143" i="111"/>
  <c r="AH143" i="111"/>
  <c r="L72" i="111"/>
  <c r="L73" i="111"/>
  <c r="L71" i="111"/>
  <c r="L77" i="111"/>
  <c r="L74" i="111"/>
  <c r="L75" i="111"/>
  <c r="W143" i="111"/>
  <c r="X143" i="111"/>
  <c r="M143" i="111"/>
  <c r="Y143" i="111"/>
  <c r="N143" i="111"/>
  <c r="Z143" i="111"/>
  <c r="O143" i="111"/>
  <c r="AA143" i="111"/>
  <c r="P143" i="111"/>
  <c r="AB143" i="111"/>
  <c r="S143" i="111"/>
  <c r="T143" i="111"/>
  <c r="L32" i="111"/>
  <c r="L25" i="111"/>
  <c r="K143" i="111"/>
  <c r="L58" i="111"/>
  <c r="L142" i="111" s="1"/>
  <c r="AL128" i="109"/>
  <c r="AK128" i="109"/>
  <c r="AG128" i="109"/>
  <c r="AF128" i="109"/>
  <c r="AE128" i="109"/>
  <c r="AD128" i="109"/>
  <c r="AC128" i="109"/>
  <c r="AB128" i="109"/>
  <c r="AA128" i="109"/>
  <c r="Z128" i="109"/>
  <c r="Y128" i="109"/>
  <c r="W128" i="109"/>
  <c r="V128" i="109"/>
  <c r="U128" i="109"/>
  <c r="T128" i="109"/>
  <c r="S128" i="109"/>
  <c r="R128" i="109"/>
  <c r="Q128" i="109"/>
  <c r="P128" i="109"/>
  <c r="O128" i="109"/>
  <c r="N128" i="109"/>
  <c r="M128" i="109"/>
  <c r="L124" i="109"/>
  <c r="I121" i="109"/>
  <c r="L121" i="109" s="1"/>
  <c r="X128" i="109"/>
  <c r="K128" i="109"/>
  <c r="I120" i="109"/>
  <c r="L120" i="109" s="1"/>
  <c r="I119" i="109"/>
  <c r="L119" i="109" s="1"/>
  <c r="I118" i="109"/>
  <c r="L118" i="109" s="1"/>
  <c r="I117" i="109"/>
  <c r="L117" i="109" s="1"/>
  <c r="I116" i="109"/>
  <c r="L116" i="109" s="1"/>
  <c r="I115" i="109"/>
  <c r="L115" i="109" s="1"/>
  <c r="I114" i="109"/>
  <c r="L114" i="109" s="1"/>
  <c r="I113" i="109"/>
  <c r="L113" i="109" s="1"/>
  <c r="I112" i="109"/>
  <c r="L112" i="109" s="1"/>
  <c r="I111" i="109"/>
  <c r="L111" i="109" s="1"/>
  <c r="I110" i="109"/>
  <c r="L110" i="109" s="1"/>
  <c r="I109" i="109"/>
  <c r="L109" i="109" s="1"/>
  <c r="I108" i="109"/>
  <c r="L108" i="109" s="1"/>
  <c r="I107" i="109"/>
  <c r="L107" i="109" s="1"/>
  <c r="I106" i="109"/>
  <c r="L106" i="109" s="1"/>
  <c r="I105" i="109"/>
  <c r="L105" i="109" s="1"/>
  <c r="I104" i="109"/>
  <c r="L104" i="109" s="1"/>
  <c r="I103" i="109"/>
  <c r="L103" i="109" s="1"/>
  <c r="I102" i="109"/>
  <c r="L102" i="109" s="1"/>
  <c r="I101" i="109"/>
  <c r="L101" i="109" s="1"/>
  <c r="I100" i="109"/>
  <c r="L100" i="109" s="1"/>
  <c r="I98" i="109"/>
  <c r="L98" i="109" s="1"/>
  <c r="I97" i="109"/>
  <c r="L97" i="109" s="1"/>
  <c r="I96" i="109"/>
  <c r="L96" i="109" s="1"/>
  <c r="I95" i="109"/>
  <c r="L95" i="109" s="1"/>
  <c r="I94" i="109"/>
  <c r="L94" i="109" s="1"/>
  <c r="I92" i="109"/>
  <c r="L92" i="109" s="1"/>
  <c r="I90" i="109"/>
  <c r="L90" i="109" s="1"/>
  <c r="I89" i="109"/>
  <c r="L89" i="109" s="1"/>
  <c r="I87" i="109"/>
  <c r="L87" i="109" s="1"/>
  <c r="I86" i="109"/>
  <c r="L86" i="109" s="1"/>
  <c r="I84" i="109"/>
  <c r="L84" i="109" s="1"/>
  <c r="I83" i="109"/>
  <c r="L83" i="109" s="1"/>
  <c r="I81" i="109"/>
  <c r="L81" i="109" s="1"/>
  <c r="I80" i="109"/>
  <c r="L80" i="109" s="1"/>
  <c r="I78" i="109"/>
  <c r="L78" i="109" s="1"/>
  <c r="I75" i="109"/>
  <c r="L75" i="109" s="1"/>
  <c r="I74" i="109"/>
  <c r="L74" i="109" s="1"/>
  <c r="I72" i="109"/>
  <c r="L72" i="109" s="1"/>
  <c r="I71" i="109"/>
  <c r="L71" i="109" s="1"/>
  <c r="I69" i="109"/>
  <c r="L69" i="109" s="1"/>
  <c r="I68" i="109"/>
  <c r="L68" i="109" s="1"/>
  <c r="I66" i="109"/>
  <c r="L66" i="109" s="1"/>
  <c r="I65" i="109"/>
  <c r="L65" i="109" s="1"/>
  <c r="I63" i="109"/>
  <c r="L63" i="109" s="1"/>
  <c r="AJ128" i="109"/>
  <c r="AI128" i="109"/>
  <c r="AH128" i="109"/>
  <c r="I62" i="109"/>
  <c r="L62" i="109" s="1"/>
  <c r="I61" i="109"/>
  <c r="L61" i="109" s="1"/>
  <c r="I60" i="109"/>
  <c r="L60" i="109" s="1"/>
  <c r="I59" i="109"/>
  <c r="L59" i="109" s="1"/>
  <c r="I58" i="109"/>
  <c r="L58" i="109" s="1"/>
  <c r="I57" i="109"/>
  <c r="L57" i="109" s="1"/>
  <c r="I56" i="109"/>
  <c r="L56" i="109" s="1"/>
  <c r="I55" i="109"/>
  <c r="L55" i="109" s="1"/>
  <c r="I54" i="109"/>
  <c r="L54" i="109" s="1"/>
  <c r="I53" i="109"/>
  <c r="L53" i="109" s="1"/>
  <c r="I52" i="109"/>
  <c r="L52" i="109" s="1"/>
  <c r="I51" i="109"/>
  <c r="L51" i="109" s="1"/>
  <c r="I50" i="109"/>
  <c r="L50" i="109" s="1"/>
  <c r="I49" i="109"/>
  <c r="L49" i="109" s="1"/>
  <c r="I48" i="109"/>
  <c r="L48" i="109" s="1"/>
  <c r="I47" i="109"/>
  <c r="L47" i="109" s="1"/>
  <c r="I46" i="109"/>
  <c r="L46" i="109" s="1"/>
  <c r="I45" i="109"/>
  <c r="L45" i="109" s="1"/>
  <c r="I44" i="109"/>
  <c r="L44" i="109" s="1"/>
  <c r="I43" i="109"/>
  <c r="L43" i="109" s="1"/>
  <c r="I42" i="109"/>
  <c r="L42" i="109" s="1"/>
  <c r="I41" i="109"/>
  <c r="L41" i="109" s="1"/>
  <c r="I40" i="109"/>
  <c r="L40" i="109" s="1"/>
  <c r="I39" i="109"/>
  <c r="L39" i="109" s="1"/>
  <c r="I38" i="109"/>
  <c r="L38" i="109" s="1"/>
  <c r="I37" i="109"/>
  <c r="L37" i="109" s="1"/>
  <c r="I36" i="109"/>
  <c r="L36" i="109" s="1"/>
  <c r="I35" i="109"/>
  <c r="L35" i="109" s="1"/>
  <c r="I34" i="109"/>
  <c r="L34" i="109" s="1"/>
  <c r="I33" i="109"/>
  <c r="L33" i="109" s="1"/>
  <c r="I32" i="109"/>
  <c r="L32" i="109" s="1"/>
  <c r="I31" i="109"/>
  <c r="L31" i="109" s="1"/>
  <c r="I30" i="109"/>
  <c r="L30" i="109" s="1"/>
  <c r="I29" i="109"/>
  <c r="L29" i="109" s="1"/>
  <c r="I28" i="109"/>
  <c r="L28" i="109" s="1"/>
  <c r="I27" i="109"/>
  <c r="L27" i="109" s="1"/>
  <c r="AL26" i="109"/>
  <c r="AK26" i="109"/>
  <c r="AJ26" i="109"/>
  <c r="AI26" i="109"/>
  <c r="AH26" i="109"/>
  <c r="AG26" i="109"/>
  <c r="AF26" i="109"/>
  <c r="AE26" i="109"/>
  <c r="AD26" i="109"/>
  <c r="AC26" i="109"/>
  <c r="AB26" i="109"/>
  <c r="AA26" i="109"/>
  <c r="Z26" i="109"/>
  <c r="Y26" i="109"/>
  <c r="X26" i="109"/>
  <c r="W26" i="109"/>
  <c r="V26" i="109"/>
  <c r="U26" i="109"/>
  <c r="T26" i="109"/>
  <c r="S26" i="109"/>
  <c r="R26" i="109"/>
  <c r="Q26" i="109"/>
  <c r="P26" i="109"/>
  <c r="O26" i="109"/>
  <c r="N26" i="109"/>
  <c r="M26" i="109"/>
  <c r="I25" i="109"/>
  <c r="L25" i="109" s="1"/>
  <c r="I24" i="109"/>
  <c r="L24" i="109" s="1"/>
  <c r="K26" i="109"/>
  <c r="I23" i="109"/>
  <c r="I22" i="109"/>
  <c r="L22" i="109" s="1"/>
  <c r="I21" i="109"/>
  <c r="I20" i="109"/>
  <c r="L20" i="109" s="1"/>
  <c r="I19" i="109"/>
  <c r="L19" i="109" s="1"/>
  <c r="AL18" i="109"/>
  <c r="AK18" i="109"/>
  <c r="AJ18" i="109"/>
  <c r="AI18" i="109"/>
  <c r="AH18" i="109"/>
  <c r="AG18" i="109"/>
  <c r="AF18" i="109"/>
  <c r="AE18" i="109"/>
  <c r="AD18" i="109"/>
  <c r="AC18" i="109"/>
  <c r="AB18" i="109"/>
  <c r="AA18" i="109"/>
  <c r="Z18" i="109"/>
  <c r="Y18" i="109"/>
  <c r="X18" i="109"/>
  <c r="W18" i="109"/>
  <c r="V18" i="109"/>
  <c r="U18" i="109"/>
  <c r="T18" i="109"/>
  <c r="S18" i="109"/>
  <c r="R18" i="109"/>
  <c r="Q18" i="109"/>
  <c r="P18" i="109"/>
  <c r="O18" i="109"/>
  <c r="N18" i="109"/>
  <c r="M18" i="109"/>
  <c r="K18" i="109"/>
  <c r="I17" i="109"/>
  <c r="L17" i="109" s="1"/>
  <c r="I16" i="109"/>
  <c r="L16" i="109" s="1"/>
  <c r="I15" i="109"/>
  <c r="L15" i="109" s="1"/>
  <c r="I14" i="109"/>
  <c r="L14" i="109" s="1"/>
  <c r="I13" i="109"/>
  <c r="L13" i="109" s="1"/>
  <c r="I12" i="109"/>
  <c r="L12" i="109" s="1"/>
  <c r="I11" i="109"/>
  <c r="L11" i="109" s="1"/>
  <c r="I10" i="109"/>
  <c r="L10" i="109" s="1"/>
  <c r="I9" i="109"/>
  <c r="L9" i="109" s="1"/>
  <c r="I8" i="109"/>
  <c r="L8" i="109" s="1"/>
  <c r="I7" i="109"/>
  <c r="L7" i="109" s="1"/>
  <c r="I6" i="109"/>
  <c r="L6" i="109" s="1"/>
  <c r="I5" i="109"/>
  <c r="L5" i="109" s="1"/>
  <c r="I4" i="109"/>
  <c r="L4" i="109" s="1"/>
  <c r="K31" i="108"/>
  <c r="K46" i="108"/>
  <c r="K45" i="108"/>
  <c r="K44" i="108"/>
  <c r="K43" i="108"/>
  <c r="K42" i="108"/>
  <c r="K41" i="108"/>
  <c r="K40" i="108"/>
  <c r="K39" i="108"/>
  <c r="K38" i="108"/>
  <c r="K37" i="108"/>
  <c r="K36" i="108"/>
  <c r="I51" i="108"/>
  <c r="L51" i="108" s="1"/>
  <c r="I52" i="108"/>
  <c r="L52" i="108" s="1"/>
  <c r="I53" i="108"/>
  <c r="L53" i="108" s="1"/>
  <c r="I54" i="108"/>
  <c r="L54" i="108" s="1"/>
  <c r="K13" i="108"/>
  <c r="K12" i="108"/>
  <c r="K11" i="108"/>
  <c r="K9" i="108"/>
  <c r="K7" i="108"/>
  <c r="K6" i="108"/>
  <c r="K5" i="108"/>
  <c r="K8" i="108"/>
  <c r="K14" i="108"/>
  <c r="K15" i="108"/>
  <c r="K16" i="108"/>
  <c r="K17" i="108"/>
  <c r="K18" i="108"/>
  <c r="K19" i="108"/>
  <c r="AL61" i="108"/>
  <c r="AK61" i="108"/>
  <c r="AJ61" i="108"/>
  <c r="AI61" i="108"/>
  <c r="AH61" i="108"/>
  <c r="AG61" i="108"/>
  <c r="AF61" i="108"/>
  <c r="AE61" i="108"/>
  <c r="AD61" i="108"/>
  <c r="AC61" i="108"/>
  <c r="AB61" i="108"/>
  <c r="AA61" i="108"/>
  <c r="Z61" i="108"/>
  <c r="Y61" i="108"/>
  <c r="X61" i="108"/>
  <c r="W61" i="108"/>
  <c r="V61" i="108"/>
  <c r="U61" i="108"/>
  <c r="T61" i="108"/>
  <c r="S61" i="108"/>
  <c r="R61" i="108"/>
  <c r="Q61" i="108"/>
  <c r="P61" i="108"/>
  <c r="O61" i="108"/>
  <c r="N61" i="108"/>
  <c r="M61" i="108"/>
  <c r="K61" i="108"/>
  <c r="L60" i="108"/>
  <c r="I59" i="108"/>
  <c r="L59" i="108" s="1"/>
  <c r="I58" i="108"/>
  <c r="L58" i="108" s="1"/>
  <c r="I57" i="108"/>
  <c r="L57" i="108" s="1"/>
  <c r="I56" i="108"/>
  <c r="L56" i="108" s="1"/>
  <c r="I55" i="108"/>
  <c r="L55" i="108" s="1"/>
  <c r="I50" i="108"/>
  <c r="L50" i="108" s="1"/>
  <c r="I49" i="108"/>
  <c r="L49" i="108" s="1"/>
  <c r="I48" i="108"/>
  <c r="L48" i="108" s="1"/>
  <c r="I47" i="108"/>
  <c r="L47" i="108" s="1"/>
  <c r="I46" i="108"/>
  <c r="L46" i="108" s="1"/>
  <c r="I45" i="108"/>
  <c r="L45" i="108" s="1"/>
  <c r="I44" i="108"/>
  <c r="L44" i="108" s="1"/>
  <c r="I43" i="108"/>
  <c r="L43" i="108" s="1"/>
  <c r="I42" i="108"/>
  <c r="L42" i="108" s="1"/>
  <c r="I41" i="108"/>
  <c r="L41" i="108" s="1"/>
  <c r="I40" i="108"/>
  <c r="L40" i="108" s="1"/>
  <c r="I39" i="108"/>
  <c r="L39" i="108" s="1"/>
  <c r="I38" i="108"/>
  <c r="L38" i="108" s="1"/>
  <c r="I37" i="108"/>
  <c r="L37" i="108" s="1"/>
  <c r="I36" i="108"/>
  <c r="L36" i="108" s="1"/>
  <c r="I35" i="108"/>
  <c r="L35" i="108" s="1"/>
  <c r="I34" i="108"/>
  <c r="L34" i="108" s="1"/>
  <c r="I33" i="108"/>
  <c r="L33" i="108" s="1"/>
  <c r="I32" i="108"/>
  <c r="L32" i="108" s="1"/>
  <c r="I31" i="108"/>
  <c r="L31" i="108" s="1"/>
  <c r="I30" i="108"/>
  <c r="L30" i="108" s="1"/>
  <c r="I29" i="108"/>
  <c r="L29" i="108" s="1"/>
  <c r="I28" i="108"/>
  <c r="L28" i="108" s="1"/>
  <c r="I27" i="108"/>
  <c r="L27" i="108" s="1"/>
  <c r="I26" i="108"/>
  <c r="L26" i="108" s="1"/>
  <c r="I25" i="108"/>
  <c r="L61" i="108" s="1"/>
  <c r="AL24" i="108"/>
  <c r="AK24" i="108"/>
  <c r="AJ24" i="108"/>
  <c r="AI24" i="108"/>
  <c r="AH24" i="108"/>
  <c r="AG24" i="108"/>
  <c r="AF24" i="108"/>
  <c r="AE24" i="108"/>
  <c r="AD24" i="108"/>
  <c r="AC24" i="108"/>
  <c r="AB24" i="108"/>
  <c r="AA24" i="108"/>
  <c r="Z24" i="108"/>
  <c r="Y24" i="108"/>
  <c r="X24" i="108"/>
  <c r="W24" i="108"/>
  <c r="V24" i="108"/>
  <c r="U24" i="108"/>
  <c r="T24" i="108"/>
  <c r="S24" i="108"/>
  <c r="R24" i="108"/>
  <c r="Q24" i="108"/>
  <c r="P24" i="108"/>
  <c r="O24" i="108"/>
  <c r="N24" i="108"/>
  <c r="M24" i="108"/>
  <c r="K24" i="108"/>
  <c r="I22" i="108"/>
  <c r="L22" i="108" s="1"/>
  <c r="L24" i="108" s="1"/>
  <c r="AL21" i="108"/>
  <c r="AL62" i="108" s="1"/>
  <c r="AK21" i="108"/>
  <c r="AK62" i="108" s="1"/>
  <c r="AJ21" i="108"/>
  <c r="AJ62" i="108" s="1"/>
  <c r="AI21" i="108"/>
  <c r="AI62" i="108" s="1"/>
  <c r="AH21" i="108"/>
  <c r="AH62" i="108" s="1"/>
  <c r="AG21" i="108"/>
  <c r="AG62" i="108" s="1"/>
  <c r="AF21" i="108"/>
  <c r="AF62" i="108" s="1"/>
  <c r="AE21" i="108"/>
  <c r="AE62" i="108" s="1"/>
  <c r="AD21" i="108"/>
  <c r="AD62" i="108" s="1"/>
  <c r="AC21" i="108"/>
  <c r="AC62" i="108" s="1"/>
  <c r="AB21" i="108"/>
  <c r="AB62" i="108" s="1"/>
  <c r="AA21" i="108"/>
  <c r="AA62" i="108" s="1"/>
  <c r="Z21" i="108"/>
  <c r="Z62" i="108" s="1"/>
  <c r="Y21" i="108"/>
  <c r="Y62" i="108" s="1"/>
  <c r="X21" i="108"/>
  <c r="X62" i="108" s="1"/>
  <c r="W21" i="108"/>
  <c r="W62" i="108" s="1"/>
  <c r="V21" i="108"/>
  <c r="V62" i="108" s="1"/>
  <c r="U21" i="108"/>
  <c r="U62" i="108" s="1"/>
  <c r="T21" i="108"/>
  <c r="T62" i="108" s="1"/>
  <c r="S21" i="108"/>
  <c r="S62" i="108" s="1"/>
  <c r="R21" i="108"/>
  <c r="R62" i="108" s="1"/>
  <c r="Q21" i="108"/>
  <c r="Q62" i="108" s="1"/>
  <c r="P21" i="108"/>
  <c r="P62" i="108" s="1"/>
  <c r="O21" i="108"/>
  <c r="O62" i="108" s="1"/>
  <c r="N21" i="108"/>
  <c r="N62" i="108" s="1"/>
  <c r="M21" i="108"/>
  <c r="M62" i="108" s="1"/>
  <c r="K21" i="108"/>
  <c r="K62" i="108" s="1"/>
  <c r="I20" i="108"/>
  <c r="L20" i="108" s="1"/>
  <c r="I19" i="108"/>
  <c r="L19" i="108" s="1"/>
  <c r="I18" i="108"/>
  <c r="L18" i="108" s="1"/>
  <c r="I17" i="108"/>
  <c r="L17" i="108" s="1"/>
  <c r="I16" i="108"/>
  <c r="L16" i="108" s="1"/>
  <c r="I15" i="108"/>
  <c r="L15" i="108" s="1"/>
  <c r="I14" i="108"/>
  <c r="L14" i="108" s="1"/>
  <c r="I13" i="108"/>
  <c r="L13" i="108" s="1"/>
  <c r="I12" i="108"/>
  <c r="L12" i="108" s="1"/>
  <c r="I11" i="108"/>
  <c r="L11" i="108" s="1"/>
  <c r="I10" i="108"/>
  <c r="L10" i="108" s="1"/>
  <c r="I9" i="108"/>
  <c r="L9" i="108" s="1"/>
  <c r="I8" i="108"/>
  <c r="L8" i="108" s="1"/>
  <c r="I7" i="108"/>
  <c r="L7" i="108" s="1"/>
  <c r="I6" i="108"/>
  <c r="L6" i="108" s="1"/>
  <c r="I5" i="108"/>
  <c r="L5" i="108" s="1"/>
  <c r="I4" i="108"/>
  <c r="L4" i="108" s="1"/>
  <c r="L21" i="108" s="1"/>
  <c r="L62" i="108" s="1"/>
  <c r="L42" i="107"/>
  <c r="I42" i="107"/>
  <c r="I38" i="107"/>
  <c r="L38" i="107" s="1"/>
  <c r="I39" i="107"/>
  <c r="L39" i="107" s="1"/>
  <c r="I40" i="107"/>
  <c r="L40" i="107" s="1"/>
  <c r="I41" i="107"/>
  <c r="L41" i="107" s="1"/>
  <c r="K12" i="107"/>
  <c r="K54" i="107"/>
  <c r="K53" i="107"/>
  <c r="K52" i="107"/>
  <c r="K51" i="107"/>
  <c r="K50" i="107"/>
  <c r="I5" i="107"/>
  <c r="L5" i="107" s="1"/>
  <c r="I6" i="107"/>
  <c r="L6" i="107"/>
  <c r="I7" i="107"/>
  <c r="L7" i="107"/>
  <c r="AE69" i="107"/>
  <c r="AM68" i="107"/>
  <c r="AL68" i="107"/>
  <c r="AJ68" i="107"/>
  <c r="AG68" i="107"/>
  <c r="AF68" i="107"/>
  <c r="AD68" i="107"/>
  <c r="AC68" i="107"/>
  <c r="AB68" i="107"/>
  <c r="AA68" i="107"/>
  <c r="Z68" i="107"/>
  <c r="W68" i="107"/>
  <c r="V68" i="107"/>
  <c r="U68" i="107"/>
  <c r="T68" i="107"/>
  <c r="S68" i="107"/>
  <c r="R68" i="107"/>
  <c r="Q68" i="107"/>
  <c r="P68" i="107"/>
  <c r="O68" i="107"/>
  <c r="N68" i="107"/>
  <c r="M68" i="107"/>
  <c r="K68" i="107"/>
  <c r="I67" i="107"/>
  <c r="L67" i="107" s="1"/>
  <c r="I66" i="107"/>
  <c r="L66" i="107" s="1"/>
  <c r="I65" i="107"/>
  <c r="I64" i="107"/>
  <c r="L64" i="107" s="1"/>
  <c r="Y68" i="107"/>
  <c r="X68" i="107"/>
  <c r="I63" i="107"/>
  <c r="L63" i="107" s="1"/>
  <c r="I62" i="107"/>
  <c r="L62" i="107" s="1"/>
  <c r="I61" i="107"/>
  <c r="L61" i="107" s="1"/>
  <c r="I60" i="107"/>
  <c r="L60" i="107" s="1"/>
  <c r="I59" i="107"/>
  <c r="L59" i="107" s="1"/>
  <c r="AK68" i="107"/>
  <c r="AI68" i="107"/>
  <c r="AH68" i="107"/>
  <c r="I58" i="107"/>
  <c r="L58" i="107" s="1"/>
  <c r="I57" i="107"/>
  <c r="L57" i="107" s="1"/>
  <c r="I56" i="107"/>
  <c r="L56" i="107" s="1"/>
  <c r="I55" i="107"/>
  <c r="L55" i="107" s="1"/>
  <c r="I54" i="107"/>
  <c r="L54" i="107" s="1"/>
  <c r="I53" i="107"/>
  <c r="L53" i="107" s="1"/>
  <c r="I52" i="107"/>
  <c r="L52" i="107" s="1"/>
  <c r="I51" i="107"/>
  <c r="L51" i="107" s="1"/>
  <c r="I50" i="107"/>
  <c r="L50" i="107" s="1"/>
  <c r="I49" i="107"/>
  <c r="L49" i="107" s="1"/>
  <c r="I48" i="107"/>
  <c r="L48" i="107" s="1"/>
  <c r="I47" i="107"/>
  <c r="L47" i="107" s="1"/>
  <c r="I46" i="107"/>
  <c r="L46" i="107" s="1"/>
  <c r="I45" i="107"/>
  <c r="L45" i="107" s="1"/>
  <c r="I44" i="107"/>
  <c r="L44" i="107" s="1"/>
  <c r="I43" i="107"/>
  <c r="L43" i="107" s="1"/>
  <c r="I37" i="107"/>
  <c r="L37" i="107" s="1"/>
  <c r="I36" i="107"/>
  <c r="L36" i="107" s="1"/>
  <c r="I35" i="107"/>
  <c r="L35" i="107" s="1"/>
  <c r="I34" i="107"/>
  <c r="L34" i="107" s="1"/>
  <c r="I33" i="107"/>
  <c r="L33" i="107" s="1"/>
  <c r="I32" i="107"/>
  <c r="L32" i="107" s="1"/>
  <c r="I31" i="107"/>
  <c r="L31" i="107" s="1"/>
  <c r="I30" i="107"/>
  <c r="L30" i="107" s="1"/>
  <c r="I29" i="107"/>
  <c r="L29" i="107" s="1"/>
  <c r="I28" i="107"/>
  <c r="L28" i="107" s="1"/>
  <c r="I27" i="107"/>
  <c r="L27" i="107" s="1"/>
  <c r="I26" i="107"/>
  <c r="L26" i="107" s="1"/>
  <c r="I25" i="107"/>
  <c r="L25" i="107" s="1"/>
  <c r="I24" i="107"/>
  <c r="L24" i="107" s="1"/>
  <c r="I23" i="107"/>
  <c r="L23" i="107" s="1"/>
  <c r="I22" i="107"/>
  <c r="L22" i="107" s="1"/>
  <c r="I21" i="107"/>
  <c r="L21" i="107" s="1"/>
  <c r="I20" i="107"/>
  <c r="L20" i="107" s="1"/>
  <c r="I19" i="107"/>
  <c r="L19" i="107" s="1"/>
  <c r="I18" i="107"/>
  <c r="L18" i="107" s="1"/>
  <c r="I17" i="107"/>
  <c r="L17" i="107" s="1"/>
  <c r="I16" i="107"/>
  <c r="L16" i="107" s="1"/>
  <c r="AM15" i="107"/>
  <c r="AL15" i="107"/>
  <c r="AK15" i="107"/>
  <c r="AJ15" i="107"/>
  <c r="AI15" i="107"/>
  <c r="AH15" i="107"/>
  <c r="AG15" i="107"/>
  <c r="AF15" i="107"/>
  <c r="AD15" i="107"/>
  <c r="AC15" i="107"/>
  <c r="AB15" i="107"/>
  <c r="AA15" i="107"/>
  <c r="Z15" i="107"/>
  <c r="Y15" i="107"/>
  <c r="X15" i="107"/>
  <c r="W15" i="107"/>
  <c r="V15" i="107"/>
  <c r="U15" i="107"/>
  <c r="T15" i="107"/>
  <c r="S15" i="107"/>
  <c r="R15" i="107"/>
  <c r="Q15" i="107"/>
  <c r="P15" i="107"/>
  <c r="O15" i="107"/>
  <c r="N15" i="107"/>
  <c r="M15" i="107"/>
  <c r="K15" i="107"/>
  <c r="I14" i="107"/>
  <c r="L14" i="107" s="1"/>
  <c r="I13" i="107"/>
  <c r="L13" i="107" s="1"/>
  <c r="I12" i="107"/>
  <c r="L12" i="107" s="1"/>
  <c r="I11" i="107"/>
  <c r="L11" i="107" s="1"/>
  <c r="AM10" i="107"/>
  <c r="AM69" i="107" s="1"/>
  <c r="AL10" i="107"/>
  <c r="AK10" i="107"/>
  <c r="AJ10" i="107"/>
  <c r="AI10" i="107"/>
  <c r="AH10" i="107"/>
  <c r="AG10" i="107"/>
  <c r="AF10" i="107"/>
  <c r="AD10" i="107"/>
  <c r="AC10" i="107"/>
  <c r="AB10" i="107"/>
  <c r="AA10" i="107"/>
  <c r="Z10" i="107"/>
  <c r="Y10" i="107"/>
  <c r="X10" i="107"/>
  <c r="W10" i="107"/>
  <c r="V10" i="107"/>
  <c r="U10" i="107"/>
  <c r="T10" i="107"/>
  <c r="S10" i="107"/>
  <c r="R10" i="107"/>
  <c r="Q10" i="107"/>
  <c r="P10" i="107"/>
  <c r="O10" i="107"/>
  <c r="N10" i="107"/>
  <c r="M10" i="107"/>
  <c r="K10" i="107"/>
  <c r="I9" i="107"/>
  <c r="L9" i="107" s="1"/>
  <c r="I8" i="107"/>
  <c r="L8" i="107" s="1"/>
  <c r="I4" i="107"/>
  <c r="L4" i="107" s="1"/>
  <c r="L13" i="106"/>
  <c r="I13" i="106"/>
  <c r="AE54" i="106"/>
  <c r="AE53" i="106"/>
  <c r="AE18" i="106"/>
  <c r="AE15" i="106"/>
  <c r="L41" i="106"/>
  <c r="I41" i="106"/>
  <c r="L21" i="106"/>
  <c r="I21" i="106"/>
  <c r="L52" i="106"/>
  <c r="K53" i="106"/>
  <c r="M53" i="106"/>
  <c r="N53" i="106"/>
  <c r="O53" i="106"/>
  <c r="P53" i="106"/>
  <c r="Q53" i="106"/>
  <c r="R53" i="106"/>
  <c r="S53" i="106"/>
  <c r="T53" i="106"/>
  <c r="U53" i="106"/>
  <c r="V53" i="106"/>
  <c r="W53" i="106"/>
  <c r="X53" i="106"/>
  <c r="Y53" i="106"/>
  <c r="Z53" i="106"/>
  <c r="AA53" i="106"/>
  <c r="AB53" i="106"/>
  <c r="AC53" i="106"/>
  <c r="AD53" i="106"/>
  <c r="AF53" i="106"/>
  <c r="AG53" i="106"/>
  <c r="AH53" i="106"/>
  <c r="AI53" i="106"/>
  <c r="AJ53" i="106"/>
  <c r="AK53" i="106"/>
  <c r="AL53" i="106"/>
  <c r="AM53" i="106"/>
  <c r="K54" i="106"/>
  <c r="M54" i="106"/>
  <c r="N54" i="106"/>
  <c r="O54" i="106"/>
  <c r="P54" i="106"/>
  <c r="Q54" i="106"/>
  <c r="R54" i="106"/>
  <c r="S54" i="106"/>
  <c r="T54" i="106"/>
  <c r="U54" i="106"/>
  <c r="V54" i="106"/>
  <c r="W54" i="106"/>
  <c r="X54" i="106"/>
  <c r="Y54" i="106"/>
  <c r="Z54" i="106"/>
  <c r="AA54" i="106"/>
  <c r="AB54" i="106"/>
  <c r="AC54" i="106"/>
  <c r="AD54" i="106"/>
  <c r="AF54" i="106"/>
  <c r="AG54" i="106"/>
  <c r="AH54" i="106"/>
  <c r="AI54" i="106"/>
  <c r="AJ54" i="106"/>
  <c r="AK54" i="106"/>
  <c r="AL54" i="106"/>
  <c r="AM54" i="106"/>
  <c r="I42" i="106"/>
  <c r="L42" i="106"/>
  <c r="L53" i="106" s="1"/>
  <c r="I43" i="106"/>
  <c r="L43" i="106"/>
  <c r="I44" i="106"/>
  <c r="L44" i="106"/>
  <c r="I45" i="106"/>
  <c r="L45" i="106"/>
  <c r="I46" i="106"/>
  <c r="L46" i="106"/>
  <c r="I47" i="106"/>
  <c r="L47" i="106"/>
  <c r="I48" i="106"/>
  <c r="L48" i="106"/>
  <c r="I49" i="106"/>
  <c r="L49" i="106"/>
  <c r="I50" i="106"/>
  <c r="L50" i="106"/>
  <c r="I51" i="106"/>
  <c r="L51" i="106"/>
  <c r="K18" i="106"/>
  <c r="M18" i="106"/>
  <c r="N18" i="106"/>
  <c r="O18" i="106"/>
  <c r="P18" i="106"/>
  <c r="Q18" i="106"/>
  <c r="R18" i="106"/>
  <c r="S18" i="106"/>
  <c r="T18" i="106"/>
  <c r="U18" i="106"/>
  <c r="V18" i="106"/>
  <c r="W18" i="106"/>
  <c r="X18" i="106"/>
  <c r="Y18" i="106"/>
  <c r="Z18" i="106"/>
  <c r="AA18" i="106"/>
  <c r="AB18" i="106"/>
  <c r="AC18" i="106"/>
  <c r="AD18" i="106"/>
  <c r="AF18" i="106"/>
  <c r="AG18" i="106"/>
  <c r="AH18" i="106"/>
  <c r="AI18" i="106"/>
  <c r="AJ18" i="106"/>
  <c r="AK18" i="106"/>
  <c r="AL18" i="106"/>
  <c r="AM18" i="106"/>
  <c r="I19" i="106"/>
  <c r="I20" i="106"/>
  <c r="L20" i="106"/>
  <c r="I22" i="106"/>
  <c r="L22" i="106"/>
  <c r="I23" i="106"/>
  <c r="L23" i="106"/>
  <c r="I24" i="106"/>
  <c r="L24" i="106"/>
  <c r="I25" i="106"/>
  <c r="L25" i="106"/>
  <c r="I26" i="106"/>
  <c r="L26" i="106"/>
  <c r="I27" i="106"/>
  <c r="L27" i="106"/>
  <c r="I28" i="106"/>
  <c r="L28" i="106"/>
  <c r="I29" i="106"/>
  <c r="L29" i="106"/>
  <c r="I30" i="106"/>
  <c r="L30" i="106"/>
  <c r="I31" i="106"/>
  <c r="L31" i="106"/>
  <c r="I32" i="106"/>
  <c r="L32" i="106"/>
  <c r="I33" i="106"/>
  <c r="L33" i="106"/>
  <c r="I34" i="106"/>
  <c r="L34" i="106"/>
  <c r="I35" i="106"/>
  <c r="L35" i="106"/>
  <c r="I36" i="106"/>
  <c r="L36" i="106"/>
  <c r="I37" i="106"/>
  <c r="L37" i="106"/>
  <c r="I38" i="106"/>
  <c r="L38" i="106"/>
  <c r="I39" i="106"/>
  <c r="L39" i="106"/>
  <c r="I40" i="106"/>
  <c r="L40" i="106"/>
  <c r="I4" i="106"/>
  <c r="I5" i="106"/>
  <c r="L5" i="106"/>
  <c r="I6" i="106"/>
  <c r="L6" i="106"/>
  <c r="I7" i="106"/>
  <c r="L7" i="106"/>
  <c r="I8" i="106"/>
  <c r="L8" i="106"/>
  <c r="L15" i="106" s="1"/>
  <c r="I9" i="106"/>
  <c r="L9" i="106"/>
  <c r="I10" i="106"/>
  <c r="L10" i="106"/>
  <c r="I11" i="106"/>
  <c r="L11" i="106"/>
  <c r="I12" i="106"/>
  <c r="L12" i="106"/>
  <c r="I14" i="106"/>
  <c r="L14" i="106"/>
  <c r="K15" i="106"/>
  <c r="M15" i="106"/>
  <c r="N15" i="106"/>
  <c r="O15" i="106"/>
  <c r="P15" i="106"/>
  <c r="Q15" i="106"/>
  <c r="R15" i="106"/>
  <c r="S15" i="106"/>
  <c r="T15" i="106"/>
  <c r="U15" i="106"/>
  <c r="V15" i="106"/>
  <c r="W15" i="106"/>
  <c r="X15" i="106"/>
  <c r="Y15" i="106"/>
  <c r="Z15" i="106"/>
  <c r="AA15" i="106"/>
  <c r="AB15" i="106"/>
  <c r="AC15" i="106"/>
  <c r="AD15" i="106"/>
  <c r="AF15" i="106"/>
  <c r="AG15" i="106"/>
  <c r="AH15" i="106"/>
  <c r="AI15" i="106"/>
  <c r="AJ15" i="106"/>
  <c r="AK15" i="106"/>
  <c r="AL15" i="106"/>
  <c r="AM15" i="106"/>
  <c r="I16" i="106"/>
  <c r="L16" i="106"/>
  <c r="L18" i="106" s="1"/>
  <c r="AI84" i="105"/>
  <c r="AJ84" i="105"/>
  <c r="AH84" i="105"/>
  <c r="AI83" i="105"/>
  <c r="AJ83" i="105"/>
  <c r="AH83" i="105"/>
  <c r="AI82" i="105"/>
  <c r="AJ82" i="105"/>
  <c r="AH82" i="105"/>
  <c r="AI81" i="105"/>
  <c r="AJ81" i="105"/>
  <c r="AH81" i="105"/>
  <c r="AI80" i="105"/>
  <c r="AJ80" i="105"/>
  <c r="AH80" i="105"/>
  <c r="AI79" i="105"/>
  <c r="AJ79" i="105"/>
  <c r="AH79" i="105"/>
  <c r="L107" i="105"/>
  <c r="L108" i="105"/>
  <c r="L109" i="105"/>
  <c r="L110" i="105"/>
  <c r="L111" i="105"/>
  <c r="L112" i="105"/>
  <c r="L113" i="105"/>
  <c r="L114" i="105"/>
  <c r="L115" i="105"/>
  <c r="L116" i="105"/>
  <c r="I108" i="105"/>
  <c r="I109" i="105"/>
  <c r="I110" i="105"/>
  <c r="I111" i="105"/>
  <c r="I112" i="105"/>
  <c r="I113" i="105"/>
  <c r="I114" i="105"/>
  <c r="I115" i="105"/>
  <c r="I116" i="105"/>
  <c r="L102" i="105"/>
  <c r="L103" i="105"/>
  <c r="L104" i="105"/>
  <c r="L105" i="105"/>
  <c r="L106" i="105"/>
  <c r="I102" i="105"/>
  <c r="I103" i="105"/>
  <c r="I104" i="105"/>
  <c r="I105" i="105"/>
  <c r="I106" i="105"/>
  <c r="I107" i="105"/>
  <c r="L97" i="105"/>
  <c r="L98" i="105"/>
  <c r="L99" i="105"/>
  <c r="L100" i="105"/>
  <c r="L101" i="105"/>
  <c r="I97" i="105"/>
  <c r="I98" i="105"/>
  <c r="I99" i="105"/>
  <c r="I100" i="105"/>
  <c r="I101" i="105"/>
  <c r="L85" i="105"/>
  <c r="L86" i="105"/>
  <c r="L87" i="105"/>
  <c r="L88" i="105"/>
  <c r="L89" i="105"/>
  <c r="L90" i="105"/>
  <c r="I85" i="105"/>
  <c r="I86" i="105"/>
  <c r="I87" i="105"/>
  <c r="I88" i="105"/>
  <c r="I89" i="105"/>
  <c r="I90" i="105"/>
  <c r="K70" i="105"/>
  <c r="K69" i="105"/>
  <c r="K30" i="105"/>
  <c r="K28" i="105"/>
  <c r="L28" i="105" s="1"/>
  <c r="I28" i="105"/>
  <c r="I29" i="105"/>
  <c r="L29" i="105" s="1"/>
  <c r="K27" i="105"/>
  <c r="L143" i="111" l="1"/>
  <c r="U129" i="109"/>
  <c r="AG129" i="109"/>
  <c r="T129" i="109"/>
  <c r="AF129" i="109"/>
  <c r="AK129" i="109"/>
  <c r="AL129" i="109"/>
  <c r="M129" i="109"/>
  <c r="Q129" i="109"/>
  <c r="P129" i="109"/>
  <c r="R129" i="109"/>
  <c r="S129" i="109"/>
  <c r="AE129" i="109"/>
  <c r="V129" i="109"/>
  <c r="Y129" i="109"/>
  <c r="Z129" i="109"/>
  <c r="AD129" i="109"/>
  <c r="AB129" i="109"/>
  <c r="N129" i="109"/>
  <c r="O129" i="109"/>
  <c r="AA129" i="109"/>
  <c r="AC129" i="109"/>
  <c r="W129" i="109"/>
  <c r="L21" i="109"/>
  <c r="AI129" i="109"/>
  <c r="L18" i="109"/>
  <c r="K129" i="109"/>
  <c r="AH129" i="109"/>
  <c r="X129" i="109"/>
  <c r="AJ129" i="109"/>
  <c r="L23" i="109"/>
  <c r="S69" i="107"/>
  <c r="AF69" i="107"/>
  <c r="L10" i="107"/>
  <c r="AH69" i="107"/>
  <c r="AJ69" i="107"/>
  <c r="X69" i="107"/>
  <c r="T69" i="107"/>
  <c r="Z69" i="107"/>
  <c r="AK69" i="107"/>
  <c r="AL69" i="107"/>
  <c r="V69" i="107"/>
  <c r="Y69" i="107"/>
  <c r="N69" i="107"/>
  <c r="W69" i="107"/>
  <c r="M69" i="107"/>
  <c r="O69" i="107"/>
  <c r="Q69" i="107"/>
  <c r="R69" i="107"/>
  <c r="AD69" i="107"/>
  <c r="AA69" i="107"/>
  <c r="AB69" i="107"/>
  <c r="AC69" i="107"/>
  <c r="AG69" i="107"/>
  <c r="U69" i="107"/>
  <c r="P69" i="107"/>
  <c r="AI69" i="107"/>
  <c r="L65" i="107"/>
  <c r="L68" i="107" s="1"/>
  <c r="K69" i="107"/>
  <c r="L15" i="107"/>
  <c r="L54" i="106"/>
  <c r="I7" i="105"/>
  <c r="L7" i="105" s="1"/>
  <c r="I8" i="105"/>
  <c r="L8" i="105" s="1"/>
  <c r="I14" i="105"/>
  <c r="L14" i="105" s="1"/>
  <c r="L26" i="109" l="1"/>
  <c r="L128" i="109"/>
  <c r="L69" i="107"/>
  <c r="AE128" i="105"/>
  <c r="AM127" i="105"/>
  <c r="AL127" i="105"/>
  <c r="AK127" i="105"/>
  <c r="AJ127" i="105"/>
  <c r="AI127" i="105"/>
  <c r="AH127" i="105"/>
  <c r="AG127" i="105"/>
  <c r="AF127" i="105"/>
  <c r="AD127" i="105"/>
  <c r="AC127" i="105"/>
  <c r="AB127" i="105"/>
  <c r="AA127" i="105"/>
  <c r="Z127" i="105"/>
  <c r="Y127" i="105"/>
  <c r="X127" i="105"/>
  <c r="W127" i="105"/>
  <c r="V127" i="105"/>
  <c r="U127" i="105"/>
  <c r="T127" i="105"/>
  <c r="S127" i="105"/>
  <c r="R127" i="105"/>
  <c r="Q127" i="105"/>
  <c r="P127" i="105"/>
  <c r="O127" i="105"/>
  <c r="N127" i="105"/>
  <c r="M127" i="105"/>
  <c r="K127" i="105"/>
  <c r="I96" i="105"/>
  <c r="L96" i="105" s="1"/>
  <c r="I95" i="105"/>
  <c r="L95" i="105" s="1"/>
  <c r="I94" i="105"/>
  <c r="L94" i="105" s="1"/>
  <c r="I93" i="105"/>
  <c r="I92" i="105"/>
  <c r="L92" i="105" s="1"/>
  <c r="I91" i="105"/>
  <c r="L91" i="105" s="1"/>
  <c r="I84" i="105"/>
  <c r="L84" i="105" s="1"/>
  <c r="I83" i="105"/>
  <c r="L83" i="105" s="1"/>
  <c r="I82" i="105"/>
  <c r="L82" i="105" s="1"/>
  <c r="I81" i="105"/>
  <c r="L81" i="105" s="1"/>
  <c r="I80" i="105"/>
  <c r="L80" i="105" s="1"/>
  <c r="I79" i="105"/>
  <c r="L79" i="105" s="1"/>
  <c r="I78" i="105"/>
  <c r="L78" i="105" s="1"/>
  <c r="I77" i="105"/>
  <c r="L77" i="105" s="1"/>
  <c r="I76" i="105"/>
  <c r="L76" i="105" s="1"/>
  <c r="I75" i="105"/>
  <c r="L75" i="105" s="1"/>
  <c r="I74" i="105"/>
  <c r="L74" i="105" s="1"/>
  <c r="I73" i="105"/>
  <c r="L73" i="105" s="1"/>
  <c r="I72" i="105"/>
  <c r="L72" i="105" s="1"/>
  <c r="I71" i="105"/>
  <c r="L71" i="105" s="1"/>
  <c r="I70" i="105"/>
  <c r="L70" i="105" s="1"/>
  <c r="I69" i="105"/>
  <c r="L69" i="105" s="1"/>
  <c r="I68" i="105"/>
  <c r="L68" i="105" s="1"/>
  <c r="I67" i="105"/>
  <c r="L67" i="105" s="1"/>
  <c r="I66" i="105"/>
  <c r="L66" i="105" s="1"/>
  <c r="I65" i="105"/>
  <c r="L65" i="105" s="1"/>
  <c r="I64" i="105"/>
  <c r="L64" i="105" s="1"/>
  <c r="I63" i="105"/>
  <c r="L63" i="105" s="1"/>
  <c r="I62" i="105"/>
  <c r="L62" i="105" s="1"/>
  <c r="I61" i="105"/>
  <c r="L61" i="105" s="1"/>
  <c r="I60" i="105"/>
  <c r="L60" i="105" s="1"/>
  <c r="I59" i="105"/>
  <c r="L59" i="105" s="1"/>
  <c r="I58" i="105"/>
  <c r="L58" i="105" s="1"/>
  <c r="I57" i="105"/>
  <c r="L57" i="105" s="1"/>
  <c r="I56" i="105"/>
  <c r="L56" i="105" s="1"/>
  <c r="I55" i="105"/>
  <c r="L55" i="105" s="1"/>
  <c r="I54" i="105"/>
  <c r="L54" i="105" s="1"/>
  <c r="I53" i="105"/>
  <c r="L53" i="105" s="1"/>
  <c r="I52" i="105"/>
  <c r="L52" i="105" s="1"/>
  <c r="I51" i="105"/>
  <c r="L51" i="105" s="1"/>
  <c r="I50" i="105"/>
  <c r="L50" i="105" s="1"/>
  <c r="I49" i="105"/>
  <c r="L49" i="105" s="1"/>
  <c r="I48" i="105"/>
  <c r="L48" i="105" s="1"/>
  <c r="I47" i="105"/>
  <c r="L47" i="105" s="1"/>
  <c r="I46" i="105"/>
  <c r="L46" i="105" s="1"/>
  <c r="I45" i="105"/>
  <c r="L45" i="105" s="1"/>
  <c r="I44" i="105"/>
  <c r="L44" i="105" s="1"/>
  <c r="I43" i="105"/>
  <c r="L43" i="105" s="1"/>
  <c r="I42" i="105"/>
  <c r="L42" i="105" s="1"/>
  <c r="I41" i="105"/>
  <c r="L41" i="105" s="1"/>
  <c r="I40" i="105"/>
  <c r="L40" i="105" s="1"/>
  <c r="I39" i="105"/>
  <c r="L39" i="105" s="1"/>
  <c r="I38" i="105"/>
  <c r="L38" i="105" s="1"/>
  <c r="I37" i="105"/>
  <c r="L37" i="105" s="1"/>
  <c r="I36" i="105"/>
  <c r="L36" i="105" s="1"/>
  <c r="I35" i="105"/>
  <c r="L35" i="105" s="1"/>
  <c r="I34" i="105"/>
  <c r="L34" i="105" s="1"/>
  <c r="I33" i="105"/>
  <c r="L33" i="105" s="1"/>
  <c r="AM32" i="105"/>
  <c r="AL32" i="105"/>
  <c r="AK32" i="105"/>
  <c r="AJ32" i="105"/>
  <c r="AI32" i="105"/>
  <c r="AH32" i="105"/>
  <c r="AG32" i="105"/>
  <c r="AF32" i="105"/>
  <c r="AD32" i="105"/>
  <c r="AC32" i="105"/>
  <c r="AB32" i="105"/>
  <c r="AA32" i="105"/>
  <c r="Z32" i="105"/>
  <c r="Y32" i="105"/>
  <c r="X32" i="105"/>
  <c r="W32" i="105"/>
  <c r="V32" i="105"/>
  <c r="U32" i="105"/>
  <c r="T32" i="105"/>
  <c r="S32" i="105"/>
  <c r="R32" i="105"/>
  <c r="Q32" i="105"/>
  <c r="P32" i="105"/>
  <c r="O32" i="105"/>
  <c r="N32" i="105"/>
  <c r="M32" i="105"/>
  <c r="I31" i="105"/>
  <c r="L31" i="105" s="1"/>
  <c r="I30" i="105"/>
  <c r="L30" i="105" s="1"/>
  <c r="K32" i="105"/>
  <c r="I27" i="105"/>
  <c r="L27" i="105" s="1"/>
  <c r="I26" i="105"/>
  <c r="L26" i="105" s="1"/>
  <c r="AM25" i="105"/>
  <c r="AL25" i="105"/>
  <c r="AK25" i="105"/>
  <c r="AJ25" i="105"/>
  <c r="AI25" i="105"/>
  <c r="AH25" i="105"/>
  <c r="AG25" i="105"/>
  <c r="AF25" i="105"/>
  <c r="AD25" i="105"/>
  <c r="AC25" i="105"/>
  <c r="AB25" i="105"/>
  <c r="AA25" i="105"/>
  <c r="Z25" i="105"/>
  <c r="Y25" i="105"/>
  <c r="X25" i="105"/>
  <c r="W25" i="105"/>
  <c r="V25" i="105"/>
  <c r="U25" i="105"/>
  <c r="T25" i="105"/>
  <c r="S25" i="105"/>
  <c r="R25" i="105"/>
  <c r="Q25" i="105"/>
  <c r="P25" i="105"/>
  <c r="O25" i="105"/>
  <c r="N25" i="105"/>
  <c r="M25" i="105"/>
  <c r="K25" i="105"/>
  <c r="I24" i="105"/>
  <c r="L24" i="105" s="1"/>
  <c r="I23" i="105"/>
  <c r="L23" i="105" s="1"/>
  <c r="I22" i="105"/>
  <c r="L22" i="105" s="1"/>
  <c r="I21" i="105"/>
  <c r="L21" i="105" s="1"/>
  <c r="I20" i="105"/>
  <c r="L20" i="105" s="1"/>
  <c r="I19" i="105"/>
  <c r="L19" i="105" s="1"/>
  <c r="I18" i="105"/>
  <c r="L18" i="105" s="1"/>
  <c r="I17" i="105"/>
  <c r="L17" i="105" s="1"/>
  <c r="I16" i="105"/>
  <c r="L16" i="105" s="1"/>
  <c r="I15" i="105"/>
  <c r="L15" i="105" s="1"/>
  <c r="I13" i="105"/>
  <c r="L13" i="105" s="1"/>
  <c r="I12" i="105"/>
  <c r="L12" i="105" s="1"/>
  <c r="I11" i="105"/>
  <c r="L11" i="105" s="1"/>
  <c r="I10" i="105"/>
  <c r="L10" i="105" s="1"/>
  <c r="I9" i="105"/>
  <c r="L9" i="105" s="1"/>
  <c r="I6" i="105"/>
  <c r="L6" i="105" s="1"/>
  <c r="I5" i="105"/>
  <c r="L5" i="105" s="1"/>
  <c r="I4" i="105"/>
  <c r="L4" i="105" s="1"/>
  <c r="AF66" i="104"/>
  <c r="AF67" i="104" s="1"/>
  <c r="AB67" i="104"/>
  <c r="AB66" i="104"/>
  <c r="AB26" i="104"/>
  <c r="AB23" i="104"/>
  <c r="I42" i="104"/>
  <c r="L42" i="104" s="1"/>
  <c r="I48" i="104"/>
  <c r="L48" i="104" s="1"/>
  <c r="I61" i="104"/>
  <c r="L61" i="104" s="1"/>
  <c r="I62" i="104"/>
  <c r="L62" i="104" s="1"/>
  <c r="I63" i="104"/>
  <c r="I64" i="104"/>
  <c r="L63" i="104"/>
  <c r="L64" i="104"/>
  <c r="AN66" i="104"/>
  <c r="AM66" i="104"/>
  <c r="AL66" i="104"/>
  <c r="AK66" i="104"/>
  <c r="AJ66" i="104"/>
  <c r="AI66" i="104"/>
  <c r="AH66" i="104"/>
  <c r="AG66" i="104"/>
  <c r="AE66" i="104"/>
  <c r="AD66" i="104"/>
  <c r="AC66" i="104"/>
  <c r="AA66" i="104"/>
  <c r="Z66" i="104"/>
  <c r="Y66" i="104"/>
  <c r="X66" i="104"/>
  <c r="W66" i="104"/>
  <c r="V66" i="104"/>
  <c r="U66" i="104"/>
  <c r="T66" i="104"/>
  <c r="S66" i="104"/>
  <c r="R66" i="104"/>
  <c r="Q66" i="104"/>
  <c r="P66" i="104"/>
  <c r="O66" i="104"/>
  <c r="N66" i="104"/>
  <c r="M66" i="104"/>
  <c r="K66" i="104"/>
  <c r="L65" i="104"/>
  <c r="I60" i="104"/>
  <c r="L60" i="104" s="1"/>
  <c r="I59" i="104"/>
  <c r="L59" i="104" s="1"/>
  <c r="I58" i="104"/>
  <c r="L58" i="104" s="1"/>
  <c r="I57" i="104"/>
  <c r="L57" i="104" s="1"/>
  <c r="I56" i="104"/>
  <c r="L56" i="104" s="1"/>
  <c r="I55" i="104"/>
  <c r="L55" i="104" s="1"/>
  <c r="I54" i="104"/>
  <c r="L54" i="104" s="1"/>
  <c r="I53" i="104"/>
  <c r="L53" i="104" s="1"/>
  <c r="I52" i="104"/>
  <c r="L52" i="104" s="1"/>
  <c r="I51" i="104"/>
  <c r="L51" i="104" s="1"/>
  <c r="I50" i="104"/>
  <c r="L50" i="104" s="1"/>
  <c r="I49" i="104"/>
  <c r="L49" i="104" s="1"/>
  <c r="I47" i="104"/>
  <c r="L47" i="104" s="1"/>
  <c r="I46" i="104"/>
  <c r="L46" i="104" s="1"/>
  <c r="I45" i="104"/>
  <c r="L45" i="104" s="1"/>
  <c r="I44" i="104"/>
  <c r="L44" i="104" s="1"/>
  <c r="I43" i="104"/>
  <c r="L43" i="104" s="1"/>
  <c r="I41" i="104"/>
  <c r="L41" i="104" s="1"/>
  <c r="I40" i="104"/>
  <c r="L40" i="104" s="1"/>
  <c r="I39" i="104"/>
  <c r="L39" i="104" s="1"/>
  <c r="I38" i="104"/>
  <c r="L38" i="104" s="1"/>
  <c r="I37" i="104"/>
  <c r="L37" i="104" s="1"/>
  <c r="I36" i="104"/>
  <c r="L36" i="104" s="1"/>
  <c r="I35" i="104"/>
  <c r="L35" i="104" s="1"/>
  <c r="I34" i="104"/>
  <c r="L34" i="104" s="1"/>
  <c r="I33" i="104"/>
  <c r="L33" i="104" s="1"/>
  <c r="I32" i="104"/>
  <c r="L32" i="104" s="1"/>
  <c r="I31" i="104"/>
  <c r="L31" i="104" s="1"/>
  <c r="I30" i="104"/>
  <c r="L30" i="104" s="1"/>
  <c r="I29" i="104"/>
  <c r="L29" i="104" s="1"/>
  <c r="I28" i="104"/>
  <c r="L28" i="104" s="1"/>
  <c r="I27" i="104"/>
  <c r="AN26" i="104"/>
  <c r="AM26" i="104"/>
  <c r="AL26" i="104"/>
  <c r="AK26" i="104"/>
  <c r="AJ26" i="104"/>
  <c r="AI26" i="104"/>
  <c r="AH26" i="104"/>
  <c r="AG26" i="104"/>
  <c r="AE26" i="104"/>
  <c r="AD26" i="104"/>
  <c r="AC26" i="104"/>
  <c r="AA26" i="104"/>
  <c r="Z26" i="104"/>
  <c r="Y26" i="104"/>
  <c r="X26" i="104"/>
  <c r="W26" i="104"/>
  <c r="V26" i="104"/>
  <c r="U26" i="104"/>
  <c r="T26" i="104"/>
  <c r="S26" i="104"/>
  <c r="R26" i="104"/>
  <c r="Q26" i="104"/>
  <c r="P26" i="104"/>
  <c r="O26" i="104"/>
  <c r="N26" i="104"/>
  <c r="M26" i="104"/>
  <c r="K26" i="104"/>
  <c r="I24" i="104"/>
  <c r="L24" i="104" s="1"/>
  <c r="L26" i="104" s="1"/>
  <c r="AN23" i="104"/>
  <c r="AM23" i="104"/>
  <c r="AM67" i="104" s="1"/>
  <c r="AL23" i="104"/>
  <c r="AL67" i="104" s="1"/>
  <c r="AK23" i="104"/>
  <c r="AJ23" i="104"/>
  <c r="AI23" i="104"/>
  <c r="AH23" i="104"/>
  <c r="AH67" i="104" s="1"/>
  <c r="AG23" i="104"/>
  <c r="AG67" i="104" s="1"/>
  <c r="AE23" i="104"/>
  <c r="AE67" i="104" s="1"/>
  <c r="AD23" i="104"/>
  <c r="AC23" i="104"/>
  <c r="AA23" i="104"/>
  <c r="AA67" i="104" s="1"/>
  <c r="Z23" i="104"/>
  <c r="Y23" i="104"/>
  <c r="Y67" i="104" s="1"/>
  <c r="X23" i="104"/>
  <c r="X67" i="104" s="1"/>
  <c r="W23" i="104"/>
  <c r="V23" i="104"/>
  <c r="U23" i="104"/>
  <c r="T23" i="104"/>
  <c r="T67" i="104" s="1"/>
  <c r="S23" i="104"/>
  <c r="S67" i="104" s="1"/>
  <c r="R23" i="104"/>
  <c r="R67" i="104" s="1"/>
  <c r="Q23" i="104"/>
  <c r="P23" i="104"/>
  <c r="O23" i="104"/>
  <c r="O67" i="104" s="1"/>
  <c r="N23" i="104"/>
  <c r="M23" i="104"/>
  <c r="M67" i="104" s="1"/>
  <c r="K23" i="104"/>
  <c r="K67" i="104" s="1"/>
  <c r="I22" i="104"/>
  <c r="L22" i="104" s="1"/>
  <c r="I21" i="104"/>
  <c r="L21" i="104" s="1"/>
  <c r="I20" i="104"/>
  <c r="L20" i="104" s="1"/>
  <c r="I19" i="104"/>
  <c r="L19" i="104" s="1"/>
  <c r="I18" i="104"/>
  <c r="L18" i="104" s="1"/>
  <c r="I17" i="104"/>
  <c r="L17" i="104" s="1"/>
  <c r="I16" i="104"/>
  <c r="L16" i="104" s="1"/>
  <c r="I15" i="104"/>
  <c r="L15" i="104" s="1"/>
  <c r="I14" i="104"/>
  <c r="L14" i="104" s="1"/>
  <c r="I13" i="104"/>
  <c r="L13" i="104" s="1"/>
  <c r="I12" i="104"/>
  <c r="L12" i="104" s="1"/>
  <c r="I11" i="104"/>
  <c r="L11" i="104" s="1"/>
  <c r="I10" i="104"/>
  <c r="L10" i="104" s="1"/>
  <c r="I9" i="104"/>
  <c r="L9" i="104" s="1"/>
  <c r="I8" i="104"/>
  <c r="L8" i="104" s="1"/>
  <c r="I7" i="104"/>
  <c r="L7" i="104" s="1"/>
  <c r="I6" i="104"/>
  <c r="L6" i="104" s="1"/>
  <c r="I5" i="104"/>
  <c r="L5" i="104" s="1"/>
  <c r="I4" i="104"/>
  <c r="L57" i="103"/>
  <c r="K92" i="103"/>
  <c r="K91" i="103"/>
  <c r="K90" i="103"/>
  <c r="K89" i="103"/>
  <c r="I72" i="103"/>
  <c r="L72" i="103" s="1"/>
  <c r="I73" i="103"/>
  <c r="L73" i="103" s="1"/>
  <c r="I74" i="103"/>
  <c r="L74" i="103" s="1"/>
  <c r="I20" i="103"/>
  <c r="L20" i="103" s="1"/>
  <c r="I21" i="103"/>
  <c r="L21" i="103" s="1"/>
  <c r="I22" i="103"/>
  <c r="I23" i="103"/>
  <c r="I24" i="103"/>
  <c r="I87" i="103"/>
  <c r="L87" i="103" s="1"/>
  <c r="K52" i="103"/>
  <c r="I48" i="103"/>
  <c r="L48" i="103" s="1"/>
  <c r="L129" i="109" l="1"/>
  <c r="AJ128" i="105"/>
  <c r="M128" i="105"/>
  <c r="Y128" i="105"/>
  <c r="AL128" i="105"/>
  <c r="N128" i="105"/>
  <c r="Z128" i="105"/>
  <c r="AK128" i="105"/>
  <c r="AB128" i="105"/>
  <c r="P128" i="105"/>
  <c r="AA128" i="105"/>
  <c r="O128" i="105"/>
  <c r="AM128" i="105"/>
  <c r="AD128" i="105"/>
  <c r="AC128" i="105"/>
  <c r="AF128" i="105"/>
  <c r="AG128" i="105"/>
  <c r="AH128" i="105"/>
  <c r="AI128" i="105"/>
  <c r="L93" i="105"/>
  <c r="L127" i="105" s="1"/>
  <c r="Q128" i="105"/>
  <c r="R128" i="105"/>
  <c r="S128" i="105"/>
  <c r="T128" i="105"/>
  <c r="U128" i="105"/>
  <c r="V128" i="105"/>
  <c r="W128" i="105"/>
  <c r="X128" i="105"/>
  <c r="K128" i="105"/>
  <c r="L25" i="105"/>
  <c r="L66" i="104"/>
  <c r="U67" i="104"/>
  <c r="AI67" i="104"/>
  <c r="V67" i="104"/>
  <c r="AJ67" i="104"/>
  <c r="W67" i="104"/>
  <c r="AK67" i="104"/>
  <c r="N67" i="104"/>
  <c r="Z67" i="104"/>
  <c r="AN67" i="104"/>
  <c r="AC67" i="104"/>
  <c r="P67" i="104"/>
  <c r="L23" i="104"/>
  <c r="L67" i="104" s="1"/>
  <c r="Q67" i="104"/>
  <c r="AD67" i="104"/>
  <c r="K33" i="103"/>
  <c r="K31" i="103"/>
  <c r="L32" i="105" l="1"/>
  <c r="L128" i="105" s="1"/>
  <c r="I93" i="103"/>
  <c r="L93" i="103" s="1"/>
  <c r="I94" i="103"/>
  <c r="L94" i="103" s="1"/>
  <c r="I95" i="103"/>
  <c r="L95" i="103" s="1"/>
  <c r="I96" i="103"/>
  <c r="L96" i="103" s="1"/>
  <c r="I97" i="103"/>
  <c r="L97" i="103" s="1"/>
  <c r="K88" i="103"/>
  <c r="I49" i="103"/>
  <c r="L49" i="103" s="1"/>
  <c r="I19" i="103"/>
  <c r="L19" i="103" s="1"/>
  <c r="L22" i="103"/>
  <c r="L23" i="103"/>
  <c r="L24" i="103"/>
  <c r="I25" i="103"/>
  <c r="L25" i="103" s="1"/>
  <c r="I13" i="103"/>
  <c r="L13" i="103" s="1"/>
  <c r="I14" i="103"/>
  <c r="L14" i="103" s="1"/>
  <c r="I15" i="103"/>
  <c r="L15" i="103" s="1"/>
  <c r="I16" i="103"/>
  <c r="L16" i="103" s="1"/>
  <c r="I17" i="103"/>
  <c r="L17" i="103" s="1"/>
  <c r="I10" i="103"/>
  <c r="L10" i="103" s="1"/>
  <c r="I11" i="103"/>
  <c r="L11" i="103" s="1"/>
  <c r="I12" i="103"/>
  <c r="L12" i="103" s="1"/>
  <c r="I18" i="103"/>
  <c r="L18" i="103" s="1"/>
  <c r="I41" i="103"/>
  <c r="L41" i="103" s="1"/>
  <c r="I42" i="103"/>
  <c r="L42" i="103" s="1"/>
  <c r="I43" i="103"/>
  <c r="L43" i="103" s="1"/>
  <c r="I44" i="103"/>
  <c r="L44" i="103" s="1"/>
  <c r="I45" i="103"/>
  <c r="L45" i="103" s="1"/>
  <c r="I46" i="103"/>
  <c r="L46" i="103" s="1"/>
  <c r="I47" i="103"/>
  <c r="L47" i="103" s="1"/>
  <c r="I50" i="103"/>
  <c r="L50" i="103" s="1"/>
  <c r="I51" i="103"/>
  <c r="L51" i="103" s="1"/>
  <c r="I52" i="103"/>
  <c r="L52" i="103" s="1"/>
  <c r="I53" i="103"/>
  <c r="L53" i="103" s="1"/>
  <c r="I54" i="103"/>
  <c r="L54" i="103" s="1"/>
  <c r="I55" i="103"/>
  <c r="L55" i="103" s="1"/>
  <c r="I56" i="103"/>
  <c r="L56" i="103" s="1"/>
  <c r="I57" i="103"/>
  <c r="I58" i="103"/>
  <c r="L58" i="103" s="1"/>
  <c r="I59" i="103"/>
  <c r="L59" i="103" s="1"/>
  <c r="I60" i="103"/>
  <c r="L60" i="103" s="1"/>
  <c r="I61" i="103"/>
  <c r="L61" i="103" s="1"/>
  <c r="I62" i="103"/>
  <c r="L62" i="103" s="1"/>
  <c r="I63" i="103"/>
  <c r="L63" i="103" s="1"/>
  <c r="I64" i="103"/>
  <c r="L64" i="103" s="1"/>
  <c r="I65" i="103"/>
  <c r="L65" i="103" s="1"/>
  <c r="I66" i="103"/>
  <c r="L66" i="103" s="1"/>
  <c r="I67" i="103"/>
  <c r="L67" i="103" s="1"/>
  <c r="I68" i="103"/>
  <c r="L68" i="103" s="1"/>
  <c r="I69" i="103"/>
  <c r="L69" i="103" s="1"/>
  <c r="I70" i="103"/>
  <c r="L70" i="103" s="1"/>
  <c r="I71" i="103"/>
  <c r="L71" i="103" s="1"/>
  <c r="I75" i="103"/>
  <c r="L75" i="103" s="1"/>
  <c r="I76" i="103"/>
  <c r="L76" i="103" s="1"/>
  <c r="I77" i="103"/>
  <c r="L77" i="103" s="1"/>
  <c r="I78" i="103"/>
  <c r="L78" i="103" s="1"/>
  <c r="I79" i="103"/>
  <c r="L79" i="103" s="1"/>
  <c r="I80" i="103"/>
  <c r="L80" i="103" s="1"/>
  <c r="I81" i="103"/>
  <c r="L81" i="103" s="1"/>
  <c r="I82" i="103"/>
  <c r="L82" i="103" s="1"/>
  <c r="I83" i="103"/>
  <c r="L83" i="103" s="1"/>
  <c r="I84" i="103"/>
  <c r="L84" i="103" s="1"/>
  <c r="I85" i="103"/>
  <c r="L85" i="103" s="1"/>
  <c r="I33" i="103"/>
  <c r="L33" i="103" s="1"/>
  <c r="I34" i="103"/>
  <c r="L34" i="103" s="1"/>
  <c r="I7" i="103"/>
  <c r="L7" i="103" s="1"/>
  <c r="I8" i="103"/>
  <c r="L8" i="103" s="1"/>
  <c r="I9" i="103"/>
  <c r="L9" i="103" s="1"/>
  <c r="I6" i="103"/>
  <c r="L6" i="103" s="1"/>
  <c r="I26" i="103"/>
  <c r="L26" i="103" s="1"/>
  <c r="I27" i="103"/>
  <c r="L27" i="103" s="1"/>
  <c r="I5" i="103"/>
  <c r="L5" i="103" s="1"/>
  <c r="AE101" i="103"/>
  <c r="AM100" i="103"/>
  <c r="AL100" i="103"/>
  <c r="AG100" i="103"/>
  <c r="AF100" i="103"/>
  <c r="AD100" i="103"/>
  <c r="AC100" i="103"/>
  <c r="AB100" i="103"/>
  <c r="AA100" i="103"/>
  <c r="W100" i="103"/>
  <c r="V100" i="103"/>
  <c r="U100" i="103"/>
  <c r="T100" i="103"/>
  <c r="S100" i="103"/>
  <c r="R100" i="103"/>
  <c r="Q100" i="103"/>
  <c r="P100" i="103"/>
  <c r="O100" i="103"/>
  <c r="N100" i="103"/>
  <c r="M100" i="103"/>
  <c r="I99" i="103"/>
  <c r="L99" i="103" s="1"/>
  <c r="I98" i="103"/>
  <c r="L98" i="103" s="1"/>
  <c r="I92" i="103"/>
  <c r="I91" i="103"/>
  <c r="L91" i="103" s="1"/>
  <c r="I90" i="103"/>
  <c r="L90" i="103" s="1"/>
  <c r="I89" i="103"/>
  <c r="L89" i="103" s="1"/>
  <c r="I88" i="103"/>
  <c r="AK100" i="103"/>
  <c r="AJ100" i="103"/>
  <c r="AI100" i="103"/>
  <c r="AH100" i="103"/>
  <c r="I86" i="103"/>
  <c r="L86" i="103" s="1"/>
  <c r="I40" i="103"/>
  <c r="L40" i="103" s="1"/>
  <c r="I39" i="103"/>
  <c r="L39" i="103" s="1"/>
  <c r="I38" i="103"/>
  <c r="L38" i="103" s="1"/>
  <c r="I37" i="103"/>
  <c r="L37" i="103" s="1"/>
  <c r="I36" i="103"/>
  <c r="L36" i="103" s="1"/>
  <c r="AM35" i="103"/>
  <c r="AL35" i="103"/>
  <c r="AK35" i="103"/>
  <c r="AJ35" i="103"/>
  <c r="AI35" i="103"/>
  <c r="AH35" i="103"/>
  <c r="AG35" i="103"/>
  <c r="AF35" i="103"/>
  <c r="AD35" i="103"/>
  <c r="AC35" i="103"/>
  <c r="AB35" i="103"/>
  <c r="AA35" i="103"/>
  <c r="Z35" i="103"/>
  <c r="Y35" i="103"/>
  <c r="X35" i="103"/>
  <c r="W35" i="103"/>
  <c r="V35" i="103"/>
  <c r="U35" i="103"/>
  <c r="T35" i="103"/>
  <c r="S35" i="103"/>
  <c r="R35" i="103"/>
  <c r="Q35" i="103"/>
  <c r="P35" i="103"/>
  <c r="O35" i="103"/>
  <c r="N35" i="103"/>
  <c r="M35" i="103"/>
  <c r="I32" i="103"/>
  <c r="L32" i="103" s="1"/>
  <c r="K35" i="103"/>
  <c r="I31" i="103"/>
  <c r="I30" i="103"/>
  <c r="L30" i="103" s="1"/>
  <c r="AM29" i="103"/>
  <c r="AL29" i="103"/>
  <c r="AK29" i="103"/>
  <c r="AJ29" i="103"/>
  <c r="AI29" i="103"/>
  <c r="AH29" i="103"/>
  <c r="AG29" i="103"/>
  <c r="AF29" i="103"/>
  <c r="AD29" i="103"/>
  <c r="AC29" i="103"/>
  <c r="AB29" i="103"/>
  <c r="AA29" i="103"/>
  <c r="Z29" i="103"/>
  <c r="Y29" i="103"/>
  <c r="X29" i="103"/>
  <c r="W29" i="103"/>
  <c r="V29" i="103"/>
  <c r="U29" i="103"/>
  <c r="T29" i="103"/>
  <c r="S29" i="103"/>
  <c r="R29" i="103"/>
  <c r="Q29" i="103"/>
  <c r="P29" i="103"/>
  <c r="O29" i="103"/>
  <c r="N29" i="103"/>
  <c r="M29" i="103"/>
  <c r="K29" i="103"/>
  <c r="I28" i="103"/>
  <c r="L28" i="103" s="1"/>
  <c r="I4" i="103"/>
  <c r="L4" i="103" s="1"/>
  <c r="K58" i="102"/>
  <c r="I5" i="102"/>
  <c r="K66" i="102"/>
  <c r="I46" i="102"/>
  <c r="L46" i="102"/>
  <c r="AE58" i="102"/>
  <c r="AE16" i="102"/>
  <c r="AE19" i="102"/>
  <c r="AM58" i="102"/>
  <c r="AL58" i="102"/>
  <c r="AK58" i="102"/>
  <c r="AJ58" i="102"/>
  <c r="AI58" i="102"/>
  <c r="AH58" i="102"/>
  <c r="AG58" i="102"/>
  <c r="AF58" i="102"/>
  <c r="AD58" i="102"/>
  <c r="AC58" i="102"/>
  <c r="AB58" i="102"/>
  <c r="AA58" i="102"/>
  <c r="Z58" i="102"/>
  <c r="Y58" i="102"/>
  <c r="X58" i="102"/>
  <c r="W58" i="102"/>
  <c r="V58" i="102"/>
  <c r="U58" i="102"/>
  <c r="T58" i="102"/>
  <c r="S58" i="102"/>
  <c r="R58" i="102"/>
  <c r="Q58" i="102"/>
  <c r="P58" i="102"/>
  <c r="O58" i="102"/>
  <c r="N58" i="102"/>
  <c r="M58" i="102"/>
  <c r="L57" i="102"/>
  <c r="I56" i="102"/>
  <c r="L56" i="102" s="1"/>
  <c r="I55" i="102"/>
  <c r="L55" i="102" s="1"/>
  <c r="I54" i="102"/>
  <c r="L54" i="102" s="1"/>
  <c r="I53" i="102"/>
  <c r="L53" i="102" s="1"/>
  <c r="I52" i="102"/>
  <c r="L52" i="102" s="1"/>
  <c r="I51" i="102"/>
  <c r="L51" i="102" s="1"/>
  <c r="I50" i="102"/>
  <c r="L50" i="102" s="1"/>
  <c r="I49" i="102"/>
  <c r="L49" i="102" s="1"/>
  <c r="I47" i="102"/>
  <c r="L47" i="102" s="1"/>
  <c r="I45" i="102"/>
  <c r="L45" i="102" s="1"/>
  <c r="I44" i="102"/>
  <c r="L44" i="102" s="1"/>
  <c r="I43" i="102"/>
  <c r="L43" i="102" s="1"/>
  <c r="I42" i="102"/>
  <c r="L42" i="102" s="1"/>
  <c r="I41" i="102"/>
  <c r="L41" i="102" s="1"/>
  <c r="I40" i="102"/>
  <c r="L40" i="102" s="1"/>
  <c r="I39" i="102"/>
  <c r="L39" i="102" s="1"/>
  <c r="I38" i="102"/>
  <c r="L38" i="102" s="1"/>
  <c r="I37" i="102"/>
  <c r="L37" i="102" s="1"/>
  <c r="I36" i="102"/>
  <c r="L36" i="102" s="1"/>
  <c r="I35" i="102"/>
  <c r="L35" i="102" s="1"/>
  <c r="I34" i="102"/>
  <c r="L34" i="102" s="1"/>
  <c r="I33" i="102"/>
  <c r="L33" i="102" s="1"/>
  <c r="I32" i="102"/>
  <c r="L32" i="102" s="1"/>
  <c r="I31" i="102"/>
  <c r="L31" i="102" s="1"/>
  <c r="I30" i="102"/>
  <c r="L30" i="102" s="1"/>
  <c r="I29" i="102"/>
  <c r="L29" i="102" s="1"/>
  <c r="I28" i="102"/>
  <c r="L28" i="102" s="1"/>
  <c r="I26" i="102"/>
  <c r="L26" i="102" s="1"/>
  <c r="I25" i="102"/>
  <c r="L25" i="102" s="1"/>
  <c r="I24" i="102"/>
  <c r="L24" i="102" s="1"/>
  <c r="I23" i="102"/>
  <c r="L23" i="102" s="1"/>
  <c r="I22" i="102"/>
  <c r="L22" i="102" s="1"/>
  <c r="I21" i="102"/>
  <c r="L21" i="102" s="1"/>
  <c r="I20" i="102"/>
  <c r="AM19" i="102"/>
  <c r="AL19" i="102"/>
  <c r="AK19" i="102"/>
  <c r="AJ19" i="102"/>
  <c r="AI19" i="102"/>
  <c r="AH19" i="102"/>
  <c r="AG19" i="102"/>
  <c r="AF19" i="102"/>
  <c r="AD19" i="102"/>
  <c r="AC19" i="102"/>
  <c r="AB19" i="102"/>
  <c r="AA19" i="102"/>
  <c r="Z19" i="102"/>
  <c r="Y19" i="102"/>
  <c r="X19" i="102"/>
  <c r="W19" i="102"/>
  <c r="V19" i="102"/>
  <c r="U19" i="102"/>
  <c r="T19" i="102"/>
  <c r="S19" i="102"/>
  <c r="R19" i="102"/>
  <c r="Q19" i="102"/>
  <c r="P19" i="102"/>
  <c r="O19" i="102"/>
  <c r="N19" i="102"/>
  <c r="M19" i="102"/>
  <c r="K19" i="102"/>
  <c r="I17" i="102"/>
  <c r="L17" i="102" s="1"/>
  <c r="L19" i="102" s="1"/>
  <c r="AM16" i="102"/>
  <c r="AL16" i="102"/>
  <c r="AK16" i="102"/>
  <c r="AJ16" i="102"/>
  <c r="AI16" i="102"/>
  <c r="AH16" i="102"/>
  <c r="AG16" i="102"/>
  <c r="AF16" i="102"/>
  <c r="AF59" i="102" s="1"/>
  <c r="AD16" i="102"/>
  <c r="AC16" i="102"/>
  <c r="AC59" i="102" s="1"/>
  <c r="AB16" i="102"/>
  <c r="AB59" i="102" s="1"/>
  <c r="AA16" i="102"/>
  <c r="AA59" i="102" s="1"/>
  <c r="Z16" i="102"/>
  <c r="Y16" i="102"/>
  <c r="X16" i="102"/>
  <c r="W16" i="102"/>
  <c r="V16" i="102"/>
  <c r="U16" i="102"/>
  <c r="T16" i="102"/>
  <c r="S16" i="102"/>
  <c r="R16" i="102"/>
  <c r="Q16" i="102"/>
  <c r="Q59" i="102" s="1"/>
  <c r="P16" i="102"/>
  <c r="O16" i="102"/>
  <c r="O59" i="102" s="1"/>
  <c r="N16" i="102"/>
  <c r="N59" i="102" s="1"/>
  <c r="M16" i="102"/>
  <c r="M59" i="102" s="1"/>
  <c r="K16" i="102"/>
  <c r="I15" i="102"/>
  <c r="L15" i="102" s="1"/>
  <c r="I14" i="102"/>
  <c r="L14" i="102" s="1"/>
  <c r="I13" i="102"/>
  <c r="L13" i="102" s="1"/>
  <c r="I12" i="102"/>
  <c r="L12" i="102" s="1"/>
  <c r="I11" i="102"/>
  <c r="L11" i="102" s="1"/>
  <c r="I10" i="102"/>
  <c r="L10" i="102" s="1"/>
  <c r="I9" i="102"/>
  <c r="L9" i="102" s="1"/>
  <c r="I8" i="102"/>
  <c r="L8" i="102" s="1"/>
  <c r="I7" i="102"/>
  <c r="L7" i="102" s="1"/>
  <c r="L16" i="102" s="1"/>
  <c r="I6" i="102"/>
  <c r="L6" i="102" s="1"/>
  <c r="AI52" i="101"/>
  <c r="AJ52" i="101"/>
  <c r="AK52" i="101"/>
  <c r="AH52" i="101"/>
  <c r="Y57" i="101"/>
  <c r="Z57" i="101"/>
  <c r="Y58" i="101"/>
  <c r="Z58" i="101"/>
  <c r="Y59" i="101"/>
  <c r="Z59" i="101"/>
  <c r="X59" i="101"/>
  <c r="X58" i="101"/>
  <c r="X57" i="101"/>
  <c r="K59" i="101"/>
  <c r="K57" i="101"/>
  <c r="K9" i="101"/>
  <c r="I22" i="101"/>
  <c r="L22" i="101" s="1"/>
  <c r="I23" i="101"/>
  <c r="L23" i="101" s="1"/>
  <c r="I24" i="101"/>
  <c r="L24" i="101" s="1"/>
  <c r="I25" i="101"/>
  <c r="L25" i="101" s="1"/>
  <c r="I21" i="101"/>
  <c r="L21" i="101" s="1"/>
  <c r="I20" i="101"/>
  <c r="L20" i="101" s="1"/>
  <c r="I19" i="101"/>
  <c r="L19" i="101" s="1"/>
  <c r="I18" i="101"/>
  <c r="L18" i="101" s="1"/>
  <c r="I17" i="101"/>
  <c r="L17" i="101" s="1"/>
  <c r="I16" i="101"/>
  <c r="L16" i="101" s="1"/>
  <c r="AE63" i="101"/>
  <c r="AM62" i="101"/>
  <c r="AL62" i="101"/>
  <c r="AG62" i="101"/>
  <c r="AF62" i="101"/>
  <c r="AD62" i="101"/>
  <c r="AC62" i="101"/>
  <c r="AB62" i="101"/>
  <c r="AA62" i="101"/>
  <c r="Z62" i="101"/>
  <c r="Y62" i="101"/>
  <c r="X62" i="101"/>
  <c r="W62" i="101"/>
  <c r="V62" i="101"/>
  <c r="U62" i="101"/>
  <c r="T62" i="101"/>
  <c r="S62" i="101"/>
  <c r="R62" i="101"/>
  <c r="Q62" i="101"/>
  <c r="P62" i="101"/>
  <c r="O62" i="101"/>
  <c r="N62" i="101"/>
  <c r="M62" i="101"/>
  <c r="K62" i="101"/>
  <c r="I61" i="101"/>
  <c r="L61" i="101" s="1"/>
  <c r="I60" i="101"/>
  <c r="L60" i="101" s="1"/>
  <c r="I59" i="101"/>
  <c r="L59" i="101" s="1"/>
  <c r="I58" i="101"/>
  <c r="L58" i="101" s="1"/>
  <c r="I57" i="101"/>
  <c r="L57" i="101" s="1"/>
  <c r="I56" i="101"/>
  <c r="L56" i="101" s="1"/>
  <c r="I55" i="101"/>
  <c r="L55" i="101" s="1"/>
  <c r="I54" i="101"/>
  <c r="L54" i="101" s="1"/>
  <c r="I53" i="101"/>
  <c r="L53" i="101" s="1"/>
  <c r="I52" i="101"/>
  <c r="L52" i="101" s="1"/>
  <c r="AJ62" i="101"/>
  <c r="AI62" i="101"/>
  <c r="AK62" i="101"/>
  <c r="AH62" i="101"/>
  <c r="I51" i="101"/>
  <c r="L51" i="101" s="1"/>
  <c r="I50" i="101"/>
  <c r="L50" i="101" s="1"/>
  <c r="I49" i="101"/>
  <c r="L49" i="101" s="1"/>
  <c r="I48" i="101"/>
  <c r="L48" i="101" s="1"/>
  <c r="I47" i="101"/>
  <c r="L47" i="101" s="1"/>
  <c r="I46" i="101"/>
  <c r="L46" i="101" s="1"/>
  <c r="I45" i="101"/>
  <c r="L45" i="101" s="1"/>
  <c r="I44" i="101"/>
  <c r="L44" i="101" s="1"/>
  <c r="I43" i="101"/>
  <c r="L43" i="101" s="1"/>
  <c r="I42" i="101"/>
  <c r="L42" i="101" s="1"/>
  <c r="I41" i="101"/>
  <c r="L41" i="101" s="1"/>
  <c r="I40" i="101"/>
  <c r="L40" i="101" s="1"/>
  <c r="I39" i="101"/>
  <c r="L39" i="101" s="1"/>
  <c r="I38" i="101"/>
  <c r="L38" i="101" s="1"/>
  <c r="I37" i="101"/>
  <c r="L37" i="101" s="1"/>
  <c r="I36" i="101"/>
  <c r="L36" i="101" s="1"/>
  <c r="I35" i="101"/>
  <c r="L35" i="101" s="1"/>
  <c r="I34" i="101"/>
  <c r="L34" i="101" s="1"/>
  <c r="I33" i="101"/>
  <c r="L33" i="101" s="1"/>
  <c r="I32" i="101"/>
  <c r="L32" i="101" s="1"/>
  <c r="I31" i="101"/>
  <c r="L31" i="101" s="1"/>
  <c r="I30" i="101"/>
  <c r="L30" i="101" s="1"/>
  <c r="I29" i="101"/>
  <c r="L29" i="101" s="1"/>
  <c r="I28" i="101"/>
  <c r="L28" i="101" s="1"/>
  <c r="I27" i="101"/>
  <c r="L27" i="101" s="1"/>
  <c r="I26" i="101"/>
  <c r="L26" i="101" s="1"/>
  <c r="I15" i="101"/>
  <c r="L15" i="101" s="1"/>
  <c r="AM14" i="101"/>
  <c r="AL14" i="101"/>
  <c r="AK14" i="101"/>
  <c r="AJ14" i="101"/>
  <c r="AI14" i="101"/>
  <c r="AH14" i="101"/>
  <c r="AG14" i="101"/>
  <c r="AF14" i="101"/>
  <c r="AD14" i="101"/>
  <c r="AC14" i="101"/>
  <c r="AB14" i="101"/>
  <c r="AA14" i="101"/>
  <c r="Z14" i="101"/>
  <c r="Y14" i="101"/>
  <c r="X14" i="101"/>
  <c r="W14" i="101"/>
  <c r="V14" i="101"/>
  <c r="U14" i="101"/>
  <c r="T14" i="101"/>
  <c r="S14" i="101"/>
  <c r="R14" i="101"/>
  <c r="Q14" i="101"/>
  <c r="P14" i="101"/>
  <c r="O14" i="101"/>
  <c r="N14" i="101"/>
  <c r="M14" i="101"/>
  <c r="I13" i="101"/>
  <c r="L13" i="101" s="1"/>
  <c r="I12" i="101"/>
  <c r="I11" i="101"/>
  <c r="L11" i="101" s="1"/>
  <c r="I10" i="101"/>
  <c r="L10" i="101" s="1"/>
  <c r="I9" i="101"/>
  <c r="L9" i="101" s="1"/>
  <c r="I8" i="101"/>
  <c r="L8" i="101" s="1"/>
  <c r="AM7" i="101"/>
  <c r="AL7" i="101"/>
  <c r="AK7" i="101"/>
  <c r="AJ7" i="101"/>
  <c r="AI7" i="101"/>
  <c r="AH7" i="101"/>
  <c r="AG7" i="101"/>
  <c r="AF7" i="101"/>
  <c r="AD7" i="101"/>
  <c r="AC7" i="101"/>
  <c r="AB7" i="101"/>
  <c r="AA7" i="101"/>
  <c r="Z7" i="101"/>
  <c r="Y7" i="101"/>
  <c r="X7" i="101"/>
  <c r="W7" i="101"/>
  <c r="V7" i="101"/>
  <c r="U7" i="101"/>
  <c r="T7" i="101"/>
  <c r="S7" i="101"/>
  <c r="R7" i="101"/>
  <c r="Q7" i="101"/>
  <c r="P7" i="101"/>
  <c r="O7" i="101"/>
  <c r="N7" i="101"/>
  <c r="M7" i="101"/>
  <c r="K7" i="101"/>
  <c r="I6" i="101"/>
  <c r="L6" i="101" s="1"/>
  <c r="I5" i="101"/>
  <c r="L5" i="101" s="1"/>
  <c r="I4" i="101"/>
  <c r="L4" i="101" s="1"/>
  <c r="K110" i="100"/>
  <c r="AE13" i="100"/>
  <c r="AE16" i="100"/>
  <c r="I94" i="100"/>
  <c r="L94" i="100" s="1"/>
  <c r="I95" i="100"/>
  <c r="L95" i="100" s="1"/>
  <c r="I96" i="100"/>
  <c r="L96" i="100" s="1"/>
  <c r="I97" i="100"/>
  <c r="L97" i="100" s="1"/>
  <c r="I98" i="100"/>
  <c r="L98" i="100" s="1"/>
  <c r="I99" i="100"/>
  <c r="L99" i="100" s="1"/>
  <c r="I100" i="100"/>
  <c r="L100" i="100" s="1"/>
  <c r="I93" i="100"/>
  <c r="L93" i="100" s="1"/>
  <c r="I78" i="100"/>
  <c r="L78" i="100" s="1"/>
  <c r="I68" i="100"/>
  <c r="L68" i="100" s="1"/>
  <c r="I54" i="100"/>
  <c r="L54" i="100" s="1"/>
  <c r="I43" i="100"/>
  <c r="L43" i="100" s="1"/>
  <c r="I55" i="100"/>
  <c r="L55" i="100"/>
  <c r="I56" i="100"/>
  <c r="L56" i="100" s="1"/>
  <c r="I57" i="100"/>
  <c r="L57" i="100" s="1"/>
  <c r="I58" i="100"/>
  <c r="L58" i="100"/>
  <c r="I59" i="100"/>
  <c r="L59" i="100"/>
  <c r="I60" i="100"/>
  <c r="L60" i="100"/>
  <c r="I61" i="100"/>
  <c r="L61" i="100"/>
  <c r="I62" i="100"/>
  <c r="L62" i="100" s="1"/>
  <c r="I63" i="100"/>
  <c r="L63" i="100" s="1"/>
  <c r="I64" i="100"/>
  <c r="L64" i="100" s="1"/>
  <c r="I65" i="100"/>
  <c r="L65" i="100"/>
  <c r="I66" i="100"/>
  <c r="L66" i="100" s="1"/>
  <c r="I67" i="100"/>
  <c r="L67" i="100"/>
  <c r="I69" i="100"/>
  <c r="L69" i="100" s="1"/>
  <c r="I70" i="100"/>
  <c r="L70" i="100" s="1"/>
  <c r="I71" i="100"/>
  <c r="L71" i="100" s="1"/>
  <c r="I72" i="100"/>
  <c r="L72" i="100" s="1"/>
  <c r="I73" i="100"/>
  <c r="L73" i="100"/>
  <c r="I74" i="100"/>
  <c r="L74" i="100"/>
  <c r="I75" i="100"/>
  <c r="L75" i="100" s="1"/>
  <c r="I76" i="100"/>
  <c r="L76" i="100" s="1"/>
  <c r="I77" i="100"/>
  <c r="L77" i="100" s="1"/>
  <c r="I79" i="100"/>
  <c r="L79" i="100"/>
  <c r="I80" i="100"/>
  <c r="L80" i="100"/>
  <c r="I81" i="100"/>
  <c r="L81" i="100"/>
  <c r="I82" i="100"/>
  <c r="L82" i="100" s="1"/>
  <c r="I83" i="100"/>
  <c r="L83" i="100" s="1"/>
  <c r="I84" i="100"/>
  <c r="L84" i="100" s="1"/>
  <c r="I85" i="100"/>
  <c r="L85" i="100" s="1"/>
  <c r="I86" i="100"/>
  <c r="L86" i="100"/>
  <c r="I87" i="100"/>
  <c r="L87" i="100" s="1"/>
  <c r="I88" i="100"/>
  <c r="L88" i="100" s="1"/>
  <c r="I89" i="100"/>
  <c r="L89" i="100" s="1"/>
  <c r="I90" i="100"/>
  <c r="L90" i="100" s="1"/>
  <c r="I91" i="100"/>
  <c r="L91" i="100" s="1"/>
  <c r="I92" i="100"/>
  <c r="L92" i="100" s="1"/>
  <c r="L101" i="100"/>
  <c r="K102" i="100"/>
  <c r="M102" i="100"/>
  <c r="N102" i="100"/>
  <c r="O102" i="100"/>
  <c r="P102" i="100"/>
  <c r="Q102" i="100"/>
  <c r="R102" i="100"/>
  <c r="S102" i="100"/>
  <c r="T102" i="100"/>
  <c r="U102" i="100"/>
  <c r="V102" i="100"/>
  <c r="W102" i="100"/>
  <c r="X102" i="100"/>
  <c r="Y102" i="100"/>
  <c r="Z102" i="100"/>
  <c r="AA102" i="100"/>
  <c r="AB102" i="100"/>
  <c r="AC102" i="100"/>
  <c r="AD102" i="100"/>
  <c r="AF102" i="100"/>
  <c r="AG102" i="100"/>
  <c r="AH102" i="100"/>
  <c r="AI102" i="100"/>
  <c r="AJ102" i="100"/>
  <c r="AK102" i="100"/>
  <c r="AL102" i="100"/>
  <c r="AM102" i="100"/>
  <c r="I44" i="100"/>
  <c r="L44" i="100" s="1"/>
  <c r="I45" i="100"/>
  <c r="L45" i="100" s="1"/>
  <c r="I46" i="100"/>
  <c r="L46" i="100"/>
  <c r="I47" i="100"/>
  <c r="L47" i="100"/>
  <c r="I48" i="100"/>
  <c r="L48" i="100" s="1"/>
  <c r="I49" i="100"/>
  <c r="L49" i="100"/>
  <c r="I50" i="100"/>
  <c r="L50" i="100" s="1"/>
  <c r="I51" i="100"/>
  <c r="L51" i="100" s="1"/>
  <c r="I52" i="100"/>
  <c r="L52" i="100"/>
  <c r="I53" i="100"/>
  <c r="L53" i="100" s="1"/>
  <c r="K16" i="100"/>
  <c r="M16" i="100"/>
  <c r="N16" i="100"/>
  <c r="O16" i="100"/>
  <c r="P16" i="100"/>
  <c r="Q16" i="100"/>
  <c r="R16" i="100"/>
  <c r="S16" i="100"/>
  <c r="T16" i="100"/>
  <c r="U16" i="100"/>
  <c r="V16" i="100"/>
  <c r="W16" i="100"/>
  <c r="X16" i="100"/>
  <c r="Y16" i="100"/>
  <c r="Z16" i="100"/>
  <c r="AA16" i="100"/>
  <c r="AB16" i="100"/>
  <c r="AC16" i="100"/>
  <c r="AD16" i="100"/>
  <c r="AF16" i="100"/>
  <c r="AG16" i="100"/>
  <c r="AH16" i="100"/>
  <c r="AI16" i="100"/>
  <c r="AJ16" i="100"/>
  <c r="AK16" i="100"/>
  <c r="AL16" i="100"/>
  <c r="AM16" i="100"/>
  <c r="I17" i="100"/>
  <c r="I18" i="100"/>
  <c r="L18" i="100"/>
  <c r="I19" i="100"/>
  <c r="L19" i="100" s="1"/>
  <c r="I20" i="100"/>
  <c r="L20" i="100"/>
  <c r="I21" i="100"/>
  <c r="L21" i="100" s="1"/>
  <c r="I22" i="100"/>
  <c r="L22" i="100" s="1"/>
  <c r="I23" i="100"/>
  <c r="L23" i="100" s="1"/>
  <c r="I24" i="100"/>
  <c r="L24" i="100"/>
  <c r="I25" i="100"/>
  <c r="L25" i="100" s="1"/>
  <c r="I26" i="100"/>
  <c r="L26" i="100" s="1"/>
  <c r="I27" i="100"/>
  <c r="L27" i="100" s="1"/>
  <c r="I28" i="100"/>
  <c r="L28" i="100" s="1"/>
  <c r="I29" i="100"/>
  <c r="L29" i="100" s="1"/>
  <c r="I30" i="100"/>
  <c r="L30" i="100"/>
  <c r="I31" i="100"/>
  <c r="L31" i="100"/>
  <c r="I32" i="100"/>
  <c r="L32" i="100" s="1"/>
  <c r="I33" i="100"/>
  <c r="L33" i="100" s="1"/>
  <c r="I34" i="100"/>
  <c r="L34" i="100" s="1"/>
  <c r="I35" i="100"/>
  <c r="L35" i="100" s="1"/>
  <c r="I36" i="100"/>
  <c r="L36" i="100"/>
  <c r="I37" i="100"/>
  <c r="L37" i="100" s="1"/>
  <c r="I38" i="100"/>
  <c r="L38" i="100"/>
  <c r="I39" i="100"/>
  <c r="L39" i="100" s="1"/>
  <c r="I40" i="100"/>
  <c r="L40" i="100"/>
  <c r="I41" i="100"/>
  <c r="L41" i="100" s="1"/>
  <c r="I42" i="100"/>
  <c r="L42" i="100"/>
  <c r="I4" i="100"/>
  <c r="I5" i="100"/>
  <c r="L5" i="100" s="1"/>
  <c r="I6" i="100"/>
  <c r="L6" i="100"/>
  <c r="I7" i="100"/>
  <c r="L7" i="100" s="1"/>
  <c r="I8" i="100"/>
  <c r="L8" i="100" s="1"/>
  <c r="I9" i="100"/>
  <c r="L9" i="100" s="1"/>
  <c r="I10" i="100"/>
  <c r="L10" i="100" s="1"/>
  <c r="I11" i="100"/>
  <c r="L11" i="100" s="1"/>
  <c r="I12" i="100"/>
  <c r="L12" i="100"/>
  <c r="K13" i="100"/>
  <c r="M13" i="100"/>
  <c r="N13" i="100"/>
  <c r="O13" i="100"/>
  <c r="P13" i="100"/>
  <c r="Q13" i="100"/>
  <c r="Q103" i="100" s="1"/>
  <c r="R13" i="100"/>
  <c r="S13" i="100"/>
  <c r="S103" i="100" s="1"/>
  <c r="T13" i="100"/>
  <c r="U13" i="100"/>
  <c r="V13" i="100"/>
  <c r="W13" i="100"/>
  <c r="X13" i="100"/>
  <c r="Y13" i="100"/>
  <c r="Z13" i="100"/>
  <c r="AA13" i="100"/>
  <c r="AB13" i="100"/>
  <c r="AC13" i="100"/>
  <c r="AD13" i="100"/>
  <c r="AF13" i="100"/>
  <c r="AF103" i="100" s="1"/>
  <c r="AG13" i="100"/>
  <c r="AH13" i="100"/>
  <c r="AI13" i="100"/>
  <c r="AJ13" i="100"/>
  <c r="AJ103" i="100" s="1"/>
  <c r="AK13" i="100"/>
  <c r="AK103" i="100" s="1"/>
  <c r="AL13" i="100"/>
  <c r="AM13" i="100"/>
  <c r="I14" i="100"/>
  <c r="L14" i="100" s="1"/>
  <c r="L16" i="100" s="1"/>
  <c r="AD123" i="99"/>
  <c r="AC123" i="99"/>
  <c r="AB123" i="99"/>
  <c r="AA123" i="99"/>
  <c r="R123" i="99"/>
  <c r="Q123" i="99"/>
  <c r="P123" i="99"/>
  <c r="O123" i="99"/>
  <c r="AL122" i="99"/>
  <c r="AK122" i="99"/>
  <c r="AJ122" i="99"/>
  <c r="AI122" i="99"/>
  <c r="AH122" i="99"/>
  <c r="AG122" i="99"/>
  <c r="AF122" i="99"/>
  <c r="AE122" i="99"/>
  <c r="AE123" i="99" s="1"/>
  <c r="AD122" i="99"/>
  <c r="AC122" i="99"/>
  <c r="AB122" i="99"/>
  <c r="AA122" i="99"/>
  <c r="Z122" i="99"/>
  <c r="Y122" i="99"/>
  <c r="X122" i="99"/>
  <c r="W122" i="99"/>
  <c r="V122" i="99"/>
  <c r="U122" i="99"/>
  <c r="T122" i="99"/>
  <c r="S122" i="99"/>
  <c r="S123" i="99" s="1"/>
  <c r="R122" i="99"/>
  <c r="Q122" i="99"/>
  <c r="P122" i="99"/>
  <c r="O122" i="99"/>
  <c r="N122" i="99"/>
  <c r="M122" i="99"/>
  <c r="K122" i="99"/>
  <c r="L121" i="99"/>
  <c r="I120" i="99"/>
  <c r="L120" i="99" s="1"/>
  <c r="L119" i="99"/>
  <c r="I119" i="99"/>
  <c r="L118" i="99"/>
  <c r="I118" i="99"/>
  <c r="I117" i="99"/>
  <c r="L117" i="99" s="1"/>
  <c r="I116" i="99"/>
  <c r="L116" i="99" s="1"/>
  <c r="I114" i="99"/>
  <c r="L114" i="99" s="1"/>
  <c r="I113" i="99"/>
  <c r="L113" i="99" s="1"/>
  <c r="L112" i="99"/>
  <c r="I112" i="99"/>
  <c r="L111" i="99"/>
  <c r="I111" i="99"/>
  <c r="I110" i="99"/>
  <c r="L110" i="99" s="1"/>
  <c r="I109" i="99"/>
  <c r="L109" i="99" s="1"/>
  <c r="I108" i="99"/>
  <c r="L108" i="99" s="1"/>
  <c r="I107" i="99"/>
  <c r="L107" i="99" s="1"/>
  <c r="L106" i="99"/>
  <c r="I106" i="99"/>
  <c r="L105" i="99"/>
  <c r="I105" i="99"/>
  <c r="I104" i="99"/>
  <c r="L104" i="99" s="1"/>
  <c r="I103" i="99"/>
  <c r="L103" i="99" s="1"/>
  <c r="I102" i="99"/>
  <c r="L102" i="99" s="1"/>
  <c r="I101" i="99"/>
  <c r="L101" i="99" s="1"/>
  <c r="L99" i="99"/>
  <c r="I99" i="99"/>
  <c r="L98" i="99"/>
  <c r="I98" i="99"/>
  <c r="I97" i="99"/>
  <c r="L97" i="99" s="1"/>
  <c r="I96" i="99"/>
  <c r="L96" i="99" s="1"/>
  <c r="I95" i="99"/>
  <c r="L95" i="99" s="1"/>
  <c r="I94" i="99"/>
  <c r="L94" i="99" s="1"/>
  <c r="L93" i="99"/>
  <c r="I93" i="99"/>
  <c r="L92" i="99"/>
  <c r="I92" i="99"/>
  <c r="I91" i="99"/>
  <c r="L91" i="99" s="1"/>
  <c r="I89" i="99"/>
  <c r="L89" i="99" s="1"/>
  <c r="I88" i="99"/>
  <c r="L88" i="99" s="1"/>
  <c r="I87" i="99"/>
  <c r="L87" i="99" s="1"/>
  <c r="L86" i="99"/>
  <c r="I86" i="99"/>
  <c r="L85" i="99"/>
  <c r="I85" i="99"/>
  <c r="I84" i="99"/>
  <c r="L84" i="99" s="1"/>
  <c r="I83" i="99"/>
  <c r="L83" i="99" s="1"/>
  <c r="I82" i="99"/>
  <c r="L82" i="99" s="1"/>
  <c r="I81" i="99"/>
  <c r="L81" i="99" s="1"/>
  <c r="L80" i="99"/>
  <c r="I80" i="99"/>
  <c r="L79" i="99"/>
  <c r="I79" i="99"/>
  <c r="I78" i="99"/>
  <c r="L78" i="99" s="1"/>
  <c r="I77" i="99"/>
  <c r="L77" i="99" s="1"/>
  <c r="I75" i="99"/>
  <c r="L75" i="99" s="1"/>
  <c r="I74" i="99"/>
  <c r="L74" i="99" s="1"/>
  <c r="L73" i="99"/>
  <c r="I73" i="99"/>
  <c r="L72" i="99"/>
  <c r="I72" i="99"/>
  <c r="I71" i="99"/>
  <c r="L71" i="99" s="1"/>
  <c r="I70" i="99"/>
  <c r="L70" i="99" s="1"/>
  <c r="I69" i="99"/>
  <c r="L69" i="99" s="1"/>
  <c r="I68" i="99"/>
  <c r="L68" i="99" s="1"/>
  <c r="L67" i="99"/>
  <c r="I67" i="99"/>
  <c r="L66" i="99"/>
  <c r="I66" i="99"/>
  <c r="I65" i="99"/>
  <c r="L65" i="99" s="1"/>
  <c r="I64" i="99"/>
  <c r="L64" i="99" s="1"/>
  <c r="I62" i="99"/>
  <c r="L62" i="99" s="1"/>
  <c r="I61" i="99"/>
  <c r="L61" i="99" s="1"/>
  <c r="L60" i="99"/>
  <c r="I60" i="99"/>
  <c r="L59" i="99"/>
  <c r="I59" i="99"/>
  <c r="I58" i="99"/>
  <c r="L58" i="99" s="1"/>
  <c r="I57" i="99"/>
  <c r="L57" i="99" s="1"/>
  <c r="I56" i="99"/>
  <c r="L56" i="99" s="1"/>
  <c r="I55" i="99"/>
  <c r="L55" i="99" s="1"/>
  <c r="L54" i="99"/>
  <c r="I54" i="99"/>
  <c r="L53" i="99"/>
  <c r="I53" i="99"/>
  <c r="I52" i="99"/>
  <c r="L52" i="99" s="1"/>
  <c r="I51" i="99"/>
  <c r="L51" i="99" s="1"/>
  <c r="I50" i="99"/>
  <c r="L50" i="99" s="1"/>
  <c r="I49" i="99"/>
  <c r="L49" i="99" s="1"/>
  <c r="L48" i="99"/>
  <c r="I48" i="99"/>
  <c r="L47" i="99"/>
  <c r="I47" i="99"/>
  <c r="I46" i="99"/>
  <c r="L46" i="99" s="1"/>
  <c r="I45" i="99"/>
  <c r="L45" i="99" s="1"/>
  <c r="I44" i="99"/>
  <c r="L44" i="99" s="1"/>
  <c r="I43" i="99"/>
  <c r="L43" i="99" s="1"/>
  <c r="L42" i="99"/>
  <c r="I42" i="99"/>
  <c r="L41" i="99"/>
  <c r="I41" i="99"/>
  <c r="I40" i="99"/>
  <c r="L40" i="99" s="1"/>
  <c r="I39" i="99"/>
  <c r="L39" i="99" s="1"/>
  <c r="I38" i="99"/>
  <c r="L38" i="99" s="1"/>
  <c r="I37" i="99"/>
  <c r="L37" i="99" s="1"/>
  <c r="AL36" i="99"/>
  <c r="AK36" i="99"/>
  <c r="AJ36" i="99"/>
  <c r="AI36" i="99"/>
  <c r="AH36" i="99"/>
  <c r="AG36" i="99"/>
  <c r="AF36" i="99"/>
  <c r="AE36" i="99"/>
  <c r="AD36" i="99"/>
  <c r="AC36" i="99"/>
  <c r="AB36" i="99"/>
  <c r="AA36" i="99"/>
  <c r="Z36" i="99"/>
  <c r="Y36" i="99"/>
  <c r="X36" i="99"/>
  <c r="W36" i="99"/>
  <c r="V36" i="99"/>
  <c r="U36" i="99"/>
  <c r="T36" i="99"/>
  <c r="S36" i="99"/>
  <c r="R36" i="99"/>
  <c r="Q36" i="99"/>
  <c r="P36" i="99"/>
  <c r="O36" i="99"/>
  <c r="N36" i="99"/>
  <c r="M36" i="99"/>
  <c r="K36" i="99"/>
  <c r="I34" i="99"/>
  <c r="L34" i="99" s="1"/>
  <c r="L36" i="99" s="1"/>
  <c r="AL33" i="99"/>
  <c r="AL123" i="99" s="1"/>
  <c r="AK33" i="99"/>
  <c r="AK123" i="99" s="1"/>
  <c r="AJ33" i="99"/>
  <c r="AJ123" i="99" s="1"/>
  <c r="AI33" i="99"/>
  <c r="AI123" i="99" s="1"/>
  <c r="AH33" i="99"/>
  <c r="AH123" i="99" s="1"/>
  <c r="AG33" i="99"/>
  <c r="AG123" i="99" s="1"/>
  <c r="AF33" i="99"/>
  <c r="AF123" i="99" s="1"/>
  <c r="AE33" i="99"/>
  <c r="AD33" i="99"/>
  <c r="AC33" i="99"/>
  <c r="AB33" i="99"/>
  <c r="AA33" i="99"/>
  <c r="Z33" i="99"/>
  <c r="Z123" i="99" s="1"/>
  <c r="Y33" i="99"/>
  <c r="Y123" i="99" s="1"/>
  <c r="X33" i="99"/>
  <c r="X123" i="99" s="1"/>
  <c r="W33" i="99"/>
  <c r="W123" i="99" s="1"/>
  <c r="V33" i="99"/>
  <c r="V123" i="99" s="1"/>
  <c r="U33" i="99"/>
  <c r="U123" i="99" s="1"/>
  <c r="T33" i="99"/>
  <c r="T123" i="99" s="1"/>
  <c r="S33" i="99"/>
  <c r="R33" i="99"/>
  <c r="Q33" i="99"/>
  <c r="P33" i="99"/>
  <c r="O33" i="99"/>
  <c r="N33" i="99"/>
  <c r="N123" i="99" s="1"/>
  <c r="M33" i="99"/>
  <c r="M123" i="99" s="1"/>
  <c r="K33" i="99"/>
  <c r="K123" i="99" s="1"/>
  <c r="I32" i="99"/>
  <c r="L32" i="99" s="1"/>
  <c r="L31" i="99"/>
  <c r="I31" i="99"/>
  <c r="L30" i="99"/>
  <c r="I30" i="99"/>
  <c r="I29" i="99"/>
  <c r="L29" i="99" s="1"/>
  <c r="I28" i="99"/>
  <c r="L28" i="99" s="1"/>
  <c r="I27" i="99"/>
  <c r="L27" i="99" s="1"/>
  <c r="I26" i="99"/>
  <c r="L26" i="99" s="1"/>
  <c r="L25" i="99"/>
  <c r="I25" i="99"/>
  <c r="L24" i="99"/>
  <c r="I24" i="99"/>
  <c r="I23" i="99"/>
  <c r="L23" i="99" s="1"/>
  <c r="I22" i="99"/>
  <c r="L22" i="99" s="1"/>
  <c r="I21" i="99"/>
  <c r="L21" i="99" s="1"/>
  <c r="I20" i="99"/>
  <c r="L20" i="99" s="1"/>
  <c r="L19" i="99"/>
  <c r="I19" i="99"/>
  <c r="L18" i="99"/>
  <c r="I18" i="99"/>
  <c r="I17" i="99"/>
  <c r="L17" i="99" s="1"/>
  <c r="I16" i="99"/>
  <c r="L16" i="99" s="1"/>
  <c r="I15" i="99"/>
  <c r="L15" i="99" s="1"/>
  <c r="I14" i="99"/>
  <c r="L14" i="99" s="1"/>
  <c r="L13" i="99"/>
  <c r="I13" i="99"/>
  <c r="L12" i="99"/>
  <c r="I12" i="99"/>
  <c r="I11" i="99"/>
  <c r="L11" i="99" s="1"/>
  <c r="I10" i="99"/>
  <c r="L10" i="99" s="1"/>
  <c r="I9" i="99"/>
  <c r="L9" i="99" s="1"/>
  <c r="I8" i="99"/>
  <c r="L8" i="99" s="1"/>
  <c r="I7" i="99"/>
  <c r="L7" i="99" s="1"/>
  <c r="I6" i="99"/>
  <c r="L6" i="99" s="1"/>
  <c r="I5" i="99"/>
  <c r="L5" i="99" s="1"/>
  <c r="I4" i="99"/>
  <c r="L4" i="99" s="1"/>
  <c r="G17" i="98"/>
  <c r="G14" i="98"/>
  <c r="G11" i="98"/>
  <c r="H22" i="97"/>
  <c r="G9" i="97"/>
  <c r="G22" i="97"/>
  <c r="G24" i="97"/>
  <c r="G21" i="97"/>
  <c r="G18" i="97"/>
  <c r="I15" i="96"/>
  <c r="L15" i="96" s="1"/>
  <c r="I16" i="96"/>
  <c r="L16" i="96" s="1"/>
  <c r="I17" i="96"/>
  <c r="L17" i="96" s="1"/>
  <c r="I18" i="96"/>
  <c r="L18" i="96" s="1"/>
  <c r="AL20" i="96"/>
  <c r="AK20" i="96"/>
  <c r="AJ20" i="96"/>
  <c r="AI20" i="96"/>
  <c r="AH20" i="96"/>
  <c r="AG20" i="96"/>
  <c r="AF20" i="96"/>
  <c r="AE20" i="96"/>
  <c r="AD20" i="96"/>
  <c r="AC20" i="96"/>
  <c r="AB20" i="96"/>
  <c r="AA20" i="96"/>
  <c r="Z20" i="96"/>
  <c r="Y20" i="96"/>
  <c r="X20" i="96"/>
  <c r="W20" i="96"/>
  <c r="V20" i="96"/>
  <c r="U20" i="96"/>
  <c r="T20" i="96"/>
  <c r="S20" i="96"/>
  <c r="R20" i="96"/>
  <c r="Q20" i="96"/>
  <c r="P20" i="96"/>
  <c r="O20" i="96"/>
  <c r="N20" i="96"/>
  <c r="M20" i="96"/>
  <c r="K20" i="96"/>
  <c r="I19" i="96"/>
  <c r="L19" i="96"/>
  <c r="I50" i="96"/>
  <c r="L50" i="96" s="1"/>
  <c r="I51" i="96"/>
  <c r="L51" i="96" s="1"/>
  <c r="I52" i="96"/>
  <c r="L52" i="96" s="1"/>
  <c r="I63" i="96"/>
  <c r="L63" i="96" s="1"/>
  <c r="I64" i="96"/>
  <c r="L64" i="96" s="1"/>
  <c r="I65" i="96"/>
  <c r="L65" i="96" s="1"/>
  <c r="I66" i="96"/>
  <c r="L66" i="96" s="1"/>
  <c r="AL70" i="96"/>
  <c r="AK70" i="96"/>
  <c r="AJ70" i="96"/>
  <c r="AI70" i="96"/>
  <c r="AH70" i="96"/>
  <c r="AG70" i="96"/>
  <c r="AF70" i="96"/>
  <c r="AE70" i="96"/>
  <c r="AD70" i="96"/>
  <c r="AC70" i="96"/>
  <c r="AB70" i="96"/>
  <c r="AA70" i="96"/>
  <c r="Z70" i="96"/>
  <c r="Y70" i="96"/>
  <c r="X70" i="96"/>
  <c r="W70" i="96"/>
  <c r="V70" i="96"/>
  <c r="U70" i="96"/>
  <c r="T70" i="96"/>
  <c r="S70" i="96"/>
  <c r="R70" i="96"/>
  <c r="Q70" i="96"/>
  <c r="P70" i="96"/>
  <c r="O70" i="96"/>
  <c r="N70" i="96"/>
  <c r="M70" i="96"/>
  <c r="K70" i="96"/>
  <c r="L69" i="96"/>
  <c r="I68" i="96"/>
  <c r="L68" i="96" s="1"/>
  <c r="I67" i="96"/>
  <c r="L67" i="96" s="1"/>
  <c r="I62" i="96"/>
  <c r="L62" i="96" s="1"/>
  <c r="I61" i="96"/>
  <c r="L61" i="96" s="1"/>
  <c r="I60" i="96"/>
  <c r="L60" i="96" s="1"/>
  <c r="I59" i="96"/>
  <c r="L59" i="96" s="1"/>
  <c r="I58" i="96"/>
  <c r="L58" i="96" s="1"/>
  <c r="I57" i="96"/>
  <c r="L57" i="96" s="1"/>
  <c r="I56" i="96"/>
  <c r="L56" i="96" s="1"/>
  <c r="I55" i="96"/>
  <c r="L55" i="96" s="1"/>
  <c r="I54" i="96"/>
  <c r="L54" i="96" s="1"/>
  <c r="I53" i="96"/>
  <c r="L53" i="96" s="1"/>
  <c r="I49" i="96"/>
  <c r="L49" i="96" s="1"/>
  <c r="I48" i="96"/>
  <c r="L48" i="96" s="1"/>
  <c r="I47" i="96"/>
  <c r="L47" i="96" s="1"/>
  <c r="I46" i="96"/>
  <c r="L46" i="96" s="1"/>
  <c r="I45" i="96"/>
  <c r="L45" i="96" s="1"/>
  <c r="I44" i="96"/>
  <c r="L44" i="96" s="1"/>
  <c r="I43" i="96"/>
  <c r="L43" i="96" s="1"/>
  <c r="I42" i="96"/>
  <c r="L42" i="96" s="1"/>
  <c r="I41" i="96"/>
  <c r="L41" i="96" s="1"/>
  <c r="I40" i="96"/>
  <c r="L40" i="96" s="1"/>
  <c r="I39" i="96"/>
  <c r="L39" i="96" s="1"/>
  <c r="I38" i="96"/>
  <c r="L38" i="96" s="1"/>
  <c r="I37" i="96"/>
  <c r="L37" i="96" s="1"/>
  <c r="I36" i="96"/>
  <c r="L36" i="96" s="1"/>
  <c r="I35" i="96"/>
  <c r="L35" i="96" s="1"/>
  <c r="I34" i="96"/>
  <c r="L34" i="96" s="1"/>
  <c r="I33" i="96"/>
  <c r="L33" i="96" s="1"/>
  <c r="I32" i="96"/>
  <c r="L32" i="96" s="1"/>
  <c r="I31" i="96"/>
  <c r="L31" i="96" s="1"/>
  <c r="I30" i="96"/>
  <c r="L30" i="96" s="1"/>
  <c r="I29" i="96"/>
  <c r="L29" i="96" s="1"/>
  <c r="I28" i="96"/>
  <c r="L28" i="96" s="1"/>
  <c r="I27" i="96"/>
  <c r="L27" i="96" s="1"/>
  <c r="I26" i="96"/>
  <c r="L26" i="96" s="1"/>
  <c r="I25" i="96"/>
  <c r="L25" i="96" s="1"/>
  <c r="I24" i="96"/>
  <c r="L70" i="96" s="1"/>
  <c r="AL23" i="96"/>
  <c r="AK23" i="96"/>
  <c r="AJ23" i="96"/>
  <c r="AI23" i="96"/>
  <c r="AH23" i="96"/>
  <c r="AG23" i="96"/>
  <c r="AF23" i="96"/>
  <c r="AE23" i="96"/>
  <c r="AD23" i="96"/>
  <c r="AC23" i="96"/>
  <c r="AB23" i="96"/>
  <c r="AA23" i="96"/>
  <c r="Z23" i="96"/>
  <c r="Y23" i="96"/>
  <c r="X23" i="96"/>
  <c r="W23" i="96"/>
  <c r="V23" i="96"/>
  <c r="U23" i="96"/>
  <c r="T23" i="96"/>
  <c r="S23" i="96"/>
  <c r="R23" i="96"/>
  <c r="Q23" i="96"/>
  <c r="P23" i="96"/>
  <c r="O23" i="96"/>
  <c r="N23" i="96"/>
  <c r="M23" i="96"/>
  <c r="K23" i="96"/>
  <c r="I21" i="96"/>
  <c r="L21" i="96" s="1"/>
  <c r="L23" i="96" s="1"/>
  <c r="AL71" i="96"/>
  <c r="AK71" i="96"/>
  <c r="AJ71" i="96"/>
  <c r="AI71" i="96"/>
  <c r="AH71" i="96"/>
  <c r="AG71" i="96"/>
  <c r="AF71" i="96"/>
  <c r="AE71" i="96"/>
  <c r="AD71" i="96"/>
  <c r="AC71" i="96"/>
  <c r="AB71" i="96"/>
  <c r="AA71" i="96"/>
  <c r="Z71" i="96"/>
  <c r="Y71" i="96"/>
  <c r="X71" i="96"/>
  <c r="W71" i="96"/>
  <c r="V71" i="96"/>
  <c r="U71" i="96"/>
  <c r="T71" i="96"/>
  <c r="S71" i="96"/>
  <c r="R71" i="96"/>
  <c r="Q71" i="96"/>
  <c r="P71" i="96"/>
  <c r="O71" i="96"/>
  <c r="N71" i="96"/>
  <c r="M71" i="96"/>
  <c r="K71" i="96"/>
  <c r="I14" i="96"/>
  <c r="L14" i="96" s="1"/>
  <c r="I13" i="96"/>
  <c r="L13" i="96" s="1"/>
  <c r="I12" i="96"/>
  <c r="L12" i="96" s="1"/>
  <c r="I11" i="96"/>
  <c r="L11" i="96" s="1"/>
  <c r="I10" i="96"/>
  <c r="L10" i="96" s="1"/>
  <c r="I9" i="96"/>
  <c r="L9" i="96" s="1"/>
  <c r="I8" i="96"/>
  <c r="L8" i="96" s="1"/>
  <c r="I7" i="96"/>
  <c r="L7" i="96" s="1"/>
  <c r="I6" i="96"/>
  <c r="L6" i="96" s="1"/>
  <c r="I5" i="96"/>
  <c r="L5" i="96" s="1"/>
  <c r="L20" i="96" s="1"/>
  <c r="I4" i="96"/>
  <c r="L71" i="96" s="1"/>
  <c r="K24" i="95"/>
  <c r="K22" i="95"/>
  <c r="X121" i="95"/>
  <c r="X120" i="95"/>
  <c r="X119" i="95"/>
  <c r="X118" i="95"/>
  <c r="X117" i="95"/>
  <c r="X116" i="95"/>
  <c r="K121" i="95"/>
  <c r="K116" i="95"/>
  <c r="K117" i="95"/>
  <c r="K118" i="95"/>
  <c r="K119" i="95"/>
  <c r="K120" i="95"/>
  <c r="K115" i="95"/>
  <c r="I118" i="95"/>
  <c r="L118" i="95" s="1"/>
  <c r="I119" i="95"/>
  <c r="L119" i="95" s="1"/>
  <c r="I120" i="95"/>
  <c r="L120" i="95" s="1"/>
  <c r="I76" i="95"/>
  <c r="L76" i="95" s="1"/>
  <c r="I77" i="95"/>
  <c r="L77" i="95" s="1"/>
  <c r="I78" i="95"/>
  <c r="L78" i="95" s="1"/>
  <c r="I79" i="95"/>
  <c r="I80" i="95"/>
  <c r="I81" i="95"/>
  <c r="I82" i="95"/>
  <c r="I83" i="95"/>
  <c r="AH63" i="95"/>
  <c r="AI63" i="95"/>
  <c r="AJ63" i="95"/>
  <c r="AH64" i="95"/>
  <c r="AI64" i="95"/>
  <c r="AJ64" i="95"/>
  <c r="AH65" i="95"/>
  <c r="AI65" i="95"/>
  <c r="AJ65" i="95"/>
  <c r="AG65" i="95"/>
  <c r="AG64" i="95"/>
  <c r="AG63" i="95"/>
  <c r="AH62" i="95"/>
  <c r="AI62" i="95"/>
  <c r="AJ62" i="95"/>
  <c r="AG62" i="95"/>
  <c r="I72" i="95"/>
  <c r="I73" i="95"/>
  <c r="I74" i="95"/>
  <c r="I62" i="95"/>
  <c r="L62" i="95" s="1"/>
  <c r="I63" i="95"/>
  <c r="L63" i="95" s="1"/>
  <c r="I64" i="95"/>
  <c r="L64" i="95" s="1"/>
  <c r="I65" i="95"/>
  <c r="L65" i="95" s="1"/>
  <c r="I66" i="95"/>
  <c r="L66" i="95" s="1"/>
  <c r="I67" i="95"/>
  <c r="L67" i="95" s="1"/>
  <c r="I68" i="95"/>
  <c r="I33" i="95"/>
  <c r="L33" i="95" s="1"/>
  <c r="I105" i="95"/>
  <c r="L105" i="95" s="1"/>
  <c r="I106" i="95"/>
  <c r="L106" i="95" s="1"/>
  <c r="I107" i="95"/>
  <c r="L107" i="95" s="1"/>
  <c r="I108" i="95"/>
  <c r="L108" i="95" s="1"/>
  <c r="I109" i="95"/>
  <c r="L109" i="95" s="1"/>
  <c r="I110" i="95"/>
  <c r="L110" i="95" s="1"/>
  <c r="I111" i="95"/>
  <c r="L111" i="95" s="1"/>
  <c r="I112" i="95"/>
  <c r="L112" i="95" s="1"/>
  <c r="I113" i="95"/>
  <c r="L113" i="95" s="1"/>
  <c r="I96" i="95"/>
  <c r="L96" i="95" s="1"/>
  <c r="I97" i="95"/>
  <c r="L97" i="95" s="1"/>
  <c r="I98" i="95"/>
  <c r="L98" i="95" s="1"/>
  <c r="I99" i="95"/>
  <c r="I87" i="95"/>
  <c r="I88" i="95"/>
  <c r="I89" i="95"/>
  <c r="L87" i="95"/>
  <c r="L72" i="95"/>
  <c r="I55" i="95"/>
  <c r="L55" i="95" s="1"/>
  <c r="I56" i="95"/>
  <c r="L56" i="95" s="1"/>
  <c r="I57" i="95"/>
  <c r="I58" i="95"/>
  <c r="I59" i="95"/>
  <c r="I60" i="95"/>
  <c r="I61" i="95"/>
  <c r="I21" i="95"/>
  <c r="L21" i="95" s="1"/>
  <c r="I22" i="95"/>
  <c r="L22" i="95" s="1"/>
  <c r="I23" i="95"/>
  <c r="L23" i="95" s="1"/>
  <c r="I24" i="95"/>
  <c r="L24" i="95" s="1"/>
  <c r="I25" i="95"/>
  <c r="L25" i="95" s="1"/>
  <c r="I26" i="95"/>
  <c r="L26" i="95" s="1"/>
  <c r="AL125" i="95"/>
  <c r="AK125" i="95"/>
  <c r="AJ125" i="95"/>
  <c r="AI125" i="95"/>
  <c r="AH125" i="95"/>
  <c r="AG125" i="95"/>
  <c r="AF125" i="95"/>
  <c r="AE125" i="95"/>
  <c r="AD125" i="95"/>
  <c r="AC125" i="95"/>
  <c r="AB125" i="95"/>
  <c r="AA125" i="95"/>
  <c r="Z125" i="95"/>
  <c r="Y125" i="95"/>
  <c r="X125" i="95"/>
  <c r="W125" i="95"/>
  <c r="V125" i="95"/>
  <c r="U125" i="95"/>
  <c r="T125" i="95"/>
  <c r="S125" i="95"/>
  <c r="R125" i="95"/>
  <c r="Q125" i="95"/>
  <c r="P125" i="95"/>
  <c r="O125" i="95"/>
  <c r="N125" i="95"/>
  <c r="M125" i="95"/>
  <c r="K125" i="95"/>
  <c r="L124" i="95"/>
  <c r="I123" i="95"/>
  <c r="L123" i="95" s="1"/>
  <c r="I122" i="95"/>
  <c r="L122" i="95" s="1"/>
  <c r="I121" i="95"/>
  <c r="L121" i="95" s="1"/>
  <c r="I117" i="95"/>
  <c r="L117" i="95" s="1"/>
  <c r="I116" i="95"/>
  <c r="L116" i="95" s="1"/>
  <c r="I115" i="95"/>
  <c r="L115" i="95" s="1"/>
  <c r="I114" i="95"/>
  <c r="L114" i="95" s="1"/>
  <c r="I104" i="95"/>
  <c r="L104" i="95" s="1"/>
  <c r="I103" i="95"/>
  <c r="L103" i="95" s="1"/>
  <c r="I102" i="95"/>
  <c r="L102" i="95" s="1"/>
  <c r="I101" i="95"/>
  <c r="L101" i="95" s="1"/>
  <c r="I100" i="95"/>
  <c r="L100" i="95" s="1"/>
  <c r="L99" i="95"/>
  <c r="I95" i="95"/>
  <c r="L95" i="95" s="1"/>
  <c r="I94" i="95"/>
  <c r="L94" i="95" s="1"/>
  <c r="I93" i="95"/>
  <c r="L93" i="95" s="1"/>
  <c r="I92" i="95"/>
  <c r="L92" i="95" s="1"/>
  <c r="I91" i="95"/>
  <c r="L91" i="95" s="1"/>
  <c r="I90" i="95"/>
  <c r="L90" i="95" s="1"/>
  <c r="L89" i="95"/>
  <c r="L88" i="95"/>
  <c r="I86" i="95"/>
  <c r="L86" i="95" s="1"/>
  <c r="I85" i="95"/>
  <c r="L85" i="95" s="1"/>
  <c r="I84" i="95"/>
  <c r="L84" i="95" s="1"/>
  <c r="L83" i="95"/>
  <c r="L82" i="95"/>
  <c r="L81" i="95"/>
  <c r="L80" i="95"/>
  <c r="L79" i="95"/>
  <c r="I75" i="95"/>
  <c r="L75" i="95" s="1"/>
  <c r="L74" i="95"/>
  <c r="L73" i="95"/>
  <c r="I71" i="95"/>
  <c r="L71" i="95" s="1"/>
  <c r="I70" i="95"/>
  <c r="L70" i="95" s="1"/>
  <c r="I69" i="95"/>
  <c r="L69" i="95" s="1"/>
  <c r="L68" i="95"/>
  <c r="L61" i="95"/>
  <c r="L60" i="95"/>
  <c r="L59" i="95"/>
  <c r="L58" i="95"/>
  <c r="L57" i="95"/>
  <c r="I54" i="95"/>
  <c r="L54" i="95" s="1"/>
  <c r="I53" i="95"/>
  <c r="L53" i="95" s="1"/>
  <c r="I52" i="95"/>
  <c r="L52" i="95" s="1"/>
  <c r="I51" i="95"/>
  <c r="L51" i="95" s="1"/>
  <c r="I50" i="95"/>
  <c r="L50" i="95" s="1"/>
  <c r="I49" i="95"/>
  <c r="L49" i="95" s="1"/>
  <c r="I48" i="95"/>
  <c r="L48" i="95" s="1"/>
  <c r="I47" i="95"/>
  <c r="L47" i="95" s="1"/>
  <c r="I46" i="95"/>
  <c r="L46" i="95" s="1"/>
  <c r="I45" i="95"/>
  <c r="L45" i="95" s="1"/>
  <c r="I44" i="95"/>
  <c r="L44" i="95" s="1"/>
  <c r="I43" i="95"/>
  <c r="L43" i="95" s="1"/>
  <c r="I42" i="95"/>
  <c r="L42" i="95" s="1"/>
  <c r="I41" i="95"/>
  <c r="L41" i="95" s="1"/>
  <c r="I40" i="95"/>
  <c r="L40" i="95" s="1"/>
  <c r="I39" i="95"/>
  <c r="L39" i="95" s="1"/>
  <c r="I38" i="95"/>
  <c r="L38" i="95" s="1"/>
  <c r="I37" i="95"/>
  <c r="L37" i="95" s="1"/>
  <c r="I36" i="95"/>
  <c r="L36" i="95" s="1"/>
  <c r="I35" i="95"/>
  <c r="L35" i="95" s="1"/>
  <c r="I34" i="95"/>
  <c r="L34" i="95" s="1"/>
  <c r="I32" i="95"/>
  <c r="L32" i="95" s="1"/>
  <c r="I31" i="95"/>
  <c r="L31" i="95" s="1"/>
  <c r="I30" i="95"/>
  <c r="L30" i="95" s="1"/>
  <c r="I29" i="95"/>
  <c r="L29" i="95" s="1"/>
  <c r="I28" i="95"/>
  <c r="L28" i="95" s="1"/>
  <c r="L125" i="95" s="1"/>
  <c r="AL27" i="95"/>
  <c r="AK27" i="95"/>
  <c r="AJ27" i="95"/>
  <c r="AI27" i="95"/>
  <c r="AH27" i="95"/>
  <c r="AG27" i="95"/>
  <c r="AF27" i="95"/>
  <c r="AE27" i="95"/>
  <c r="AD27" i="95"/>
  <c r="AC27" i="95"/>
  <c r="AB27" i="95"/>
  <c r="AA27" i="95"/>
  <c r="Z27" i="95"/>
  <c r="Y27" i="95"/>
  <c r="X27" i="95"/>
  <c r="W27" i="95"/>
  <c r="V27" i="95"/>
  <c r="U27" i="95"/>
  <c r="T27" i="95"/>
  <c r="S27" i="95"/>
  <c r="R27" i="95"/>
  <c r="Q27" i="95"/>
  <c r="P27" i="95"/>
  <c r="O27" i="95"/>
  <c r="N27" i="95"/>
  <c r="M27" i="95"/>
  <c r="K27" i="95"/>
  <c r="I20" i="95"/>
  <c r="L20" i="95" s="1"/>
  <c r="L27" i="95" s="1"/>
  <c r="AL19" i="95"/>
  <c r="AL126" i="95" s="1"/>
  <c r="AK19" i="95"/>
  <c r="AK126" i="95" s="1"/>
  <c r="AJ19" i="95"/>
  <c r="AJ126" i="95" s="1"/>
  <c r="AI19" i="95"/>
  <c r="AI126" i="95" s="1"/>
  <c r="AH19" i="95"/>
  <c r="AH126" i="95" s="1"/>
  <c r="AG19" i="95"/>
  <c r="AG126" i="95" s="1"/>
  <c r="AF19" i="95"/>
  <c r="AF126" i="95" s="1"/>
  <c r="AE19" i="95"/>
  <c r="AE126" i="95" s="1"/>
  <c r="AD19" i="95"/>
  <c r="AD126" i="95" s="1"/>
  <c r="AC19" i="95"/>
  <c r="AC126" i="95" s="1"/>
  <c r="AB19" i="95"/>
  <c r="AB126" i="95" s="1"/>
  <c r="AA19" i="95"/>
  <c r="AA126" i="95" s="1"/>
  <c r="Z19" i="95"/>
  <c r="Z126" i="95" s="1"/>
  <c r="Y19" i="95"/>
  <c r="Y126" i="95" s="1"/>
  <c r="X19" i="95"/>
  <c r="X126" i="95" s="1"/>
  <c r="W19" i="95"/>
  <c r="W126" i="95" s="1"/>
  <c r="V19" i="95"/>
  <c r="V126" i="95" s="1"/>
  <c r="U19" i="95"/>
  <c r="U126" i="95" s="1"/>
  <c r="T19" i="95"/>
  <c r="T126" i="95" s="1"/>
  <c r="S19" i="95"/>
  <c r="S126" i="95" s="1"/>
  <c r="R19" i="95"/>
  <c r="R126" i="95" s="1"/>
  <c r="Q19" i="95"/>
  <c r="Q126" i="95" s="1"/>
  <c r="P19" i="95"/>
  <c r="P126" i="95" s="1"/>
  <c r="O19" i="95"/>
  <c r="O126" i="95" s="1"/>
  <c r="N19" i="95"/>
  <c r="N126" i="95" s="1"/>
  <c r="M19" i="95"/>
  <c r="M126" i="95" s="1"/>
  <c r="K19" i="95"/>
  <c r="K126" i="95" s="1"/>
  <c r="I18" i="95"/>
  <c r="L18" i="95" s="1"/>
  <c r="I17" i="95"/>
  <c r="L17" i="95" s="1"/>
  <c r="I16" i="95"/>
  <c r="L16" i="95" s="1"/>
  <c r="I15" i="95"/>
  <c r="L15" i="95" s="1"/>
  <c r="I14" i="95"/>
  <c r="L14" i="95" s="1"/>
  <c r="I13" i="95"/>
  <c r="L13" i="95" s="1"/>
  <c r="I12" i="95"/>
  <c r="L12" i="95" s="1"/>
  <c r="I11" i="95"/>
  <c r="L11" i="95" s="1"/>
  <c r="I10" i="95"/>
  <c r="L10" i="95" s="1"/>
  <c r="I9" i="95"/>
  <c r="L9" i="95" s="1"/>
  <c r="I8" i="95"/>
  <c r="L8" i="95" s="1"/>
  <c r="I7" i="95"/>
  <c r="L7" i="95" s="1"/>
  <c r="I6" i="95"/>
  <c r="L6" i="95" s="1"/>
  <c r="I5" i="95"/>
  <c r="L5" i="95" s="1"/>
  <c r="I4" i="95"/>
  <c r="L4" i="95" s="1"/>
  <c r="L19" i="95" s="1"/>
  <c r="L126" i="95" s="1"/>
  <c r="I22" i="94"/>
  <c r="L22" i="94" s="1"/>
  <c r="I23" i="94"/>
  <c r="L23" i="94" s="1"/>
  <c r="I24" i="94"/>
  <c r="L24" i="94" s="1"/>
  <c r="I25" i="94"/>
  <c r="L25" i="94" s="1"/>
  <c r="I26" i="94"/>
  <c r="I8" i="94"/>
  <c r="L8" i="94" s="1"/>
  <c r="I76" i="94"/>
  <c r="L76" i="94" s="1"/>
  <c r="I77" i="94"/>
  <c r="L77" i="94" s="1"/>
  <c r="I58" i="94"/>
  <c r="L58" i="94" s="1"/>
  <c r="I59" i="94"/>
  <c r="L59" i="94" s="1"/>
  <c r="I60" i="94"/>
  <c r="L60" i="94" s="1"/>
  <c r="I61" i="94"/>
  <c r="L61" i="94" s="1"/>
  <c r="I62" i="94"/>
  <c r="L62" i="94" s="1"/>
  <c r="I63" i="94"/>
  <c r="L63" i="94" s="1"/>
  <c r="I64" i="94"/>
  <c r="L64" i="94" s="1"/>
  <c r="I65" i="94"/>
  <c r="L65" i="94" s="1"/>
  <c r="I66" i="94"/>
  <c r="L66" i="94" s="1"/>
  <c r="AL88" i="94"/>
  <c r="AK88" i="94"/>
  <c r="AJ88" i="94"/>
  <c r="AI88" i="94"/>
  <c r="AH88" i="94"/>
  <c r="AG88" i="94"/>
  <c r="AF88" i="94"/>
  <c r="AE88" i="94"/>
  <c r="AD88" i="94"/>
  <c r="AC88" i="94"/>
  <c r="AB88" i="94"/>
  <c r="AA88" i="94"/>
  <c r="Z88" i="94"/>
  <c r="Y88" i="94"/>
  <c r="X88" i="94"/>
  <c r="W88" i="94"/>
  <c r="V88" i="94"/>
  <c r="U88" i="94"/>
  <c r="T88" i="94"/>
  <c r="S88" i="94"/>
  <c r="R88" i="94"/>
  <c r="Q88" i="94"/>
  <c r="P88" i="94"/>
  <c r="O88" i="94"/>
  <c r="N88" i="94"/>
  <c r="M88" i="94"/>
  <c r="K88" i="94"/>
  <c r="L87" i="94"/>
  <c r="I86" i="94"/>
  <c r="L86" i="94" s="1"/>
  <c r="I85" i="94"/>
  <c r="L85" i="94" s="1"/>
  <c r="I83" i="94"/>
  <c r="L83" i="94" s="1"/>
  <c r="I82" i="94"/>
  <c r="L82" i="94" s="1"/>
  <c r="I81" i="94"/>
  <c r="L81" i="94" s="1"/>
  <c r="I80" i="94"/>
  <c r="L80" i="94" s="1"/>
  <c r="I79" i="94"/>
  <c r="L79" i="94" s="1"/>
  <c r="I78" i="94"/>
  <c r="L78" i="94" s="1"/>
  <c r="I75" i="94"/>
  <c r="L75" i="94" s="1"/>
  <c r="I74" i="94"/>
  <c r="L74" i="94" s="1"/>
  <c r="I73" i="94"/>
  <c r="L73" i="94" s="1"/>
  <c r="I72" i="94"/>
  <c r="L72" i="94" s="1"/>
  <c r="I71" i="94"/>
  <c r="L71" i="94" s="1"/>
  <c r="I70" i="94"/>
  <c r="L70" i="94" s="1"/>
  <c r="I69" i="94"/>
  <c r="L69" i="94" s="1"/>
  <c r="I68" i="94"/>
  <c r="L68" i="94" s="1"/>
  <c r="I67" i="94"/>
  <c r="L67" i="94" s="1"/>
  <c r="I57" i="94"/>
  <c r="L57" i="94" s="1"/>
  <c r="I56" i="94"/>
  <c r="L56" i="94" s="1"/>
  <c r="I55" i="94"/>
  <c r="L55" i="94" s="1"/>
  <c r="I54" i="94"/>
  <c r="L54" i="94" s="1"/>
  <c r="I53" i="94"/>
  <c r="L53" i="94" s="1"/>
  <c r="I52" i="94"/>
  <c r="L52" i="94" s="1"/>
  <c r="I51" i="94"/>
  <c r="L51" i="94" s="1"/>
  <c r="I50" i="94"/>
  <c r="L50" i="94" s="1"/>
  <c r="I49" i="94"/>
  <c r="L49" i="94" s="1"/>
  <c r="I48" i="94"/>
  <c r="L48" i="94" s="1"/>
  <c r="I47" i="94"/>
  <c r="L47" i="94" s="1"/>
  <c r="I46" i="94"/>
  <c r="L46" i="94" s="1"/>
  <c r="I45" i="94"/>
  <c r="L45" i="94" s="1"/>
  <c r="I44" i="94"/>
  <c r="L44" i="94" s="1"/>
  <c r="I43" i="94"/>
  <c r="L43" i="94" s="1"/>
  <c r="I42" i="94"/>
  <c r="L42" i="94" s="1"/>
  <c r="I41" i="94"/>
  <c r="L41" i="94" s="1"/>
  <c r="I40" i="94"/>
  <c r="L40" i="94" s="1"/>
  <c r="I39" i="94"/>
  <c r="L39" i="94" s="1"/>
  <c r="I38" i="94"/>
  <c r="L38" i="94" s="1"/>
  <c r="I37" i="94"/>
  <c r="L37" i="94" s="1"/>
  <c r="I36" i="94"/>
  <c r="L36" i="94" s="1"/>
  <c r="I35" i="94"/>
  <c r="L35" i="94" s="1"/>
  <c r="I34" i="94"/>
  <c r="L34" i="94" s="1"/>
  <c r="I33" i="94"/>
  <c r="L33" i="94" s="1"/>
  <c r="I32" i="94"/>
  <c r="L32" i="94" s="1"/>
  <c r="L88" i="94" s="1"/>
  <c r="AL31" i="94"/>
  <c r="AK31" i="94"/>
  <c r="AJ31" i="94"/>
  <c r="AI31" i="94"/>
  <c r="AH31" i="94"/>
  <c r="AG31" i="94"/>
  <c r="AF31" i="94"/>
  <c r="AE31" i="94"/>
  <c r="AD31" i="94"/>
  <c r="AC31" i="94"/>
  <c r="AB31" i="94"/>
  <c r="AA31" i="94"/>
  <c r="Z31" i="94"/>
  <c r="Y31" i="94"/>
  <c r="X31" i="94"/>
  <c r="W31" i="94"/>
  <c r="V31" i="94"/>
  <c r="U31" i="94"/>
  <c r="T31" i="94"/>
  <c r="S31" i="94"/>
  <c r="R31" i="94"/>
  <c r="Q31" i="94"/>
  <c r="P31" i="94"/>
  <c r="O31" i="94"/>
  <c r="N31" i="94"/>
  <c r="M31" i="94"/>
  <c r="K31" i="94"/>
  <c r="I29" i="94"/>
  <c r="L29" i="94" s="1"/>
  <c r="L31" i="94" s="1"/>
  <c r="AL28" i="94"/>
  <c r="AL89" i="94" s="1"/>
  <c r="AK28" i="94"/>
  <c r="AK89" i="94" s="1"/>
  <c r="AJ28" i="94"/>
  <c r="AJ89" i="94" s="1"/>
  <c r="AI28" i="94"/>
  <c r="AI89" i="94" s="1"/>
  <c r="AH28" i="94"/>
  <c r="AH89" i="94" s="1"/>
  <c r="AG28" i="94"/>
  <c r="AG89" i="94" s="1"/>
  <c r="AF28" i="94"/>
  <c r="AF89" i="94" s="1"/>
  <c r="AE28" i="94"/>
  <c r="AE89" i="94" s="1"/>
  <c r="AD28" i="94"/>
  <c r="AD89" i="94" s="1"/>
  <c r="AC28" i="94"/>
  <c r="AC89" i="94" s="1"/>
  <c r="AB28" i="94"/>
  <c r="AB89" i="94" s="1"/>
  <c r="AA28" i="94"/>
  <c r="AA89" i="94" s="1"/>
  <c r="Z28" i="94"/>
  <c r="Z89" i="94" s="1"/>
  <c r="Y28" i="94"/>
  <c r="Y89" i="94" s="1"/>
  <c r="X28" i="94"/>
  <c r="X89" i="94" s="1"/>
  <c r="W28" i="94"/>
  <c r="W89" i="94" s="1"/>
  <c r="V28" i="94"/>
  <c r="V89" i="94" s="1"/>
  <c r="U28" i="94"/>
  <c r="U89" i="94" s="1"/>
  <c r="T28" i="94"/>
  <c r="T89" i="94" s="1"/>
  <c r="S28" i="94"/>
  <c r="S89" i="94" s="1"/>
  <c r="R28" i="94"/>
  <c r="R89" i="94" s="1"/>
  <c r="Q28" i="94"/>
  <c r="Q89" i="94" s="1"/>
  <c r="P28" i="94"/>
  <c r="P89" i="94" s="1"/>
  <c r="O28" i="94"/>
  <c r="O89" i="94" s="1"/>
  <c r="N28" i="94"/>
  <c r="N89" i="94" s="1"/>
  <c r="M28" i="94"/>
  <c r="M89" i="94" s="1"/>
  <c r="K28" i="94"/>
  <c r="K89" i="94" s="1"/>
  <c r="I27" i="94"/>
  <c r="L27" i="94" s="1"/>
  <c r="L26" i="94"/>
  <c r="I21" i="94"/>
  <c r="L21" i="94" s="1"/>
  <c r="I20" i="94"/>
  <c r="L20" i="94" s="1"/>
  <c r="I19" i="94"/>
  <c r="L19" i="94" s="1"/>
  <c r="I18" i="94"/>
  <c r="L18" i="94" s="1"/>
  <c r="I17" i="94"/>
  <c r="L17" i="94" s="1"/>
  <c r="I16" i="94"/>
  <c r="L16" i="94" s="1"/>
  <c r="I15" i="94"/>
  <c r="L15" i="94" s="1"/>
  <c r="I14" i="94"/>
  <c r="L14" i="94" s="1"/>
  <c r="I13" i="94"/>
  <c r="L13" i="94" s="1"/>
  <c r="I12" i="94"/>
  <c r="L12" i="94" s="1"/>
  <c r="I11" i="94"/>
  <c r="L11" i="94" s="1"/>
  <c r="I10" i="94"/>
  <c r="L10" i="94" s="1"/>
  <c r="I9" i="94"/>
  <c r="L9" i="94" s="1"/>
  <c r="I7" i="94"/>
  <c r="L7" i="94" s="1"/>
  <c r="I6" i="94"/>
  <c r="L6" i="94" s="1"/>
  <c r="I5" i="94"/>
  <c r="L5" i="94" s="1"/>
  <c r="I4" i="94"/>
  <c r="L28" i="94" s="1"/>
  <c r="L89" i="94" s="1"/>
  <c r="I115" i="93"/>
  <c r="L115" i="93" s="1"/>
  <c r="I116" i="93"/>
  <c r="L116" i="93" s="1"/>
  <c r="I117" i="93"/>
  <c r="L117" i="93" s="1"/>
  <c r="I118" i="93"/>
  <c r="L118" i="93" s="1"/>
  <c r="K135" i="93"/>
  <c r="K130" i="93"/>
  <c r="K131" i="93"/>
  <c r="K132" i="93"/>
  <c r="K133" i="93"/>
  <c r="K134" i="93"/>
  <c r="I75" i="93"/>
  <c r="L75" i="93" s="1"/>
  <c r="K121" i="93"/>
  <c r="K122" i="93"/>
  <c r="K123" i="93"/>
  <c r="K124" i="93"/>
  <c r="K125" i="93"/>
  <c r="K126" i="93"/>
  <c r="K127" i="93"/>
  <c r="K128" i="93"/>
  <c r="K129" i="93"/>
  <c r="K120" i="93"/>
  <c r="K21" i="93"/>
  <c r="K19" i="93"/>
  <c r="I44" i="93"/>
  <c r="L44" i="93" s="1"/>
  <c r="I45" i="93"/>
  <c r="L45" i="93" s="1"/>
  <c r="I41" i="93"/>
  <c r="L41" i="93" s="1"/>
  <c r="I38" i="93"/>
  <c r="L38" i="93" s="1"/>
  <c r="I35" i="93"/>
  <c r="L35" i="93" s="1"/>
  <c r="I32" i="93"/>
  <c r="L32" i="93" s="1"/>
  <c r="I29" i="93"/>
  <c r="L29" i="93" s="1"/>
  <c r="I28" i="93"/>
  <c r="L28" i="93" s="1"/>
  <c r="AL137" i="93"/>
  <c r="AK137" i="93"/>
  <c r="AJ137" i="93"/>
  <c r="AI137" i="93"/>
  <c r="AH137" i="93"/>
  <c r="AG137" i="93"/>
  <c r="AF137" i="93"/>
  <c r="AE137" i="93"/>
  <c r="AD137" i="93"/>
  <c r="AC137" i="93"/>
  <c r="AB137" i="93"/>
  <c r="AA137" i="93"/>
  <c r="Z137" i="93"/>
  <c r="Y137" i="93"/>
  <c r="X137" i="93"/>
  <c r="W137" i="93"/>
  <c r="V137" i="93"/>
  <c r="U137" i="93"/>
  <c r="T137" i="93"/>
  <c r="S137" i="93"/>
  <c r="R137" i="93"/>
  <c r="Q137" i="93"/>
  <c r="P137" i="93"/>
  <c r="O137" i="93"/>
  <c r="N137" i="93"/>
  <c r="M137" i="93"/>
  <c r="I136" i="93"/>
  <c r="L136" i="93" s="1"/>
  <c r="I135" i="93"/>
  <c r="I134" i="93"/>
  <c r="L134" i="93" s="1"/>
  <c r="I133" i="93"/>
  <c r="L133" i="93" s="1"/>
  <c r="I132" i="93"/>
  <c r="L132" i="93" s="1"/>
  <c r="I131" i="93"/>
  <c r="L131" i="93" s="1"/>
  <c r="I130" i="93"/>
  <c r="L130" i="93" s="1"/>
  <c r="I129" i="93"/>
  <c r="I128" i="93"/>
  <c r="I127" i="93"/>
  <c r="L127" i="93" s="1"/>
  <c r="I126" i="93"/>
  <c r="L126" i="93" s="1"/>
  <c r="I125" i="93"/>
  <c r="L125" i="93" s="1"/>
  <c r="I124" i="93"/>
  <c r="L124" i="93" s="1"/>
  <c r="I123" i="93"/>
  <c r="L123" i="93" s="1"/>
  <c r="I122" i="93"/>
  <c r="I121" i="93"/>
  <c r="I120" i="93"/>
  <c r="I119" i="93"/>
  <c r="L119" i="93" s="1"/>
  <c r="I114" i="93"/>
  <c r="L114" i="93" s="1"/>
  <c r="I113" i="93"/>
  <c r="L113" i="93" s="1"/>
  <c r="I112" i="93"/>
  <c r="L112" i="93" s="1"/>
  <c r="I111" i="93"/>
  <c r="L111" i="93" s="1"/>
  <c r="I110" i="93"/>
  <c r="L110" i="93" s="1"/>
  <c r="I109" i="93"/>
  <c r="L109" i="93" s="1"/>
  <c r="I108" i="93"/>
  <c r="L108" i="93" s="1"/>
  <c r="I107" i="93"/>
  <c r="L107" i="93" s="1"/>
  <c r="I106" i="93"/>
  <c r="L106" i="93" s="1"/>
  <c r="I105" i="93"/>
  <c r="L105" i="93" s="1"/>
  <c r="I104" i="93"/>
  <c r="L104" i="93" s="1"/>
  <c r="I103" i="93"/>
  <c r="L103" i="93" s="1"/>
  <c r="I102" i="93"/>
  <c r="L102" i="93" s="1"/>
  <c r="I101" i="93"/>
  <c r="L101" i="93" s="1"/>
  <c r="I100" i="93"/>
  <c r="L100" i="93" s="1"/>
  <c r="I99" i="93"/>
  <c r="L99" i="93" s="1"/>
  <c r="I98" i="93"/>
  <c r="L98" i="93" s="1"/>
  <c r="I97" i="93"/>
  <c r="L97" i="93" s="1"/>
  <c r="I96" i="93"/>
  <c r="L96" i="93" s="1"/>
  <c r="I95" i="93"/>
  <c r="L95" i="93" s="1"/>
  <c r="I94" i="93"/>
  <c r="L94" i="93" s="1"/>
  <c r="I93" i="93"/>
  <c r="L93" i="93" s="1"/>
  <c r="I92" i="93"/>
  <c r="L92" i="93" s="1"/>
  <c r="I91" i="93"/>
  <c r="L91" i="93" s="1"/>
  <c r="I90" i="93"/>
  <c r="L90" i="93" s="1"/>
  <c r="I89" i="93"/>
  <c r="L89" i="93" s="1"/>
  <c r="I88" i="93"/>
  <c r="L88" i="93" s="1"/>
  <c r="I87" i="93"/>
  <c r="L87" i="93" s="1"/>
  <c r="I86" i="93"/>
  <c r="L86" i="93" s="1"/>
  <c r="I85" i="93"/>
  <c r="L85" i="93" s="1"/>
  <c r="I84" i="93"/>
  <c r="L84" i="93" s="1"/>
  <c r="I83" i="93"/>
  <c r="L83" i="93" s="1"/>
  <c r="I82" i="93"/>
  <c r="L82" i="93" s="1"/>
  <c r="I81" i="93"/>
  <c r="L81" i="93" s="1"/>
  <c r="I80" i="93"/>
  <c r="L80" i="93" s="1"/>
  <c r="I79" i="93"/>
  <c r="L79" i="93" s="1"/>
  <c r="I78" i="93"/>
  <c r="I77" i="93"/>
  <c r="L77" i="93" s="1"/>
  <c r="I76" i="93"/>
  <c r="I74" i="93"/>
  <c r="I73" i="93"/>
  <c r="I72" i="93"/>
  <c r="L72" i="93" s="1"/>
  <c r="I71" i="93"/>
  <c r="I70" i="93"/>
  <c r="L70" i="93" s="1"/>
  <c r="I69" i="93"/>
  <c r="L69" i="93" s="1"/>
  <c r="I68" i="93"/>
  <c r="L68" i="93" s="1"/>
  <c r="I67" i="93"/>
  <c r="L67" i="93" s="1"/>
  <c r="I66" i="93"/>
  <c r="L66" i="93" s="1"/>
  <c r="I65" i="93"/>
  <c r="L65" i="93" s="1"/>
  <c r="I64" i="93"/>
  <c r="L64" i="93" s="1"/>
  <c r="I63" i="93"/>
  <c r="L63" i="93" s="1"/>
  <c r="I62" i="93"/>
  <c r="L62" i="93" s="1"/>
  <c r="I61" i="93"/>
  <c r="L61" i="93" s="1"/>
  <c r="I60" i="93"/>
  <c r="L60" i="93" s="1"/>
  <c r="I59" i="93"/>
  <c r="L59" i="93" s="1"/>
  <c r="I58" i="93"/>
  <c r="L58" i="93" s="1"/>
  <c r="I57" i="93"/>
  <c r="L57" i="93" s="1"/>
  <c r="I56" i="93"/>
  <c r="L56" i="93" s="1"/>
  <c r="I55" i="93"/>
  <c r="L55" i="93" s="1"/>
  <c r="I54" i="93"/>
  <c r="L54" i="93" s="1"/>
  <c r="I53" i="93"/>
  <c r="L53" i="93" s="1"/>
  <c r="I52" i="93"/>
  <c r="L52" i="93" s="1"/>
  <c r="I51" i="93"/>
  <c r="L51" i="93" s="1"/>
  <c r="I50" i="93"/>
  <c r="L50" i="93" s="1"/>
  <c r="I49" i="93"/>
  <c r="L49" i="93" s="1"/>
  <c r="I48" i="93"/>
  <c r="L48" i="93" s="1"/>
  <c r="I47" i="93"/>
  <c r="L47" i="93" s="1"/>
  <c r="I46" i="93"/>
  <c r="L46" i="93" s="1"/>
  <c r="I43" i="93"/>
  <c r="L43" i="93" s="1"/>
  <c r="I42" i="93"/>
  <c r="L42" i="93" s="1"/>
  <c r="I40" i="93"/>
  <c r="L40" i="93" s="1"/>
  <c r="I39" i="93"/>
  <c r="L39" i="93" s="1"/>
  <c r="I37" i="93"/>
  <c r="L37" i="93" s="1"/>
  <c r="I36" i="93"/>
  <c r="L36" i="93" s="1"/>
  <c r="I34" i="93"/>
  <c r="L34" i="93" s="1"/>
  <c r="I33" i="93"/>
  <c r="L33" i="93" s="1"/>
  <c r="I31" i="93"/>
  <c r="L31" i="93" s="1"/>
  <c r="I30" i="93"/>
  <c r="L30" i="93" s="1"/>
  <c r="I27" i="93"/>
  <c r="L27" i="93" s="1"/>
  <c r="I26" i="93"/>
  <c r="L26" i="93" s="1"/>
  <c r="I25" i="93"/>
  <c r="AL24" i="93"/>
  <c r="AK24" i="93"/>
  <c r="AJ24" i="93"/>
  <c r="AI24" i="93"/>
  <c r="AH24" i="93"/>
  <c r="AG24" i="93"/>
  <c r="AF24" i="93"/>
  <c r="AE24" i="93"/>
  <c r="AD24" i="93"/>
  <c r="AC24" i="93"/>
  <c r="AB24" i="93"/>
  <c r="AA24" i="93"/>
  <c r="Z24" i="93"/>
  <c r="Y24" i="93"/>
  <c r="X24" i="93"/>
  <c r="W24" i="93"/>
  <c r="V24" i="93"/>
  <c r="U24" i="93"/>
  <c r="T24" i="93"/>
  <c r="S24" i="93"/>
  <c r="R24" i="93"/>
  <c r="Q24" i="93"/>
  <c r="P24" i="93"/>
  <c r="O24" i="93"/>
  <c r="N24" i="93"/>
  <c r="M24" i="93"/>
  <c r="I23" i="93"/>
  <c r="L23" i="93" s="1"/>
  <c r="I22" i="93"/>
  <c r="L22" i="93" s="1"/>
  <c r="I21" i="93"/>
  <c r="I20" i="93"/>
  <c r="L20" i="93" s="1"/>
  <c r="I19" i="93"/>
  <c r="I18" i="93"/>
  <c r="AL17" i="93"/>
  <c r="AK17" i="93"/>
  <c r="AJ17" i="93"/>
  <c r="AI17" i="93"/>
  <c r="AH17" i="93"/>
  <c r="AG17" i="93"/>
  <c r="AF17" i="93"/>
  <c r="AE17" i="93"/>
  <c r="AD17" i="93"/>
  <c r="AC17" i="93"/>
  <c r="AB17" i="93"/>
  <c r="AA17" i="93"/>
  <c r="Z17" i="93"/>
  <c r="Y17" i="93"/>
  <c r="X17" i="93"/>
  <c r="W17" i="93"/>
  <c r="V17" i="93"/>
  <c r="U17" i="93"/>
  <c r="T17" i="93"/>
  <c r="S17" i="93"/>
  <c r="R17" i="93"/>
  <c r="Q17" i="93"/>
  <c r="P17" i="93"/>
  <c r="O17" i="93"/>
  <c r="N17" i="93"/>
  <c r="M17" i="93"/>
  <c r="K17" i="93"/>
  <c r="I16" i="93"/>
  <c r="L16" i="93" s="1"/>
  <c r="I15" i="93"/>
  <c r="L15" i="93" s="1"/>
  <c r="I14" i="93"/>
  <c r="L14" i="93" s="1"/>
  <c r="I13" i="93"/>
  <c r="L13" i="93" s="1"/>
  <c r="I12" i="93"/>
  <c r="L12" i="93" s="1"/>
  <c r="I11" i="93"/>
  <c r="L11" i="93" s="1"/>
  <c r="I10" i="93"/>
  <c r="L10" i="93" s="1"/>
  <c r="I9" i="93"/>
  <c r="L9" i="93" s="1"/>
  <c r="I8" i="93"/>
  <c r="L8" i="93" s="1"/>
  <c r="I7" i="93"/>
  <c r="L7" i="93" s="1"/>
  <c r="I6" i="93"/>
  <c r="L6" i="93" s="1"/>
  <c r="I5" i="93"/>
  <c r="L5" i="93" s="1"/>
  <c r="I4" i="93"/>
  <c r="X26" i="92"/>
  <c r="X44" i="92"/>
  <c r="X43" i="92"/>
  <c r="X41" i="92"/>
  <c r="Y40" i="92"/>
  <c r="X40" i="92"/>
  <c r="Y39" i="92"/>
  <c r="Y38" i="92"/>
  <c r="X38" i="92"/>
  <c r="AH81" i="92"/>
  <c r="AI81" i="92"/>
  <c r="AJ81" i="92"/>
  <c r="AG81" i="92"/>
  <c r="AH80" i="92"/>
  <c r="AI80" i="92"/>
  <c r="AJ80" i="92"/>
  <c r="AG80" i="92"/>
  <c r="K29" i="92"/>
  <c r="K78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L71" i="92" s="1"/>
  <c r="L58" i="92"/>
  <c r="I45" i="92"/>
  <c r="L45" i="92" s="1"/>
  <c r="I46" i="92"/>
  <c r="L46" i="92" s="1"/>
  <c r="I47" i="92"/>
  <c r="L47" i="92" s="1"/>
  <c r="I48" i="92"/>
  <c r="L48" i="92" s="1"/>
  <c r="I49" i="92"/>
  <c r="L49" i="92" s="1"/>
  <c r="I50" i="92"/>
  <c r="L50" i="92" s="1"/>
  <c r="I51" i="92"/>
  <c r="L51" i="92" s="1"/>
  <c r="I52" i="92"/>
  <c r="L52" i="92" s="1"/>
  <c r="I53" i="92"/>
  <c r="L53" i="92" s="1"/>
  <c r="I54" i="92"/>
  <c r="L54" i="92" s="1"/>
  <c r="I55" i="92"/>
  <c r="L55" i="92" s="1"/>
  <c r="AL83" i="92"/>
  <c r="AK83" i="92"/>
  <c r="AJ83" i="92"/>
  <c r="AI83" i="92"/>
  <c r="AH83" i="92"/>
  <c r="AG83" i="92"/>
  <c r="AF83" i="92"/>
  <c r="AE83" i="92"/>
  <c r="AD83" i="92"/>
  <c r="AC83" i="92"/>
  <c r="AB83" i="92"/>
  <c r="AA83" i="92"/>
  <c r="Z83" i="92"/>
  <c r="Y83" i="92"/>
  <c r="X83" i="92"/>
  <c r="W83" i="92"/>
  <c r="V83" i="92"/>
  <c r="U83" i="92"/>
  <c r="T83" i="92"/>
  <c r="S83" i="92"/>
  <c r="R83" i="92"/>
  <c r="Q83" i="92"/>
  <c r="P83" i="92"/>
  <c r="O83" i="92"/>
  <c r="N83" i="92"/>
  <c r="M83" i="92"/>
  <c r="K83" i="92"/>
  <c r="L82" i="92"/>
  <c r="I81" i="92"/>
  <c r="L81" i="92" s="1"/>
  <c r="I80" i="92"/>
  <c r="L80" i="92" s="1"/>
  <c r="I78" i="92"/>
  <c r="L78" i="92" s="1"/>
  <c r="I76" i="92"/>
  <c r="L76" i="92" s="1"/>
  <c r="I75" i="92"/>
  <c r="L75" i="92" s="1"/>
  <c r="I74" i="92"/>
  <c r="L74" i="92" s="1"/>
  <c r="I73" i="92"/>
  <c r="L73" i="92" s="1"/>
  <c r="I72" i="92"/>
  <c r="L72" i="92" s="1"/>
  <c r="L70" i="92"/>
  <c r="L69" i="92"/>
  <c r="L68" i="92"/>
  <c r="L67" i="92"/>
  <c r="L66" i="92"/>
  <c r="L65" i="92"/>
  <c r="L64" i="92"/>
  <c r="L63" i="92"/>
  <c r="L62" i="92"/>
  <c r="L61" i="92"/>
  <c r="L60" i="92"/>
  <c r="L59" i="92"/>
  <c r="I57" i="92"/>
  <c r="L57" i="92" s="1"/>
  <c r="I56" i="92"/>
  <c r="L56" i="92" s="1"/>
  <c r="I44" i="92"/>
  <c r="L44" i="92" s="1"/>
  <c r="I43" i="92"/>
  <c r="L43" i="92" s="1"/>
  <c r="I42" i="92"/>
  <c r="L42" i="92" s="1"/>
  <c r="I41" i="92"/>
  <c r="L41" i="92" s="1"/>
  <c r="I40" i="92"/>
  <c r="L40" i="92" s="1"/>
  <c r="I39" i="92"/>
  <c r="L39" i="92" s="1"/>
  <c r="I38" i="92"/>
  <c r="L38" i="92" s="1"/>
  <c r="I37" i="92"/>
  <c r="L37" i="92" s="1"/>
  <c r="I35" i="92"/>
  <c r="L35" i="92" s="1"/>
  <c r="I34" i="92"/>
  <c r="L34" i="92" s="1"/>
  <c r="I33" i="92"/>
  <c r="L33" i="92" s="1"/>
  <c r="I32" i="92"/>
  <c r="L32" i="92" s="1"/>
  <c r="I31" i="92"/>
  <c r="L31" i="92" s="1"/>
  <c r="I30" i="92"/>
  <c r="L30" i="92" s="1"/>
  <c r="I29" i="92"/>
  <c r="L29" i="92" s="1"/>
  <c r="I28" i="92"/>
  <c r="L28" i="92" s="1"/>
  <c r="I27" i="92"/>
  <c r="L27" i="92" s="1"/>
  <c r="I26" i="92"/>
  <c r="L26" i="92" s="1"/>
  <c r="I25" i="92"/>
  <c r="L25" i="92" s="1"/>
  <c r="I24" i="92"/>
  <c r="L24" i="92" s="1"/>
  <c r="I23" i="92"/>
  <c r="L23" i="92" s="1"/>
  <c r="I22" i="92"/>
  <c r="L22" i="92" s="1"/>
  <c r="I21" i="92"/>
  <c r="L21" i="92" s="1"/>
  <c r="L83" i="92" s="1"/>
  <c r="AL20" i="92"/>
  <c r="AK20" i="92"/>
  <c r="AJ20" i="92"/>
  <c r="AI20" i="92"/>
  <c r="AH20" i="92"/>
  <c r="AG20" i="92"/>
  <c r="AF20" i="92"/>
  <c r="AE20" i="92"/>
  <c r="AD20" i="92"/>
  <c r="AC20" i="92"/>
  <c r="AB20" i="92"/>
  <c r="AA20" i="92"/>
  <c r="Z20" i="92"/>
  <c r="Y20" i="92"/>
  <c r="X20" i="92"/>
  <c r="W20" i="92"/>
  <c r="V20" i="92"/>
  <c r="U20" i="92"/>
  <c r="T20" i="92"/>
  <c r="S20" i="92"/>
  <c r="R20" i="92"/>
  <c r="Q20" i="92"/>
  <c r="P20" i="92"/>
  <c r="O20" i="92"/>
  <c r="N20" i="92"/>
  <c r="M20" i="92"/>
  <c r="K20" i="92"/>
  <c r="I18" i="92"/>
  <c r="L18" i="92" s="1"/>
  <c r="L20" i="92" s="1"/>
  <c r="AL17" i="92"/>
  <c r="AL84" i="92" s="1"/>
  <c r="AK17" i="92"/>
  <c r="AK84" i="92" s="1"/>
  <c r="AJ17" i="92"/>
  <c r="AJ84" i="92" s="1"/>
  <c r="AI17" i="92"/>
  <c r="AI84" i="92" s="1"/>
  <c r="AH17" i="92"/>
  <c r="AH84" i="92" s="1"/>
  <c r="AG17" i="92"/>
  <c r="AG84" i="92" s="1"/>
  <c r="AF17" i="92"/>
  <c r="AF84" i="92" s="1"/>
  <c r="AE17" i="92"/>
  <c r="AE84" i="92" s="1"/>
  <c r="AD17" i="92"/>
  <c r="AD84" i="92" s="1"/>
  <c r="AC17" i="92"/>
  <c r="AC84" i="92" s="1"/>
  <c r="AB17" i="92"/>
  <c r="AB84" i="92" s="1"/>
  <c r="AA17" i="92"/>
  <c r="AA84" i="92" s="1"/>
  <c r="Z17" i="92"/>
  <c r="Z84" i="92" s="1"/>
  <c r="Y17" i="92"/>
  <c r="Y84" i="92" s="1"/>
  <c r="X17" i="92"/>
  <c r="X84" i="92" s="1"/>
  <c r="W17" i="92"/>
  <c r="W84" i="92" s="1"/>
  <c r="V17" i="92"/>
  <c r="V84" i="92" s="1"/>
  <c r="U17" i="92"/>
  <c r="U84" i="92" s="1"/>
  <c r="T17" i="92"/>
  <c r="T84" i="92" s="1"/>
  <c r="S17" i="92"/>
  <c r="S84" i="92" s="1"/>
  <c r="R17" i="92"/>
  <c r="R84" i="92" s="1"/>
  <c r="Q17" i="92"/>
  <c r="Q84" i="92" s="1"/>
  <c r="P17" i="92"/>
  <c r="P84" i="92" s="1"/>
  <c r="O17" i="92"/>
  <c r="O84" i="92" s="1"/>
  <c r="N17" i="92"/>
  <c r="N84" i="92" s="1"/>
  <c r="M17" i="92"/>
  <c r="M84" i="92" s="1"/>
  <c r="K17" i="92"/>
  <c r="K84" i="92" s="1"/>
  <c r="I16" i="92"/>
  <c r="L16" i="92" s="1"/>
  <c r="I15" i="92"/>
  <c r="L15" i="92" s="1"/>
  <c r="I14" i="92"/>
  <c r="L14" i="92" s="1"/>
  <c r="I13" i="92"/>
  <c r="L13" i="92" s="1"/>
  <c r="I12" i="92"/>
  <c r="L12" i="92" s="1"/>
  <c r="I11" i="92"/>
  <c r="L11" i="92" s="1"/>
  <c r="I10" i="92"/>
  <c r="L10" i="92" s="1"/>
  <c r="I9" i="92"/>
  <c r="L9" i="92" s="1"/>
  <c r="I8" i="92"/>
  <c r="L8" i="92" s="1"/>
  <c r="I7" i="92"/>
  <c r="L7" i="92" s="1"/>
  <c r="I6" i="92"/>
  <c r="L6" i="92" s="1"/>
  <c r="I5" i="92"/>
  <c r="L5" i="92" s="1"/>
  <c r="I4" i="92"/>
  <c r="L17" i="92" s="1"/>
  <c r="L84" i="92" s="1"/>
  <c r="K162" i="91"/>
  <c r="K163" i="91"/>
  <c r="K164" i="91"/>
  <c r="K165" i="91"/>
  <c r="K166" i="91"/>
  <c r="I167" i="91"/>
  <c r="K159" i="91"/>
  <c r="K160" i="91"/>
  <c r="K161" i="91"/>
  <c r="L105" i="91"/>
  <c r="L106" i="91"/>
  <c r="L107" i="91"/>
  <c r="L108" i="91"/>
  <c r="I98" i="91"/>
  <c r="L98" i="91" s="1"/>
  <c r="I99" i="91"/>
  <c r="L99" i="91" s="1"/>
  <c r="I100" i="91"/>
  <c r="L100" i="91" s="1"/>
  <c r="I101" i="91"/>
  <c r="L101" i="91" s="1"/>
  <c r="I102" i="91"/>
  <c r="L102" i="91" s="1"/>
  <c r="I103" i="91"/>
  <c r="L103" i="91" s="1"/>
  <c r="I104" i="91"/>
  <c r="L104" i="91" s="1"/>
  <c r="I105" i="91"/>
  <c r="I106" i="91"/>
  <c r="K157" i="91"/>
  <c r="K158" i="91"/>
  <c r="K148" i="91"/>
  <c r="K149" i="91"/>
  <c r="K150" i="91"/>
  <c r="K151" i="91"/>
  <c r="K152" i="91"/>
  <c r="K153" i="91"/>
  <c r="K154" i="91"/>
  <c r="K155" i="91"/>
  <c r="K156" i="91"/>
  <c r="K145" i="91"/>
  <c r="K146" i="91"/>
  <c r="K147" i="91"/>
  <c r="K143" i="91"/>
  <c r="K144" i="91"/>
  <c r="K142" i="91"/>
  <c r="K73" i="91"/>
  <c r="K74" i="91"/>
  <c r="K75" i="91"/>
  <c r="K76" i="91"/>
  <c r="K77" i="91"/>
  <c r="K78" i="91"/>
  <c r="K79" i="91"/>
  <c r="K72" i="91"/>
  <c r="K28" i="91"/>
  <c r="K26" i="91"/>
  <c r="AJ59" i="102" l="1"/>
  <c r="U59" i="102"/>
  <c r="P59" i="102"/>
  <c r="AD59" i="102"/>
  <c r="W59" i="102"/>
  <c r="AL59" i="102"/>
  <c r="X59" i="102"/>
  <c r="AM59" i="102"/>
  <c r="Y59" i="102"/>
  <c r="Z59" i="102"/>
  <c r="R59" i="102"/>
  <c r="AG59" i="102"/>
  <c r="S59" i="102"/>
  <c r="T59" i="102"/>
  <c r="AI59" i="102"/>
  <c r="AH59" i="102"/>
  <c r="V59" i="102"/>
  <c r="AK59" i="102"/>
  <c r="K100" i="103"/>
  <c r="K101" i="103" s="1"/>
  <c r="L88" i="103"/>
  <c r="T101" i="103"/>
  <c r="AG101" i="103"/>
  <c r="S101" i="103"/>
  <c r="AF101" i="103"/>
  <c r="O101" i="103"/>
  <c r="AA101" i="103"/>
  <c r="N101" i="103"/>
  <c r="X100" i="103"/>
  <c r="X101" i="103" s="1"/>
  <c r="Q101" i="103"/>
  <c r="AC101" i="103"/>
  <c r="L29" i="103"/>
  <c r="L31" i="103"/>
  <c r="L35" i="103" s="1"/>
  <c r="U101" i="103"/>
  <c r="W101" i="103"/>
  <c r="AK101" i="103"/>
  <c r="M101" i="103"/>
  <c r="AL101" i="103"/>
  <c r="L92" i="103"/>
  <c r="R101" i="103"/>
  <c r="Y100" i="103"/>
  <c r="Y101" i="103" s="1"/>
  <c r="AH101" i="103"/>
  <c r="Z100" i="103"/>
  <c r="Z101" i="103" s="1"/>
  <c r="V101" i="103"/>
  <c r="AM101" i="103"/>
  <c r="AD101" i="103"/>
  <c r="AI101" i="103"/>
  <c r="AJ101" i="103"/>
  <c r="P101" i="103"/>
  <c r="AB101" i="103"/>
  <c r="AE59" i="102"/>
  <c r="AM63" i="101"/>
  <c r="S63" i="101"/>
  <c r="W63" i="101"/>
  <c r="AL63" i="101"/>
  <c r="T63" i="101"/>
  <c r="U63" i="101"/>
  <c r="AJ63" i="101"/>
  <c r="AG63" i="101"/>
  <c r="AI63" i="101"/>
  <c r="AF63" i="101"/>
  <c r="V63" i="101"/>
  <c r="N63" i="101"/>
  <c r="Z63" i="101"/>
  <c r="M63" i="101"/>
  <c r="O63" i="101"/>
  <c r="AA63" i="101"/>
  <c r="P63" i="101"/>
  <c r="AB63" i="101"/>
  <c r="X63" i="101"/>
  <c r="Y63" i="101"/>
  <c r="Q63" i="101"/>
  <c r="AC63" i="101"/>
  <c r="R63" i="101"/>
  <c r="AD63" i="101"/>
  <c r="L12" i="101"/>
  <c r="L14" i="101" s="1"/>
  <c r="L7" i="101"/>
  <c r="AK63" i="101"/>
  <c r="AH63" i="101"/>
  <c r="K14" i="101"/>
  <c r="K63" i="101" s="1"/>
  <c r="W103" i="100"/>
  <c r="X103" i="100"/>
  <c r="AH103" i="100"/>
  <c r="U103" i="100"/>
  <c r="T103" i="100"/>
  <c r="AG103" i="100"/>
  <c r="AD103" i="100"/>
  <c r="R103" i="100"/>
  <c r="AI103" i="100"/>
  <c r="AB103" i="100"/>
  <c r="P103" i="100"/>
  <c r="AA103" i="100"/>
  <c r="O103" i="100"/>
  <c r="AM103" i="100"/>
  <c r="Z103" i="100"/>
  <c r="N103" i="100"/>
  <c r="V103" i="100"/>
  <c r="AL103" i="100"/>
  <c r="Y103" i="100"/>
  <c r="M103" i="100"/>
  <c r="AE103" i="100"/>
  <c r="AC103" i="100"/>
  <c r="K103" i="100"/>
  <c r="L13" i="100"/>
  <c r="L102" i="100"/>
  <c r="L33" i="99"/>
  <c r="L122" i="99"/>
  <c r="G18" i="98"/>
  <c r="G25" i="97"/>
  <c r="L121" i="93"/>
  <c r="K24" i="93"/>
  <c r="L19" i="93"/>
  <c r="L120" i="93"/>
  <c r="L128" i="93"/>
  <c r="L129" i="93"/>
  <c r="L122" i="93"/>
  <c r="V138" i="93"/>
  <c r="AH138" i="93"/>
  <c r="W138" i="93"/>
  <c r="AI138" i="93"/>
  <c r="X138" i="93"/>
  <c r="AJ138" i="93"/>
  <c r="R138" i="93"/>
  <c r="L76" i="93"/>
  <c r="L73" i="93"/>
  <c r="L74" i="93"/>
  <c r="L78" i="93"/>
  <c r="L71" i="93"/>
  <c r="L135" i="93"/>
  <c r="S138" i="93"/>
  <c r="AE138" i="93"/>
  <c r="T138" i="93"/>
  <c r="AF138" i="93"/>
  <c r="U138" i="93"/>
  <c r="AG138" i="93"/>
  <c r="M138" i="93"/>
  <c r="Y138" i="93"/>
  <c r="AK138" i="93"/>
  <c r="N138" i="93"/>
  <c r="Z138" i="93"/>
  <c r="AL138" i="93"/>
  <c r="O138" i="93"/>
  <c r="AA138" i="93"/>
  <c r="P138" i="93"/>
  <c r="AB138" i="93"/>
  <c r="AD138" i="93"/>
  <c r="Q138" i="93"/>
  <c r="AC138" i="93"/>
  <c r="L17" i="93"/>
  <c r="K137" i="93"/>
  <c r="K138" i="93" s="1"/>
  <c r="L21" i="93"/>
  <c r="L24" i="93" s="1"/>
  <c r="AL168" i="91"/>
  <c r="AK168" i="91"/>
  <c r="AF168" i="91"/>
  <c r="AE168" i="91"/>
  <c r="AD168" i="91"/>
  <c r="AC168" i="91"/>
  <c r="AB168" i="91"/>
  <c r="AA168" i="91"/>
  <c r="Z168" i="91"/>
  <c r="Y168" i="91"/>
  <c r="X168" i="91"/>
  <c r="W168" i="91"/>
  <c r="V168" i="91"/>
  <c r="U168" i="91"/>
  <c r="T168" i="91"/>
  <c r="S168" i="91"/>
  <c r="R168" i="91"/>
  <c r="Q168" i="91"/>
  <c r="P168" i="91"/>
  <c r="O168" i="91"/>
  <c r="N168" i="91"/>
  <c r="M168" i="91"/>
  <c r="L167" i="91"/>
  <c r="I166" i="91"/>
  <c r="L166" i="91" s="1"/>
  <c r="I165" i="91"/>
  <c r="L165" i="91" s="1"/>
  <c r="I164" i="91"/>
  <c r="L164" i="91" s="1"/>
  <c r="I163" i="91"/>
  <c r="L163" i="91" s="1"/>
  <c r="I162" i="91"/>
  <c r="L162" i="91" s="1"/>
  <c r="I161" i="91"/>
  <c r="L161" i="91" s="1"/>
  <c r="I160" i="91"/>
  <c r="L160" i="91" s="1"/>
  <c r="I159" i="91"/>
  <c r="L159" i="91" s="1"/>
  <c r="I158" i="91"/>
  <c r="L158" i="91" s="1"/>
  <c r="I157" i="91"/>
  <c r="L157" i="91" s="1"/>
  <c r="I156" i="91"/>
  <c r="L156" i="91" s="1"/>
  <c r="I155" i="91"/>
  <c r="L155" i="91" s="1"/>
  <c r="I154" i="91"/>
  <c r="L154" i="91" s="1"/>
  <c r="I153" i="91"/>
  <c r="L153" i="91" s="1"/>
  <c r="I152" i="91"/>
  <c r="L152" i="91" s="1"/>
  <c r="I151" i="91"/>
  <c r="L151" i="91" s="1"/>
  <c r="I150" i="91"/>
  <c r="L150" i="91" s="1"/>
  <c r="I149" i="91"/>
  <c r="L149" i="91" s="1"/>
  <c r="I148" i="91"/>
  <c r="L148" i="91" s="1"/>
  <c r="I147" i="91"/>
  <c r="L147" i="91" s="1"/>
  <c r="I146" i="91"/>
  <c r="L146" i="91" s="1"/>
  <c r="I145" i="91"/>
  <c r="L145" i="91" s="1"/>
  <c r="I144" i="91"/>
  <c r="L144" i="91" s="1"/>
  <c r="I143" i="91"/>
  <c r="L143" i="91" s="1"/>
  <c r="I142" i="91"/>
  <c r="L142" i="91" s="1"/>
  <c r="I141" i="91"/>
  <c r="L141" i="91" s="1"/>
  <c r="I140" i="91"/>
  <c r="L140" i="91" s="1"/>
  <c r="I139" i="91"/>
  <c r="L139" i="91" s="1"/>
  <c r="I138" i="91"/>
  <c r="L138" i="91" s="1"/>
  <c r="I137" i="91"/>
  <c r="L137" i="91" s="1"/>
  <c r="I136" i="91"/>
  <c r="L136" i="91" s="1"/>
  <c r="I135" i="91"/>
  <c r="L135" i="91" s="1"/>
  <c r="I134" i="91"/>
  <c r="L134" i="91" s="1"/>
  <c r="I133" i="91"/>
  <c r="L133" i="91" s="1"/>
  <c r="I132" i="91"/>
  <c r="L132" i="91" s="1"/>
  <c r="I131" i="91"/>
  <c r="L131" i="91" s="1"/>
  <c r="I130" i="91"/>
  <c r="L130" i="91" s="1"/>
  <c r="I129" i="91"/>
  <c r="L129" i="91" s="1"/>
  <c r="I128" i="91"/>
  <c r="L128" i="91" s="1"/>
  <c r="I127" i="91"/>
  <c r="L127" i="91" s="1"/>
  <c r="I126" i="91"/>
  <c r="L126" i="91" s="1"/>
  <c r="I125" i="91"/>
  <c r="L125" i="91" s="1"/>
  <c r="I124" i="91"/>
  <c r="L124" i="91" s="1"/>
  <c r="I123" i="91"/>
  <c r="L123" i="91" s="1"/>
  <c r="I122" i="91"/>
  <c r="L122" i="91" s="1"/>
  <c r="I121" i="91"/>
  <c r="L121" i="91" s="1"/>
  <c r="I120" i="91"/>
  <c r="L120" i="91" s="1"/>
  <c r="I119" i="91"/>
  <c r="L119" i="91" s="1"/>
  <c r="I118" i="91"/>
  <c r="L118" i="91" s="1"/>
  <c r="I117" i="91"/>
  <c r="L117" i="91" s="1"/>
  <c r="I116" i="91"/>
  <c r="L116" i="91" s="1"/>
  <c r="I115" i="91"/>
  <c r="L115" i="91" s="1"/>
  <c r="I114" i="91"/>
  <c r="L114" i="91" s="1"/>
  <c r="I113" i="91"/>
  <c r="L113" i="91" s="1"/>
  <c r="I112" i="91"/>
  <c r="L112" i="91" s="1"/>
  <c r="I111" i="91"/>
  <c r="L111" i="91" s="1"/>
  <c r="I110" i="91"/>
  <c r="L110" i="91" s="1"/>
  <c r="I109" i="91"/>
  <c r="L109" i="91" s="1"/>
  <c r="I108" i="91"/>
  <c r="I107" i="91"/>
  <c r="I97" i="91"/>
  <c r="L97" i="91" s="1"/>
  <c r="I96" i="91"/>
  <c r="L96" i="91" s="1"/>
  <c r="I95" i="91"/>
  <c r="L95" i="91" s="1"/>
  <c r="I94" i="91"/>
  <c r="L94" i="91" s="1"/>
  <c r="I93" i="91"/>
  <c r="L93" i="91" s="1"/>
  <c r="I92" i="91"/>
  <c r="L92" i="91" s="1"/>
  <c r="I91" i="91"/>
  <c r="L91" i="91" s="1"/>
  <c r="I90" i="91"/>
  <c r="L90" i="91" s="1"/>
  <c r="I89" i="91"/>
  <c r="L89" i="91" s="1"/>
  <c r="I88" i="91"/>
  <c r="L88" i="91" s="1"/>
  <c r="I87" i="91"/>
  <c r="L87" i="91" s="1"/>
  <c r="I86" i="91"/>
  <c r="L86" i="91" s="1"/>
  <c r="I85" i="91"/>
  <c r="L85" i="91" s="1"/>
  <c r="I84" i="91"/>
  <c r="L84" i="91" s="1"/>
  <c r="I83" i="91"/>
  <c r="L83" i="91" s="1"/>
  <c r="I82" i="91"/>
  <c r="L82" i="91" s="1"/>
  <c r="I81" i="91"/>
  <c r="L81" i="91" s="1"/>
  <c r="I80" i="91"/>
  <c r="L80" i="91" s="1"/>
  <c r="I79" i="91"/>
  <c r="L79" i="91" s="1"/>
  <c r="I78" i="91"/>
  <c r="L78" i="91" s="1"/>
  <c r="I77" i="91"/>
  <c r="L77" i="91" s="1"/>
  <c r="I76" i="91"/>
  <c r="L76" i="91" s="1"/>
  <c r="I75" i="91"/>
  <c r="L75" i="91" s="1"/>
  <c r="AJ168" i="91"/>
  <c r="I74" i="91"/>
  <c r="L74" i="91" s="1"/>
  <c r="I73" i="91"/>
  <c r="L73" i="91" s="1"/>
  <c r="AH168" i="91"/>
  <c r="I72" i="91"/>
  <c r="L72" i="91" s="1"/>
  <c r="AI168" i="91"/>
  <c r="AG168" i="91"/>
  <c r="I71" i="91"/>
  <c r="L71" i="91" s="1"/>
  <c r="I70" i="91"/>
  <c r="L70" i="91" s="1"/>
  <c r="I69" i="91"/>
  <c r="L69" i="91" s="1"/>
  <c r="I68" i="91"/>
  <c r="L68" i="91" s="1"/>
  <c r="K168" i="91"/>
  <c r="I67" i="91"/>
  <c r="I66" i="91"/>
  <c r="L66" i="91" s="1"/>
  <c r="I65" i="91"/>
  <c r="L65" i="91" s="1"/>
  <c r="I64" i="91"/>
  <c r="L64" i="91" s="1"/>
  <c r="I63" i="91"/>
  <c r="L63" i="91" s="1"/>
  <c r="I62" i="91"/>
  <c r="L62" i="91" s="1"/>
  <c r="I61" i="91"/>
  <c r="L61" i="91" s="1"/>
  <c r="I60" i="91"/>
  <c r="L60" i="91" s="1"/>
  <c r="I59" i="91"/>
  <c r="L59" i="91" s="1"/>
  <c r="I58" i="91"/>
  <c r="L58" i="91" s="1"/>
  <c r="I57" i="91"/>
  <c r="L57" i="91" s="1"/>
  <c r="I56" i="91"/>
  <c r="L56" i="91" s="1"/>
  <c r="I55" i="91"/>
  <c r="L55" i="91" s="1"/>
  <c r="I54" i="91"/>
  <c r="L54" i="91" s="1"/>
  <c r="I53" i="91"/>
  <c r="L53" i="91" s="1"/>
  <c r="I52" i="91"/>
  <c r="L52" i="91" s="1"/>
  <c r="I51" i="91"/>
  <c r="L51" i="91" s="1"/>
  <c r="I50" i="91"/>
  <c r="L50" i="91" s="1"/>
  <c r="I49" i="91"/>
  <c r="L49" i="91" s="1"/>
  <c r="I48" i="91"/>
  <c r="L48" i="91" s="1"/>
  <c r="I47" i="91"/>
  <c r="L47" i="91" s="1"/>
  <c r="I46" i="91"/>
  <c r="L46" i="91" s="1"/>
  <c r="I45" i="91"/>
  <c r="L45" i="91" s="1"/>
  <c r="I44" i="91"/>
  <c r="L44" i="91" s="1"/>
  <c r="I43" i="91"/>
  <c r="L43" i="91" s="1"/>
  <c r="I42" i="91"/>
  <c r="L42" i="91" s="1"/>
  <c r="I41" i="91"/>
  <c r="L41" i="91" s="1"/>
  <c r="I40" i="91"/>
  <c r="L40" i="91" s="1"/>
  <c r="I39" i="91"/>
  <c r="L39" i="91" s="1"/>
  <c r="I38" i="91"/>
  <c r="L38" i="91" s="1"/>
  <c r="I37" i="91"/>
  <c r="L37" i="91" s="1"/>
  <c r="I36" i="91"/>
  <c r="L36" i="91" s="1"/>
  <c r="I35" i="91"/>
  <c r="L35" i="91" s="1"/>
  <c r="I34" i="91"/>
  <c r="L34" i="91" s="1"/>
  <c r="I33" i="91"/>
  <c r="L33" i="91" s="1"/>
  <c r="I32" i="91"/>
  <c r="AL31" i="91"/>
  <c r="AK31" i="91"/>
  <c r="AJ31" i="91"/>
  <c r="AI31" i="91"/>
  <c r="AH31" i="91"/>
  <c r="AG31" i="91"/>
  <c r="AF31" i="91"/>
  <c r="AE31" i="91"/>
  <c r="AD31" i="91"/>
  <c r="AC31" i="91"/>
  <c r="AB31" i="91"/>
  <c r="AA31" i="91"/>
  <c r="Z31" i="91"/>
  <c r="Y31" i="91"/>
  <c r="X31" i="91"/>
  <c r="W31" i="91"/>
  <c r="V31" i="91"/>
  <c r="U31" i="91"/>
  <c r="T31" i="91"/>
  <c r="S31" i="91"/>
  <c r="R31" i="91"/>
  <c r="Q31" i="91"/>
  <c r="P31" i="91"/>
  <c r="O31" i="91"/>
  <c r="N31" i="91"/>
  <c r="M31" i="91"/>
  <c r="I30" i="91"/>
  <c r="L30" i="91" s="1"/>
  <c r="I29" i="91"/>
  <c r="L29" i="91" s="1"/>
  <c r="I28" i="91"/>
  <c r="L28" i="91" s="1"/>
  <c r="I27" i="91"/>
  <c r="L27" i="91" s="1"/>
  <c r="I26" i="91"/>
  <c r="L26" i="91" s="1"/>
  <c r="I25" i="91"/>
  <c r="AL24" i="91"/>
  <c r="AK24" i="91"/>
  <c r="AJ24" i="91"/>
  <c r="AI24" i="91"/>
  <c r="AH24" i="91"/>
  <c r="AG24" i="91"/>
  <c r="AF24" i="91"/>
  <c r="AE24" i="91"/>
  <c r="AD24" i="91"/>
  <c r="AC24" i="91"/>
  <c r="AB24" i="91"/>
  <c r="AA24" i="91"/>
  <c r="Z24" i="91"/>
  <c r="Y24" i="91"/>
  <c r="X24" i="91"/>
  <c r="W24" i="91"/>
  <c r="V24" i="91"/>
  <c r="U24" i="91"/>
  <c r="T24" i="91"/>
  <c r="S24" i="91"/>
  <c r="R24" i="91"/>
  <c r="Q24" i="91"/>
  <c r="P24" i="91"/>
  <c r="O24" i="91"/>
  <c r="N24" i="91"/>
  <c r="M24" i="91"/>
  <c r="K24" i="91"/>
  <c r="I23" i="91"/>
  <c r="L23" i="91" s="1"/>
  <c r="I22" i="91"/>
  <c r="L22" i="91" s="1"/>
  <c r="I21" i="91"/>
  <c r="L21" i="91" s="1"/>
  <c r="I20" i="91"/>
  <c r="L20" i="91" s="1"/>
  <c r="I19" i="91"/>
  <c r="L19" i="91" s="1"/>
  <c r="I18" i="91"/>
  <c r="L18" i="91" s="1"/>
  <c r="I17" i="91"/>
  <c r="L17" i="91" s="1"/>
  <c r="I16" i="91"/>
  <c r="L16" i="91" s="1"/>
  <c r="I15" i="91"/>
  <c r="L15" i="91" s="1"/>
  <c r="I14" i="91"/>
  <c r="L14" i="91" s="1"/>
  <c r="I13" i="91"/>
  <c r="L13" i="91" s="1"/>
  <c r="I12" i="91"/>
  <c r="L12" i="91" s="1"/>
  <c r="I11" i="91"/>
  <c r="L11" i="91" s="1"/>
  <c r="I10" i="91"/>
  <c r="L10" i="91" s="1"/>
  <c r="I9" i="91"/>
  <c r="L9" i="91" s="1"/>
  <c r="I8" i="91"/>
  <c r="L8" i="91" s="1"/>
  <c r="I7" i="91"/>
  <c r="L7" i="91" s="1"/>
  <c r="I6" i="91"/>
  <c r="L6" i="91" s="1"/>
  <c r="I5" i="91"/>
  <c r="L5" i="91" s="1"/>
  <c r="I4" i="91"/>
  <c r="Y79" i="90"/>
  <c r="Z79" i="90"/>
  <c r="X79" i="90"/>
  <c r="Z78" i="90"/>
  <c r="AA78" i="90"/>
  <c r="Y78" i="90"/>
  <c r="X77" i="90"/>
  <c r="Z76" i="90"/>
  <c r="AA76" i="90"/>
  <c r="Y76" i="90"/>
  <c r="X75" i="90"/>
  <c r="I74" i="90"/>
  <c r="AH45" i="90"/>
  <c r="AI45" i="90"/>
  <c r="AJ45" i="90"/>
  <c r="AG45" i="90"/>
  <c r="AH44" i="90"/>
  <c r="AI44" i="90"/>
  <c r="AJ44" i="90"/>
  <c r="AG44" i="90"/>
  <c r="AH43" i="90"/>
  <c r="AI43" i="90"/>
  <c r="AJ43" i="90"/>
  <c r="AG43" i="90"/>
  <c r="I72" i="90"/>
  <c r="L72" i="90" s="1"/>
  <c r="I73" i="90"/>
  <c r="L73" i="90" s="1"/>
  <c r="I70" i="90"/>
  <c r="L70" i="90" s="1"/>
  <c r="I71" i="90"/>
  <c r="L71" i="90" s="1"/>
  <c r="I61" i="90"/>
  <c r="L61" i="90" s="1"/>
  <c r="K47" i="90"/>
  <c r="I38" i="90"/>
  <c r="I39" i="90"/>
  <c r="I40" i="90"/>
  <c r="I41" i="90"/>
  <c r="I42" i="90"/>
  <c r="I30" i="90"/>
  <c r="L30" i="90" s="1"/>
  <c r="I31" i="90"/>
  <c r="I32" i="90"/>
  <c r="L32" i="90" s="1"/>
  <c r="I33" i="90"/>
  <c r="I51" i="90"/>
  <c r="L51" i="90" s="1"/>
  <c r="I52" i="90"/>
  <c r="L52" i="90" s="1"/>
  <c r="I53" i="90"/>
  <c r="I54" i="90"/>
  <c r="I55" i="90"/>
  <c r="L55" i="90" s="1"/>
  <c r="I56" i="90"/>
  <c r="L56" i="90" s="1"/>
  <c r="I78" i="90"/>
  <c r="L78" i="90" s="1"/>
  <c r="I43" i="90"/>
  <c r="L43" i="90" s="1"/>
  <c r="I44" i="90"/>
  <c r="L44" i="90" s="1"/>
  <c r="I45" i="90"/>
  <c r="L45" i="90" s="1"/>
  <c r="AL81" i="90"/>
  <c r="AK81" i="90"/>
  <c r="AJ81" i="90"/>
  <c r="AI81" i="90"/>
  <c r="AH81" i="90"/>
  <c r="AG81" i="90"/>
  <c r="AF81" i="90"/>
  <c r="AE81" i="90"/>
  <c r="AD81" i="90"/>
  <c r="AC81" i="90"/>
  <c r="AB81" i="90"/>
  <c r="AA81" i="90"/>
  <c r="Z81" i="90"/>
  <c r="Y81" i="90"/>
  <c r="X81" i="90"/>
  <c r="W81" i="90"/>
  <c r="V81" i="90"/>
  <c r="U81" i="90"/>
  <c r="T81" i="90"/>
  <c r="S81" i="90"/>
  <c r="R81" i="90"/>
  <c r="Q81" i="90"/>
  <c r="P81" i="90"/>
  <c r="O81" i="90"/>
  <c r="N81" i="90"/>
  <c r="M81" i="90"/>
  <c r="K81" i="90"/>
  <c r="I79" i="90"/>
  <c r="L79" i="90" s="1"/>
  <c r="I77" i="90"/>
  <c r="L77" i="90" s="1"/>
  <c r="I76" i="90"/>
  <c r="L76" i="90" s="1"/>
  <c r="I75" i="90"/>
  <c r="L75" i="90" s="1"/>
  <c r="L74" i="90"/>
  <c r="I69" i="90"/>
  <c r="L69" i="90" s="1"/>
  <c r="I68" i="90"/>
  <c r="L68" i="90" s="1"/>
  <c r="I67" i="90"/>
  <c r="L67" i="90" s="1"/>
  <c r="I66" i="90"/>
  <c r="L66" i="90" s="1"/>
  <c r="I65" i="90"/>
  <c r="L65" i="90" s="1"/>
  <c r="I64" i="90"/>
  <c r="L64" i="90" s="1"/>
  <c r="I63" i="90"/>
  <c r="L63" i="90" s="1"/>
  <c r="I62" i="90"/>
  <c r="L62" i="90" s="1"/>
  <c r="I60" i="90"/>
  <c r="L60" i="90" s="1"/>
  <c r="I59" i="90"/>
  <c r="L59" i="90" s="1"/>
  <c r="I58" i="90"/>
  <c r="L58" i="90" s="1"/>
  <c r="L54" i="90"/>
  <c r="L53" i="90"/>
  <c r="I50" i="90"/>
  <c r="L50" i="90" s="1"/>
  <c r="I49" i="90"/>
  <c r="L49" i="90" s="1"/>
  <c r="I48" i="90"/>
  <c r="L48" i="90" s="1"/>
  <c r="I47" i="90"/>
  <c r="L47" i="90" s="1"/>
  <c r="L42" i="90"/>
  <c r="L41" i="90"/>
  <c r="L40" i="90"/>
  <c r="L39" i="90"/>
  <c r="L38" i="90"/>
  <c r="I37" i="90"/>
  <c r="L37" i="90" s="1"/>
  <c r="I36" i="90"/>
  <c r="L36" i="90" s="1"/>
  <c r="I35" i="90"/>
  <c r="L35" i="90" s="1"/>
  <c r="I34" i="90"/>
  <c r="L34" i="90" s="1"/>
  <c r="L33" i="90"/>
  <c r="L31" i="90"/>
  <c r="I29" i="90"/>
  <c r="L29" i="90" s="1"/>
  <c r="I28" i="90"/>
  <c r="L28" i="90" s="1"/>
  <c r="I27" i="90"/>
  <c r="L27" i="90" s="1"/>
  <c r="L81" i="90" s="1"/>
  <c r="AL26" i="90"/>
  <c r="AK26" i="90"/>
  <c r="AJ26" i="90"/>
  <c r="AI26" i="90"/>
  <c r="AH26" i="90"/>
  <c r="AG26" i="90"/>
  <c r="AF26" i="90"/>
  <c r="AE26" i="90"/>
  <c r="AD26" i="90"/>
  <c r="AC26" i="90"/>
  <c r="AB26" i="90"/>
  <c r="AA26" i="90"/>
  <c r="Z26" i="90"/>
  <c r="Y26" i="90"/>
  <c r="X26" i="90"/>
  <c r="W26" i="90"/>
  <c r="V26" i="90"/>
  <c r="U26" i="90"/>
  <c r="T26" i="90"/>
  <c r="S26" i="90"/>
  <c r="R26" i="90"/>
  <c r="Q26" i="90"/>
  <c r="P26" i="90"/>
  <c r="O26" i="90"/>
  <c r="N26" i="90"/>
  <c r="M26" i="90"/>
  <c r="K26" i="90"/>
  <c r="I24" i="90"/>
  <c r="L24" i="90" s="1"/>
  <c r="L26" i="90" s="1"/>
  <c r="AL23" i="90"/>
  <c r="AL82" i="90" s="1"/>
  <c r="AK23" i="90"/>
  <c r="AK82" i="90" s="1"/>
  <c r="AJ23" i="90"/>
  <c r="AJ82" i="90" s="1"/>
  <c r="AI23" i="90"/>
  <c r="AI82" i="90" s="1"/>
  <c r="AH23" i="90"/>
  <c r="AH82" i="90" s="1"/>
  <c r="AG23" i="90"/>
  <c r="AG82" i="90" s="1"/>
  <c r="AF23" i="90"/>
  <c r="AF82" i="90" s="1"/>
  <c r="AE23" i="90"/>
  <c r="AE82" i="90" s="1"/>
  <c r="AD23" i="90"/>
  <c r="AD82" i="90" s="1"/>
  <c r="AC23" i="90"/>
  <c r="AC82" i="90" s="1"/>
  <c r="AB23" i="90"/>
  <c r="AB82" i="90" s="1"/>
  <c r="AA23" i="90"/>
  <c r="AA82" i="90" s="1"/>
  <c r="Z23" i="90"/>
  <c r="Z82" i="90" s="1"/>
  <c r="Y23" i="90"/>
  <c r="Y82" i="90" s="1"/>
  <c r="X23" i="90"/>
  <c r="X82" i="90" s="1"/>
  <c r="W23" i="90"/>
  <c r="W82" i="90" s="1"/>
  <c r="V23" i="90"/>
  <c r="V82" i="90" s="1"/>
  <c r="U23" i="90"/>
  <c r="U82" i="90" s="1"/>
  <c r="T23" i="90"/>
  <c r="T82" i="90" s="1"/>
  <c r="S23" i="90"/>
  <c r="S82" i="90" s="1"/>
  <c r="R23" i="90"/>
  <c r="R82" i="90" s="1"/>
  <c r="Q23" i="90"/>
  <c r="Q82" i="90" s="1"/>
  <c r="P23" i="90"/>
  <c r="P82" i="90" s="1"/>
  <c r="O23" i="90"/>
  <c r="O82" i="90" s="1"/>
  <c r="N23" i="90"/>
  <c r="N82" i="90" s="1"/>
  <c r="M23" i="90"/>
  <c r="M82" i="90" s="1"/>
  <c r="K23" i="90"/>
  <c r="K82" i="90" s="1"/>
  <c r="I22" i="90"/>
  <c r="L22" i="90" s="1"/>
  <c r="I21" i="90"/>
  <c r="L21" i="90" s="1"/>
  <c r="I20" i="90"/>
  <c r="L20" i="90" s="1"/>
  <c r="I19" i="90"/>
  <c r="L19" i="90" s="1"/>
  <c r="I18" i="90"/>
  <c r="L18" i="90" s="1"/>
  <c r="I17" i="90"/>
  <c r="L17" i="90" s="1"/>
  <c r="I16" i="90"/>
  <c r="L16" i="90" s="1"/>
  <c r="I15" i="90"/>
  <c r="L15" i="90" s="1"/>
  <c r="I14" i="90"/>
  <c r="L14" i="90" s="1"/>
  <c r="I13" i="90"/>
  <c r="L13" i="90" s="1"/>
  <c r="I12" i="90"/>
  <c r="L12" i="90" s="1"/>
  <c r="I11" i="90"/>
  <c r="L11" i="90" s="1"/>
  <c r="I10" i="90"/>
  <c r="L10" i="90" s="1"/>
  <c r="I9" i="90"/>
  <c r="L9" i="90" s="1"/>
  <c r="I8" i="90"/>
  <c r="L8" i="90" s="1"/>
  <c r="I7" i="90"/>
  <c r="L7" i="90" s="1"/>
  <c r="I6" i="90"/>
  <c r="L6" i="90" s="1"/>
  <c r="I5" i="90"/>
  <c r="L5" i="90" s="1"/>
  <c r="I4" i="90"/>
  <c r="L23" i="90" s="1"/>
  <c r="L82" i="90" s="1"/>
  <c r="L101" i="89"/>
  <c r="L100" i="89"/>
  <c r="L99" i="89"/>
  <c r="L98" i="89"/>
  <c r="L97" i="89"/>
  <c r="I101" i="89"/>
  <c r="I100" i="89"/>
  <c r="I99" i="89"/>
  <c r="I98" i="89"/>
  <c r="I97" i="89"/>
  <c r="AH81" i="89"/>
  <c r="AI81" i="89"/>
  <c r="AJ81" i="89"/>
  <c r="AG81" i="89"/>
  <c r="AH80" i="89"/>
  <c r="AI80" i="89"/>
  <c r="AG80" i="89"/>
  <c r="AH79" i="89"/>
  <c r="AI79" i="89"/>
  <c r="AG79" i="89"/>
  <c r="AH78" i="89"/>
  <c r="AI78" i="89"/>
  <c r="AG78" i="89"/>
  <c r="I137" i="89"/>
  <c r="L137" i="89" s="1"/>
  <c r="I138" i="89"/>
  <c r="L138" i="89" s="1"/>
  <c r="I139" i="89"/>
  <c r="L139" i="89" s="1"/>
  <c r="I140" i="89"/>
  <c r="L140" i="89" s="1"/>
  <c r="I141" i="89"/>
  <c r="L141" i="89" s="1"/>
  <c r="I142" i="89"/>
  <c r="L142" i="89" s="1"/>
  <c r="I143" i="89"/>
  <c r="L143" i="89" s="1"/>
  <c r="I144" i="89"/>
  <c r="L144" i="89" s="1"/>
  <c r="I145" i="89"/>
  <c r="L145" i="89" s="1"/>
  <c r="I146" i="89"/>
  <c r="L146" i="89" s="1"/>
  <c r="I147" i="89"/>
  <c r="L147" i="89" s="1"/>
  <c r="I148" i="89"/>
  <c r="L148" i="89" s="1"/>
  <c r="K35" i="89"/>
  <c r="K33" i="89"/>
  <c r="L100" i="103" l="1"/>
  <c r="L101" i="103" s="1"/>
  <c r="L62" i="101"/>
  <c r="L63" i="101" s="1"/>
  <c r="L103" i="100"/>
  <c r="L123" i="99"/>
  <c r="L137" i="93"/>
  <c r="L138" i="93" s="1"/>
  <c r="Y169" i="91"/>
  <c r="O169" i="91"/>
  <c r="AL169" i="91"/>
  <c r="AF169" i="91"/>
  <c r="U169" i="91"/>
  <c r="T169" i="91"/>
  <c r="AK169" i="91"/>
  <c r="P169" i="91"/>
  <c r="V169" i="91"/>
  <c r="AG169" i="91"/>
  <c r="AA169" i="91"/>
  <c r="X169" i="91"/>
  <c r="W169" i="91"/>
  <c r="AC169" i="91"/>
  <c r="Q169" i="91"/>
  <c r="AE169" i="91"/>
  <c r="M169" i="91"/>
  <c r="N169" i="91"/>
  <c r="Z169" i="91"/>
  <c r="AB169" i="91"/>
  <c r="R169" i="91"/>
  <c r="S169" i="91"/>
  <c r="AD169" i="91"/>
  <c r="L24" i="91"/>
  <c r="AI169" i="91"/>
  <c r="AH169" i="91"/>
  <c r="AJ169" i="91"/>
  <c r="L31" i="91"/>
  <c r="L67" i="91"/>
  <c r="K31" i="91"/>
  <c r="K169" i="91" s="1"/>
  <c r="K31" i="89"/>
  <c r="I29" i="89"/>
  <c r="L29" i="89" s="1"/>
  <c r="I28" i="89"/>
  <c r="L28" i="89" s="1"/>
  <c r="I30" i="89"/>
  <c r="L30" i="89" s="1"/>
  <c r="K169" i="89"/>
  <c r="K170" i="89"/>
  <c r="K171" i="89"/>
  <c r="K172" i="89"/>
  <c r="K173" i="89"/>
  <c r="K174" i="89"/>
  <c r="K168" i="89"/>
  <c r="L168" i="91" l="1"/>
  <c r="L169" i="91" s="1"/>
  <c r="I184" i="89"/>
  <c r="L184" i="89" s="1"/>
  <c r="I185" i="89"/>
  <c r="L185" i="89" s="1"/>
  <c r="I186" i="89"/>
  <c r="L186" i="89" s="1"/>
  <c r="I187" i="89"/>
  <c r="L187" i="89" s="1"/>
  <c r="I188" i="89"/>
  <c r="L188" i="89"/>
  <c r="I189" i="89"/>
  <c r="L189" i="89" s="1"/>
  <c r="I172" i="89"/>
  <c r="L172" i="89" s="1"/>
  <c r="I173" i="89"/>
  <c r="L173" i="89" s="1"/>
  <c r="I174" i="89"/>
  <c r="L174" i="89" s="1"/>
  <c r="I175" i="89"/>
  <c r="L175" i="89" s="1"/>
  <c r="I176" i="89"/>
  <c r="L176" i="89" s="1"/>
  <c r="I177" i="89"/>
  <c r="L177" i="89" s="1"/>
  <c r="I178" i="89"/>
  <c r="L178" i="89" s="1"/>
  <c r="I179" i="89"/>
  <c r="L179" i="89" s="1"/>
  <c r="I163" i="89"/>
  <c r="L163" i="89" s="1"/>
  <c r="I164" i="89"/>
  <c r="L164" i="89" s="1"/>
  <c r="I165" i="89"/>
  <c r="L165" i="89" s="1"/>
  <c r="I166" i="89"/>
  <c r="L166" i="89" s="1"/>
  <c r="I167" i="89"/>
  <c r="L167" i="89" s="1"/>
  <c r="I168" i="89"/>
  <c r="L168" i="89" s="1"/>
  <c r="I169" i="89"/>
  <c r="L169" i="89" s="1"/>
  <c r="I170" i="89"/>
  <c r="L170" i="89" s="1"/>
  <c r="I171" i="89"/>
  <c r="L171" i="89" s="1"/>
  <c r="I180" i="89"/>
  <c r="L180" i="89" s="1"/>
  <c r="I181" i="89"/>
  <c r="L181" i="89" s="1"/>
  <c r="I158" i="89"/>
  <c r="L158" i="89" s="1"/>
  <c r="I159" i="89"/>
  <c r="L159" i="89" s="1"/>
  <c r="I160" i="89"/>
  <c r="L160" i="89" s="1"/>
  <c r="I161" i="89"/>
  <c r="L161" i="89" s="1"/>
  <c r="I162" i="89"/>
  <c r="L162" i="89" s="1"/>
  <c r="I182" i="89"/>
  <c r="L182" i="89" s="1"/>
  <c r="I183" i="89"/>
  <c r="L183" i="89" s="1"/>
  <c r="K74" i="89" l="1"/>
  <c r="K75" i="89"/>
  <c r="K76" i="89"/>
  <c r="K77" i="89"/>
  <c r="K73" i="89"/>
  <c r="I47" i="89"/>
  <c r="L47" i="89" s="1"/>
  <c r="I63" i="89"/>
  <c r="L63" i="89" s="1"/>
  <c r="I55" i="89"/>
  <c r="L55" i="89" s="1"/>
  <c r="AL192" i="89" l="1"/>
  <c r="AK192" i="89"/>
  <c r="AJ192" i="89"/>
  <c r="AI192" i="89"/>
  <c r="AH192" i="89"/>
  <c r="AG192" i="89"/>
  <c r="AF192" i="89"/>
  <c r="AE192" i="89"/>
  <c r="AD192" i="89"/>
  <c r="AC192" i="89"/>
  <c r="AB192" i="89"/>
  <c r="AA192" i="89"/>
  <c r="Z192" i="89"/>
  <c r="Y192" i="89"/>
  <c r="X192" i="89"/>
  <c r="W192" i="89"/>
  <c r="V192" i="89"/>
  <c r="U192" i="89"/>
  <c r="T192" i="89"/>
  <c r="S192" i="89"/>
  <c r="R192" i="89"/>
  <c r="Q192" i="89"/>
  <c r="P192" i="89"/>
  <c r="O192" i="89"/>
  <c r="N192" i="89"/>
  <c r="M192" i="89"/>
  <c r="L191" i="89"/>
  <c r="I157" i="89"/>
  <c r="L157" i="89" s="1"/>
  <c r="I156" i="89"/>
  <c r="L156" i="89" s="1"/>
  <c r="I155" i="89"/>
  <c r="L155" i="89" s="1"/>
  <c r="I154" i="89"/>
  <c r="L154" i="89" s="1"/>
  <c r="I153" i="89"/>
  <c r="L153" i="89" s="1"/>
  <c r="I152" i="89"/>
  <c r="L152" i="89" s="1"/>
  <c r="I151" i="89"/>
  <c r="L151" i="89" s="1"/>
  <c r="I150" i="89"/>
  <c r="L150" i="89" s="1"/>
  <c r="I149" i="89"/>
  <c r="L149" i="89" s="1"/>
  <c r="I136" i="89"/>
  <c r="L136" i="89" s="1"/>
  <c r="I135" i="89"/>
  <c r="L135" i="89" s="1"/>
  <c r="I134" i="89"/>
  <c r="L134" i="89" s="1"/>
  <c r="I133" i="89"/>
  <c r="L133" i="89" s="1"/>
  <c r="I132" i="89"/>
  <c r="I131" i="89"/>
  <c r="I130" i="89"/>
  <c r="L130" i="89" s="1"/>
  <c r="I129" i="89"/>
  <c r="I128" i="89"/>
  <c r="I127" i="89"/>
  <c r="I126" i="89"/>
  <c r="L126" i="89" s="1"/>
  <c r="I125" i="89"/>
  <c r="I124" i="89"/>
  <c r="I123" i="89"/>
  <c r="I122" i="89"/>
  <c r="L122" i="89" s="1"/>
  <c r="I121" i="89"/>
  <c r="I120" i="89"/>
  <c r="I119" i="89"/>
  <c r="L119" i="89" s="1"/>
  <c r="I118" i="89"/>
  <c r="I117" i="89"/>
  <c r="I116" i="89"/>
  <c r="L116" i="89" s="1"/>
  <c r="I115" i="89"/>
  <c r="I114" i="89"/>
  <c r="I113" i="89"/>
  <c r="I112" i="89"/>
  <c r="L112" i="89" s="1"/>
  <c r="I111" i="89"/>
  <c r="L111" i="89" s="1"/>
  <c r="I110" i="89"/>
  <c r="I109" i="89"/>
  <c r="I108" i="89"/>
  <c r="L108" i="89" s="1"/>
  <c r="I107" i="89"/>
  <c r="L107" i="89" s="1"/>
  <c r="I106" i="89"/>
  <c r="L106" i="89" s="1"/>
  <c r="I105" i="89"/>
  <c r="L105" i="89" s="1"/>
  <c r="I104" i="89"/>
  <c r="L104" i="89" s="1"/>
  <c r="I103" i="89"/>
  <c r="L103" i="89" s="1"/>
  <c r="I102" i="89"/>
  <c r="L102" i="89" s="1"/>
  <c r="I96" i="89"/>
  <c r="L96" i="89" s="1"/>
  <c r="I95" i="89"/>
  <c r="L95" i="89" s="1"/>
  <c r="I94" i="89"/>
  <c r="L94" i="89" s="1"/>
  <c r="I93" i="89"/>
  <c r="L93" i="89" s="1"/>
  <c r="I92" i="89"/>
  <c r="L92" i="89" s="1"/>
  <c r="I91" i="89"/>
  <c r="L91" i="89" s="1"/>
  <c r="I90" i="89"/>
  <c r="L90" i="89" s="1"/>
  <c r="I89" i="89"/>
  <c r="L89" i="89" s="1"/>
  <c r="I88" i="89"/>
  <c r="L88" i="89" s="1"/>
  <c r="I87" i="89"/>
  <c r="L87" i="89" s="1"/>
  <c r="I86" i="89"/>
  <c r="L86" i="89" s="1"/>
  <c r="I85" i="89"/>
  <c r="L85" i="89" s="1"/>
  <c r="I84" i="89"/>
  <c r="L84" i="89" s="1"/>
  <c r="I83" i="89"/>
  <c r="L83" i="89" s="1"/>
  <c r="I82" i="89"/>
  <c r="L82" i="89" s="1"/>
  <c r="I81" i="89"/>
  <c r="L81" i="89" s="1"/>
  <c r="I80" i="89"/>
  <c r="L80" i="89" s="1"/>
  <c r="I79" i="89"/>
  <c r="L79" i="89" s="1"/>
  <c r="I78" i="89"/>
  <c r="L78" i="89" s="1"/>
  <c r="I77" i="89"/>
  <c r="L77" i="89" s="1"/>
  <c r="I76" i="89"/>
  <c r="L76" i="89" s="1"/>
  <c r="I75" i="89"/>
  <c r="L75" i="89" s="1"/>
  <c r="I74" i="89"/>
  <c r="L74" i="89" s="1"/>
  <c r="I73" i="89"/>
  <c r="L73" i="89" s="1"/>
  <c r="I72" i="89"/>
  <c r="L72" i="89" s="1"/>
  <c r="I71" i="89"/>
  <c r="L71" i="89" s="1"/>
  <c r="I70" i="89"/>
  <c r="L70" i="89" s="1"/>
  <c r="I69" i="89"/>
  <c r="L69" i="89" s="1"/>
  <c r="I68" i="89"/>
  <c r="L68" i="89" s="1"/>
  <c r="I67" i="89"/>
  <c r="L67" i="89" s="1"/>
  <c r="I66" i="89"/>
  <c r="L66" i="89" s="1"/>
  <c r="I65" i="89"/>
  <c r="L65" i="89" s="1"/>
  <c r="I64" i="89"/>
  <c r="L64" i="89" s="1"/>
  <c r="I62" i="89"/>
  <c r="L62" i="89" s="1"/>
  <c r="I61" i="89"/>
  <c r="L61" i="89" s="1"/>
  <c r="I60" i="89"/>
  <c r="L60" i="89" s="1"/>
  <c r="I59" i="89"/>
  <c r="L59" i="89" s="1"/>
  <c r="I58" i="89"/>
  <c r="L58" i="89" s="1"/>
  <c r="I57" i="89"/>
  <c r="L57" i="89" s="1"/>
  <c r="I56" i="89"/>
  <c r="L56" i="89" s="1"/>
  <c r="I54" i="89"/>
  <c r="L54" i="89" s="1"/>
  <c r="I53" i="89"/>
  <c r="L53" i="89" s="1"/>
  <c r="I52" i="89"/>
  <c r="L52" i="89" s="1"/>
  <c r="I51" i="89"/>
  <c r="L51" i="89" s="1"/>
  <c r="I50" i="89"/>
  <c r="L50" i="89" s="1"/>
  <c r="I49" i="89"/>
  <c r="L49" i="89" s="1"/>
  <c r="I48" i="89"/>
  <c r="L48" i="89" s="1"/>
  <c r="I46" i="89"/>
  <c r="L46" i="89" s="1"/>
  <c r="I45" i="89"/>
  <c r="L45" i="89" s="1"/>
  <c r="I44" i="89"/>
  <c r="L44" i="89" s="1"/>
  <c r="I43" i="89"/>
  <c r="L43" i="89" s="1"/>
  <c r="I42" i="89"/>
  <c r="L42" i="89" s="1"/>
  <c r="I41" i="89"/>
  <c r="L41" i="89" s="1"/>
  <c r="I40" i="89"/>
  <c r="L40" i="89" s="1"/>
  <c r="I39" i="89"/>
  <c r="AL38" i="89"/>
  <c r="AK38" i="89"/>
  <c r="AJ38" i="89"/>
  <c r="AI38" i="89"/>
  <c r="AH38" i="89"/>
  <c r="AG38" i="89"/>
  <c r="AF38" i="89"/>
  <c r="AE38" i="89"/>
  <c r="AD38" i="89"/>
  <c r="AC38" i="89"/>
  <c r="AB38" i="89"/>
  <c r="AA38" i="89"/>
  <c r="Z38" i="89"/>
  <c r="Y38" i="89"/>
  <c r="X38" i="89"/>
  <c r="W38" i="89"/>
  <c r="V38" i="89"/>
  <c r="U38" i="89"/>
  <c r="T38" i="89"/>
  <c r="S38" i="89"/>
  <c r="R38" i="89"/>
  <c r="Q38" i="89"/>
  <c r="P38" i="89"/>
  <c r="O38" i="89"/>
  <c r="N38" i="89"/>
  <c r="M38" i="89"/>
  <c r="I37" i="89"/>
  <c r="L37" i="89" s="1"/>
  <c r="I36" i="89"/>
  <c r="L36" i="89" s="1"/>
  <c r="K38" i="89"/>
  <c r="I35" i="89"/>
  <c r="L35" i="89" s="1"/>
  <c r="I34" i="89"/>
  <c r="L34" i="89" s="1"/>
  <c r="I33" i="89"/>
  <c r="I32" i="89"/>
  <c r="AL31" i="89"/>
  <c r="AK31" i="89"/>
  <c r="AJ31" i="89"/>
  <c r="AI31" i="89"/>
  <c r="AH31" i="89"/>
  <c r="AG31" i="89"/>
  <c r="AF31" i="89"/>
  <c r="AE31" i="89"/>
  <c r="AD31" i="89"/>
  <c r="AC31" i="89"/>
  <c r="AB31" i="89"/>
  <c r="AA31" i="89"/>
  <c r="Z31" i="89"/>
  <c r="Y31" i="89"/>
  <c r="X31" i="89"/>
  <c r="W31" i="89"/>
  <c r="V31" i="89"/>
  <c r="U31" i="89"/>
  <c r="T31" i="89"/>
  <c r="S31" i="89"/>
  <c r="R31" i="89"/>
  <c r="Q31" i="89"/>
  <c r="P31" i="89"/>
  <c r="O31" i="89"/>
  <c r="N31" i="89"/>
  <c r="M31" i="89"/>
  <c r="I27" i="89"/>
  <c r="L27" i="89" s="1"/>
  <c r="I26" i="89"/>
  <c r="L26" i="89" s="1"/>
  <c r="I25" i="89"/>
  <c r="L25" i="89" s="1"/>
  <c r="I24" i="89"/>
  <c r="L24" i="89" s="1"/>
  <c r="I23" i="89"/>
  <c r="L23" i="89" s="1"/>
  <c r="I22" i="89"/>
  <c r="L22" i="89" s="1"/>
  <c r="I21" i="89"/>
  <c r="L21" i="89" s="1"/>
  <c r="I20" i="89"/>
  <c r="L20" i="89" s="1"/>
  <c r="I19" i="89"/>
  <c r="L19" i="89" s="1"/>
  <c r="I18" i="89"/>
  <c r="L18" i="89" s="1"/>
  <c r="I17" i="89"/>
  <c r="L17" i="89" s="1"/>
  <c r="I16" i="89"/>
  <c r="L16" i="89" s="1"/>
  <c r="I15" i="89"/>
  <c r="L15" i="89" s="1"/>
  <c r="I14" i="89"/>
  <c r="L14" i="89" s="1"/>
  <c r="I13" i="89"/>
  <c r="L13" i="89" s="1"/>
  <c r="I12" i="89"/>
  <c r="L12" i="89" s="1"/>
  <c r="I11" i="89"/>
  <c r="L11" i="89" s="1"/>
  <c r="I10" i="89"/>
  <c r="L10" i="89" s="1"/>
  <c r="I9" i="89"/>
  <c r="L9" i="89" s="1"/>
  <c r="I8" i="89"/>
  <c r="L8" i="89" s="1"/>
  <c r="I7" i="89"/>
  <c r="L7" i="89" s="1"/>
  <c r="I6" i="89"/>
  <c r="L6" i="89" s="1"/>
  <c r="I5" i="89"/>
  <c r="L5" i="89" s="1"/>
  <c r="I4" i="89"/>
  <c r="AH31" i="88"/>
  <c r="AI31" i="88"/>
  <c r="AJ31" i="88"/>
  <c r="AG31" i="88"/>
  <c r="X74" i="88"/>
  <c r="AH30" i="88"/>
  <c r="AI30" i="88"/>
  <c r="AJ30" i="88"/>
  <c r="AH29" i="88"/>
  <c r="AI29" i="88"/>
  <c r="AJ29" i="88"/>
  <c r="AH28" i="88"/>
  <c r="AI28" i="88"/>
  <c r="AJ28" i="88"/>
  <c r="AH27" i="88"/>
  <c r="AI27" i="88"/>
  <c r="AJ27" i="88"/>
  <c r="AG30" i="88"/>
  <c r="AG29" i="88"/>
  <c r="AG28" i="88"/>
  <c r="AG27" i="88"/>
  <c r="K45" i="88"/>
  <c r="K37" i="88"/>
  <c r="K38" i="88"/>
  <c r="K39" i="88"/>
  <c r="K40" i="88"/>
  <c r="K41" i="88"/>
  <c r="K42" i="88"/>
  <c r="K43" i="88"/>
  <c r="K44" i="88"/>
  <c r="K36" i="88"/>
  <c r="X69" i="88"/>
  <c r="X67" i="88"/>
  <c r="Y66" i="88"/>
  <c r="X66" i="88"/>
  <c r="Y65" i="88"/>
  <c r="X65" i="88"/>
  <c r="Y63" i="88"/>
  <c r="Z63" i="88"/>
  <c r="X63" i="88"/>
  <c r="Y62" i="88"/>
  <c r="Z62" i="88"/>
  <c r="X62" i="88"/>
  <c r="Y61" i="88"/>
  <c r="Z61" i="88"/>
  <c r="X61" i="88"/>
  <c r="Z60" i="88"/>
  <c r="X60" i="88"/>
  <c r="Y60" i="88"/>
  <c r="AH26" i="88"/>
  <c r="AI26" i="88"/>
  <c r="AJ26" i="88"/>
  <c r="AH25" i="88"/>
  <c r="AI25" i="88"/>
  <c r="AJ25" i="88"/>
  <c r="AH24" i="88"/>
  <c r="AI24" i="88"/>
  <c r="AJ24" i="88"/>
  <c r="AG26" i="88"/>
  <c r="AG25" i="88"/>
  <c r="AG24" i="88"/>
  <c r="I82" i="88"/>
  <c r="I49" i="88"/>
  <c r="L49" i="88" s="1"/>
  <c r="I72" i="88"/>
  <c r="L72" i="88" s="1"/>
  <c r="L82" i="88"/>
  <c r="I97" i="88"/>
  <c r="L97" i="88" s="1"/>
  <c r="I98" i="88"/>
  <c r="I99" i="88"/>
  <c r="L99" i="88" s="1"/>
  <c r="I100" i="88"/>
  <c r="L100" i="88" s="1"/>
  <c r="I101" i="88"/>
  <c r="L101" i="88" s="1"/>
  <c r="I102" i="88"/>
  <c r="L102" i="88" s="1"/>
  <c r="I103" i="88"/>
  <c r="L103" i="88" s="1"/>
  <c r="I104" i="88"/>
  <c r="L104" i="88" s="1"/>
  <c r="I105" i="88"/>
  <c r="L105" i="88" s="1"/>
  <c r="I106" i="88"/>
  <c r="L106" i="88" s="1"/>
  <c r="AL108" i="88"/>
  <c r="AK108" i="88"/>
  <c r="AJ108" i="88"/>
  <c r="AI108" i="88"/>
  <c r="AH108" i="88"/>
  <c r="AG108" i="88"/>
  <c r="AF108" i="88"/>
  <c r="AE108" i="88"/>
  <c r="AD108" i="88"/>
  <c r="AC108" i="88"/>
  <c r="AB108" i="88"/>
  <c r="AA108" i="88"/>
  <c r="Z108" i="88"/>
  <c r="Y108" i="88"/>
  <c r="X108" i="88"/>
  <c r="W108" i="88"/>
  <c r="V108" i="88"/>
  <c r="U108" i="88"/>
  <c r="T108" i="88"/>
  <c r="S108" i="88"/>
  <c r="R108" i="88"/>
  <c r="Q108" i="88"/>
  <c r="P108" i="88"/>
  <c r="O108" i="88"/>
  <c r="N108" i="88"/>
  <c r="M108" i="88"/>
  <c r="K108" i="88"/>
  <c r="L98" i="88"/>
  <c r="I96" i="88"/>
  <c r="L96" i="88" s="1"/>
  <c r="I95" i="88"/>
  <c r="L95" i="88" s="1"/>
  <c r="I94" i="88"/>
  <c r="L94" i="88" s="1"/>
  <c r="I93" i="88"/>
  <c r="L93" i="88" s="1"/>
  <c r="I92" i="88"/>
  <c r="L92" i="88" s="1"/>
  <c r="I91" i="88"/>
  <c r="L91" i="88" s="1"/>
  <c r="I90" i="88"/>
  <c r="L90" i="88" s="1"/>
  <c r="I89" i="88"/>
  <c r="L89" i="88" s="1"/>
  <c r="I88" i="88"/>
  <c r="L88" i="88" s="1"/>
  <c r="I87" i="88"/>
  <c r="L87" i="88" s="1"/>
  <c r="I86" i="88"/>
  <c r="L86" i="88" s="1"/>
  <c r="I85" i="88"/>
  <c r="L85" i="88" s="1"/>
  <c r="I84" i="88"/>
  <c r="L84" i="88" s="1"/>
  <c r="I83" i="88"/>
  <c r="L83" i="88" s="1"/>
  <c r="I81" i="88"/>
  <c r="L81" i="88" s="1"/>
  <c r="I80" i="88"/>
  <c r="L80" i="88" s="1"/>
  <c r="I79" i="88"/>
  <c r="L79" i="88" s="1"/>
  <c r="I78" i="88"/>
  <c r="L78" i="88" s="1"/>
  <c r="I77" i="88"/>
  <c r="L77" i="88" s="1"/>
  <c r="I76" i="88"/>
  <c r="L76" i="88" s="1"/>
  <c r="I75" i="88"/>
  <c r="L75" i="88" s="1"/>
  <c r="I74" i="88"/>
  <c r="L74" i="88" s="1"/>
  <c r="I73" i="88"/>
  <c r="L73" i="88" s="1"/>
  <c r="I71" i="88"/>
  <c r="L71" i="88" s="1"/>
  <c r="I70" i="88"/>
  <c r="L70" i="88" s="1"/>
  <c r="I69" i="88"/>
  <c r="L69" i="88" s="1"/>
  <c r="I68" i="88"/>
  <c r="L68" i="88" s="1"/>
  <c r="I67" i="88"/>
  <c r="L67" i="88" s="1"/>
  <c r="I66" i="88"/>
  <c r="L66" i="88" s="1"/>
  <c r="I65" i="88"/>
  <c r="L65" i="88" s="1"/>
  <c r="I64" i="88"/>
  <c r="L64" i="88" s="1"/>
  <c r="I63" i="88"/>
  <c r="L63" i="88" s="1"/>
  <c r="I62" i="88"/>
  <c r="L62" i="88" s="1"/>
  <c r="I61" i="88"/>
  <c r="L61" i="88" s="1"/>
  <c r="I60" i="88"/>
  <c r="L60" i="88" s="1"/>
  <c r="I59" i="88"/>
  <c r="L59" i="88" s="1"/>
  <c r="I58" i="88"/>
  <c r="L58" i="88" s="1"/>
  <c r="I57" i="88"/>
  <c r="L57" i="88" s="1"/>
  <c r="I56" i="88"/>
  <c r="L56" i="88" s="1"/>
  <c r="I55" i="88"/>
  <c r="L55" i="88" s="1"/>
  <c r="I54" i="88"/>
  <c r="L54" i="88" s="1"/>
  <c r="I53" i="88"/>
  <c r="L53" i="88" s="1"/>
  <c r="I52" i="88"/>
  <c r="L52" i="88" s="1"/>
  <c r="I51" i="88"/>
  <c r="L51" i="88" s="1"/>
  <c r="I50" i="88"/>
  <c r="L50" i="88" s="1"/>
  <c r="I48" i="88"/>
  <c r="L48" i="88" s="1"/>
  <c r="I47" i="88"/>
  <c r="L47" i="88" s="1"/>
  <c r="L46" i="88"/>
  <c r="I45" i="88"/>
  <c r="L45" i="88" s="1"/>
  <c r="I44" i="88"/>
  <c r="L44" i="88" s="1"/>
  <c r="I43" i="88"/>
  <c r="L43" i="88" s="1"/>
  <c r="I42" i="88"/>
  <c r="L42" i="88" s="1"/>
  <c r="I41" i="88"/>
  <c r="L41" i="88" s="1"/>
  <c r="I40" i="88"/>
  <c r="L40" i="88" s="1"/>
  <c r="I39" i="88"/>
  <c r="L39" i="88" s="1"/>
  <c r="I38" i="88"/>
  <c r="L38" i="88" s="1"/>
  <c r="I37" i="88"/>
  <c r="L37" i="88" s="1"/>
  <c r="I36" i="88"/>
  <c r="L36" i="88" s="1"/>
  <c r="I35" i="88"/>
  <c r="L35" i="88" s="1"/>
  <c r="I34" i="88"/>
  <c r="L34" i="88" s="1"/>
  <c r="I33" i="88"/>
  <c r="L33" i="88" s="1"/>
  <c r="I32" i="88"/>
  <c r="L32" i="88" s="1"/>
  <c r="I31" i="88"/>
  <c r="L31" i="88" s="1"/>
  <c r="I30" i="88"/>
  <c r="L30" i="88" s="1"/>
  <c r="I29" i="88"/>
  <c r="L29" i="88" s="1"/>
  <c r="I28" i="88"/>
  <c r="L28" i="88" s="1"/>
  <c r="I27" i="88"/>
  <c r="L27" i="88" s="1"/>
  <c r="I26" i="88"/>
  <c r="L26" i="88" s="1"/>
  <c r="I25" i="88"/>
  <c r="L25" i="88" s="1"/>
  <c r="I24" i="88"/>
  <c r="L24" i="88" s="1"/>
  <c r="I23" i="88"/>
  <c r="L23" i="88" s="1"/>
  <c r="L108" i="88" s="1"/>
  <c r="AL22" i="88"/>
  <c r="AK22" i="88"/>
  <c r="AJ22" i="88"/>
  <c r="AI22" i="88"/>
  <c r="AH22" i="88"/>
  <c r="AG22" i="88"/>
  <c r="AF22" i="88"/>
  <c r="AE22" i="88"/>
  <c r="AD22" i="88"/>
  <c r="AC22" i="88"/>
  <c r="AB22" i="88"/>
  <c r="AA22" i="88"/>
  <c r="Z22" i="88"/>
  <c r="Y22" i="88"/>
  <c r="X22" i="88"/>
  <c r="W22" i="88"/>
  <c r="V22" i="88"/>
  <c r="U22" i="88"/>
  <c r="T22" i="88"/>
  <c r="S22" i="88"/>
  <c r="R22" i="88"/>
  <c r="Q22" i="88"/>
  <c r="P22" i="88"/>
  <c r="O22" i="88"/>
  <c r="N22" i="88"/>
  <c r="M22" i="88"/>
  <c r="K22" i="88"/>
  <c r="I20" i="88"/>
  <c r="L20" i="88" s="1"/>
  <c r="L22" i="88" s="1"/>
  <c r="AL19" i="88"/>
  <c r="AL109" i="88" s="1"/>
  <c r="AK19" i="88"/>
  <c r="AK109" i="88" s="1"/>
  <c r="AJ19" i="88"/>
  <c r="AJ109" i="88" s="1"/>
  <c r="AI19" i="88"/>
  <c r="AI109" i="88" s="1"/>
  <c r="AH19" i="88"/>
  <c r="AH109" i="88" s="1"/>
  <c r="AG19" i="88"/>
  <c r="AG109" i="88" s="1"/>
  <c r="AF19" i="88"/>
  <c r="AF109" i="88" s="1"/>
  <c r="AE19" i="88"/>
  <c r="AE109" i="88" s="1"/>
  <c r="AD19" i="88"/>
  <c r="AD109" i="88" s="1"/>
  <c r="AC19" i="88"/>
  <c r="AC109" i="88" s="1"/>
  <c r="AB19" i="88"/>
  <c r="AB109" i="88" s="1"/>
  <c r="AA19" i="88"/>
  <c r="AA109" i="88" s="1"/>
  <c r="Z19" i="88"/>
  <c r="Z109" i="88" s="1"/>
  <c r="Y19" i="88"/>
  <c r="Y109" i="88" s="1"/>
  <c r="X19" i="88"/>
  <c r="X109" i="88" s="1"/>
  <c r="W19" i="88"/>
  <c r="W109" i="88" s="1"/>
  <c r="V19" i="88"/>
  <c r="V109" i="88" s="1"/>
  <c r="U19" i="88"/>
  <c r="U109" i="88" s="1"/>
  <c r="T19" i="88"/>
  <c r="T109" i="88" s="1"/>
  <c r="S19" i="88"/>
  <c r="S109" i="88" s="1"/>
  <c r="R19" i="88"/>
  <c r="R109" i="88" s="1"/>
  <c r="Q19" i="88"/>
  <c r="Q109" i="88" s="1"/>
  <c r="P19" i="88"/>
  <c r="P109" i="88" s="1"/>
  <c r="O19" i="88"/>
  <c r="O109" i="88" s="1"/>
  <c r="N19" i="88"/>
  <c r="N109" i="88" s="1"/>
  <c r="M19" i="88"/>
  <c r="M109" i="88" s="1"/>
  <c r="K19" i="88"/>
  <c r="K109" i="88" s="1"/>
  <c r="I18" i="88"/>
  <c r="L18" i="88" s="1"/>
  <c r="I17" i="88"/>
  <c r="L17" i="88" s="1"/>
  <c r="I16" i="88"/>
  <c r="L16" i="88" s="1"/>
  <c r="I15" i="88"/>
  <c r="L15" i="88" s="1"/>
  <c r="I14" i="88"/>
  <c r="L14" i="88" s="1"/>
  <c r="I13" i="88"/>
  <c r="L13" i="88" s="1"/>
  <c r="I12" i="88"/>
  <c r="L12" i="88" s="1"/>
  <c r="I11" i="88"/>
  <c r="L11" i="88" s="1"/>
  <c r="I10" i="88"/>
  <c r="L10" i="88" s="1"/>
  <c r="I9" i="88"/>
  <c r="L9" i="88" s="1"/>
  <c r="I8" i="88"/>
  <c r="L8" i="88" s="1"/>
  <c r="I7" i="88"/>
  <c r="L7" i="88" s="1"/>
  <c r="I6" i="88"/>
  <c r="L6" i="88" s="1"/>
  <c r="I5" i="88"/>
  <c r="L5" i="88" s="1"/>
  <c r="I4" i="88"/>
  <c r="L19" i="88" s="1"/>
  <c r="L109" i="88" s="1"/>
  <c r="L142" i="87"/>
  <c r="I137" i="87"/>
  <c r="L137" i="87" s="1"/>
  <c r="I138" i="87"/>
  <c r="L138" i="87" s="1"/>
  <c r="I139" i="87"/>
  <c r="L139" i="87" s="1"/>
  <c r="I140" i="87"/>
  <c r="L140" i="87" s="1"/>
  <c r="I141" i="87"/>
  <c r="L141" i="87" s="1"/>
  <c r="K123" i="87"/>
  <c r="K124" i="87"/>
  <c r="K125" i="87"/>
  <c r="K33" i="87"/>
  <c r="K31" i="87"/>
  <c r="I19" i="87"/>
  <c r="L19" i="87" s="1"/>
  <c r="I20" i="87"/>
  <c r="L20" i="87" s="1"/>
  <c r="I21" i="87"/>
  <c r="L21" i="87" s="1"/>
  <c r="I22" i="87"/>
  <c r="L22" i="87" s="1"/>
  <c r="I23" i="87"/>
  <c r="L23" i="87" s="1"/>
  <c r="I16" i="87"/>
  <c r="L16" i="87" s="1"/>
  <c r="I17" i="87"/>
  <c r="L17" i="87" s="1"/>
  <c r="I18" i="87"/>
  <c r="L18" i="87" s="1"/>
  <c r="I10" i="87"/>
  <c r="L10" i="87" s="1"/>
  <c r="I11" i="87"/>
  <c r="L11" i="87" s="1"/>
  <c r="I12" i="87"/>
  <c r="L12" i="87" s="1"/>
  <c r="I13" i="87"/>
  <c r="L13" i="87" s="1"/>
  <c r="I14" i="87"/>
  <c r="L14" i="87" s="1"/>
  <c r="I15" i="87"/>
  <c r="L15" i="87" s="1"/>
  <c r="I24" i="87"/>
  <c r="L24" i="87" s="1"/>
  <c r="I25" i="87"/>
  <c r="L25" i="87" s="1"/>
  <c r="K111" i="87"/>
  <c r="K108" i="87"/>
  <c r="K107" i="87"/>
  <c r="K105" i="87"/>
  <c r="K104" i="87"/>
  <c r="K103" i="87"/>
  <c r="K106" i="87"/>
  <c r="K109" i="87"/>
  <c r="K110" i="87"/>
  <c r="K119" i="87"/>
  <c r="K120" i="87"/>
  <c r="I119" i="87"/>
  <c r="I120" i="87"/>
  <c r="K121" i="87"/>
  <c r="K122" i="87"/>
  <c r="K102" i="87"/>
  <c r="W193" i="89" l="1"/>
  <c r="AI193" i="89"/>
  <c r="AJ193" i="89"/>
  <c r="M193" i="89"/>
  <c r="AK193" i="89"/>
  <c r="X193" i="89"/>
  <c r="Y193" i="89"/>
  <c r="AL193" i="89"/>
  <c r="AB193" i="89"/>
  <c r="Q193" i="89"/>
  <c r="AC193" i="89"/>
  <c r="AD193" i="89"/>
  <c r="AE193" i="89"/>
  <c r="T193" i="89"/>
  <c r="AG193" i="89"/>
  <c r="P193" i="89"/>
  <c r="R193" i="89"/>
  <c r="S193" i="89"/>
  <c r="AF193" i="89"/>
  <c r="AH193" i="89"/>
  <c r="L117" i="89"/>
  <c r="L129" i="89"/>
  <c r="L118" i="89"/>
  <c r="L124" i="89"/>
  <c r="L113" i="89"/>
  <c r="L120" i="89"/>
  <c r="L109" i="89"/>
  <c r="L131" i="89"/>
  <c r="L121" i="89"/>
  <c r="L128" i="89"/>
  <c r="L123" i="89"/>
  <c r="L125" i="89"/>
  <c r="L114" i="89"/>
  <c r="L115" i="89"/>
  <c r="L110" i="89"/>
  <c r="L132" i="89"/>
  <c r="L127" i="89"/>
  <c r="U193" i="89"/>
  <c r="V193" i="89"/>
  <c r="N193" i="89"/>
  <c r="Z193" i="89"/>
  <c r="AA193" i="89"/>
  <c r="O193" i="89"/>
  <c r="L33" i="89"/>
  <c r="L38" i="89" s="1"/>
  <c r="L31" i="89"/>
  <c r="K192" i="89"/>
  <c r="K193" i="89" s="1"/>
  <c r="L119" i="87"/>
  <c r="L120" i="87"/>
  <c r="K114" i="87"/>
  <c r="K115" i="87"/>
  <c r="K116" i="87"/>
  <c r="K117" i="87"/>
  <c r="K118" i="87"/>
  <c r="K113" i="87"/>
  <c r="I129" i="87"/>
  <c r="L129" i="87" s="1"/>
  <c r="I130" i="87"/>
  <c r="L130" i="87" s="1"/>
  <c r="I131" i="87"/>
  <c r="L131" i="87" s="1"/>
  <c r="I132" i="87"/>
  <c r="L132" i="87" s="1"/>
  <c r="I133" i="87"/>
  <c r="L133" i="87" s="1"/>
  <c r="I134" i="87"/>
  <c r="L134" i="87" s="1"/>
  <c r="I135" i="87"/>
  <c r="L135" i="87" s="1"/>
  <c r="I136" i="87"/>
  <c r="L136" i="87" s="1"/>
  <c r="AL143" i="87"/>
  <c r="AK143" i="87"/>
  <c r="AJ143" i="87"/>
  <c r="AI143" i="87"/>
  <c r="AH143" i="87"/>
  <c r="AG143" i="87"/>
  <c r="AF143" i="87"/>
  <c r="AE143" i="87"/>
  <c r="AD143" i="87"/>
  <c r="AC143" i="87"/>
  <c r="AB143" i="87"/>
  <c r="AA143" i="87"/>
  <c r="Z143" i="87"/>
  <c r="Y143" i="87"/>
  <c r="X143" i="87"/>
  <c r="W143" i="87"/>
  <c r="V143" i="87"/>
  <c r="U143" i="87"/>
  <c r="T143" i="87"/>
  <c r="S143" i="87"/>
  <c r="R143" i="87"/>
  <c r="Q143" i="87"/>
  <c r="P143" i="87"/>
  <c r="O143" i="87"/>
  <c r="N143" i="87"/>
  <c r="M143" i="87"/>
  <c r="I128" i="87"/>
  <c r="L128" i="87" s="1"/>
  <c r="I127" i="87"/>
  <c r="L127" i="87" s="1"/>
  <c r="I126" i="87"/>
  <c r="I125" i="87"/>
  <c r="I124" i="87"/>
  <c r="L124" i="87" s="1"/>
  <c r="I123" i="87"/>
  <c r="L123" i="87" s="1"/>
  <c r="I122" i="87"/>
  <c r="L122" i="87" s="1"/>
  <c r="I121" i="87"/>
  <c r="L121" i="87" s="1"/>
  <c r="I118" i="87"/>
  <c r="I117" i="87"/>
  <c r="I116" i="87"/>
  <c r="I115" i="87"/>
  <c r="I114" i="87"/>
  <c r="L114" i="87" s="1"/>
  <c r="I113" i="87"/>
  <c r="I112" i="87"/>
  <c r="L112" i="87" s="1"/>
  <c r="I111" i="87"/>
  <c r="L111" i="87" s="1"/>
  <c r="I110" i="87"/>
  <c r="L110" i="87" s="1"/>
  <c r="I109" i="87"/>
  <c r="L109" i="87" s="1"/>
  <c r="I108" i="87"/>
  <c r="L108" i="87" s="1"/>
  <c r="I107" i="87"/>
  <c r="L107" i="87" s="1"/>
  <c r="I106" i="87"/>
  <c r="L106" i="87" s="1"/>
  <c r="I105" i="87"/>
  <c r="L105" i="87" s="1"/>
  <c r="I104" i="87"/>
  <c r="L104" i="87" s="1"/>
  <c r="I103" i="87"/>
  <c r="L103" i="87" s="1"/>
  <c r="I102" i="87"/>
  <c r="L102" i="87" s="1"/>
  <c r="I101" i="87"/>
  <c r="I100" i="87"/>
  <c r="L100" i="87" s="1"/>
  <c r="I99" i="87"/>
  <c r="L99" i="87" s="1"/>
  <c r="I98" i="87"/>
  <c r="L98" i="87" s="1"/>
  <c r="I97" i="87"/>
  <c r="L97" i="87" s="1"/>
  <c r="I96" i="87"/>
  <c r="L96" i="87" s="1"/>
  <c r="I95" i="87"/>
  <c r="L95" i="87" s="1"/>
  <c r="I94" i="87"/>
  <c r="L94" i="87" s="1"/>
  <c r="I93" i="87"/>
  <c r="L93" i="87" s="1"/>
  <c r="I92" i="87"/>
  <c r="L92" i="87" s="1"/>
  <c r="I91" i="87"/>
  <c r="L91" i="87" s="1"/>
  <c r="I90" i="87"/>
  <c r="L90" i="87" s="1"/>
  <c r="I89" i="87"/>
  <c r="L89" i="87" s="1"/>
  <c r="I88" i="87"/>
  <c r="L88" i="87" s="1"/>
  <c r="I87" i="87"/>
  <c r="L87" i="87" s="1"/>
  <c r="I86" i="87"/>
  <c r="L86" i="87" s="1"/>
  <c r="I85" i="87"/>
  <c r="L85" i="87" s="1"/>
  <c r="I84" i="87"/>
  <c r="L84" i="87" s="1"/>
  <c r="I83" i="87"/>
  <c r="L83" i="87" s="1"/>
  <c r="I82" i="87"/>
  <c r="L82" i="87" s="1"/>
  <c r="I81" i="87"/>
  <c r="L81" i="87" s="1"/>
  <c r="I80" i="87"/>
  <c r="L80" i="87" s="1"/>
  <c r="I79" i="87"/>
  <c r="L79" i="87" s="1"/>
  <c r="I78" i="87"/>
  <c r="L78" i="87" s="1"/>
  <c r="I77" i="87"/>
  <c r="L77" i="87" s="1"/>
  <c r="I76" i="87"/>
  <c r="L76" i="87" s="1"/>
  <c r="I75" i="87"/>
  <c r="L75" i="87" s="1"/>
  <c r="I74" i="87"/>
  <c r="L74" i="87" s="1"/>
  <c r="I73" i="87"/>
  <c r="L73" i="87" s="1"/>
  <c r="I72" i="87"/>
  <c r="L72" i="87" s="1"/>
  <c r="I71" i="87"/>
  <c r="L71" i="87" s="1"/>
  <c r="I70" i="87"/>
  <c r="L70" i="87" s="1"/>
  <c r="I69" i="87"/>
  <c r="L69" i="87" s="1"/>
  <c r="I68" i="87"/>
  <c r="L68" i="87" s="1"/>
  <c r="I67" i="87"/>
  <c r="L67" i="87" s="1"/>
  <c r="I66" i="87"/>
  <c r="L66" i="87" s="1"/>
  <c r="I65" i="87"/>
  <c r="L65" i="87" s="1"/>
  <c r="I64" i="87"/>
  <c r="L64" i="87" s="1"/>
  <c r="I63" i="87"/>
  <c r="L63" i="87" s="1"/>
  <c r="I62" i="87"/>
  <c r="L62" i="87" s="1"/>
  <c r="I61" i="87"/>
  <c r="L61" i="87" s="1"/>
  <c r="I60" i="87"/>
  <c r="L60" i="87" s="1"/>
  <c r="I59" i="87"/>
  <c r="L59" i="87" s="1"/>
  <c r="I58" i="87"/>
  <c r="L58" i="87" s="1"/>
  <c r="I57" i="87"/>
  <c r="L57" i="87" s="1"/>
  <c r="I56" i="87"/>
  <c r="L56" i="87" s="1"/>
  <c r="I55" i="87"/>
  <c r="L55" i="87" s="1"/>
  <c r="I54" i="87"/>
  <c r="L54" i="87" s="1"/>
  <c r="I53" i="87"/>
  <c r="L53" i="87" s="1"/>
  <c r="I52" i="87"/>
  <c r="L52" i="87" s="1"/>
  <c r="I51" i="87"/>
  <c r="L51" i="87" s="1"/>
  <c r="I50" i="87"/>
  <c r="L50" i="87" s="1"/>
  <c r="I49" i="87"/>
  <c r="L49" i="87" s="1"/>
  <c r="I48" i="87"/>
  <c r="L48" i="87" s="1"/>
  <c r="I47" i="87"/>
  <c r="L47" i="87" s="1"/>
  <c r="I46" i="87"/>
  <c r="L46" i="87" s="1"/>
  <c r="I45" i="87"/>
  <c r="L45" i="87" s="1"/>
  <c r="I44" i="87"/>
  <c r="L44" i="87" s="1"/>
  <c r="I43" i="87"/>
  <c r="L43" i="87" s="1"/>
  <c r="I42" i="87"/>
  <c r="L42" i="87" s="1"/>
  <c r="I41" i="87"/>
  <c r="L41" i="87" s="1"/>
  <c r="I40" i="87"/>
  <c r="L40" i="87" s="1"/>
  <c r="I39" i="87"/>
  <c r="L39" i="87" s="1"/>
  <c r="I38" i="87"/>
  <c r="L38" i="87" s="1"/>
  <c r="I37" i="87"/>
  <c r="AL36" i="87"/>
  <c r="AK36" i="87"/>
  <c r="AJ36" i="87"/>
  <c r="AI36" i="87"/>
  <c r="AH36" i="87"/>
  <c r="AG36" i="87"/>
  <c r="AF36" i="87"/>
  <c r="AE36" i="87"/>
  <c r="AD36" i="87"/>
  <c r="AC36" i="87"/>
  <c r="AB36" i="87"/>
  <c r="AA36" i="87"/>
  <c r="Z36" i="87"/>
  <c r="Y36" i="87"/>
  <c r="X36" i="87"/>
  <c r="W36" i="87"/>
  <c r="V36" i="87"/>
  <c r="U36" i="87"/>
  <c r="T36" i="87"/>
  <c r="S36" i="87"/>
  <c r="R36" i="87"/>
  <c r="Q36" i="87"/>
  <c r="P36" i="87"/>
  <c r="O36" i="87"/>
  <c r="N36" i="87"/>
  <c r="M36" i="87"/>
  <c r="I35" i="87"/>
  <c r="L35" i="87" s="1"/>
  <c r="I34" i="87"/>
  <c r="L34" i="87" s="1"/>
  <c r="I33" i="87"/>
  <c r="I32" i="87"/>
  <c r="L32" i="87" s="1"/>
  <c r="I31" i="87"/>
  <c r="L31" i="87" s="1"/>
  <c r="I30" i="87"/>
  <c r="AL29" i="87"/>
  <c r="AK29" i="87"/>
  <c r="AJ29" i="87"/>
  <c r="AI29" i="87"/>
  <c r="AH29" i="87"/>
  <c r="AG29" i="87"/>
  <c r="AF29" i="87"/>
  <c r="AE29" i="87"/>
  <c r="AD29" i="87"/>
  <c r="AC29" i="87"/>
  <c r="AB29" i="87"/>
  <c r="AA29" i="87"/>
  <c r="Z29" i="87"/>
  <c r="Y29" i="87"/>
  <c r="X29" i="87"/>
  <c r="W29" i="87"/>
  <c r="V29" i="87"/>
  <c r="U29" i="87"/>
  <c r="T29" i="87"/>
  <c r="S29" i="87"/>
  <c r="R29" i="87"/>
  <c r="Q29" i="87"/>
  <c r="P29" i="87"/>
  <c r="O29" i="87"/>
  <c r="N29" i="87"/>
  <c r="M29" i="87"/>
  <c r="K29" i="87"/>
  <c r="I28" i="87"/>
  <c r="L28" i="87" s="1"/>
  <c r="I27" i="87"/>
  <c r="L27" i="87" s="1"/>
  <c r="I26" i="87"/>
  <c r="L26" i="87" s="1"/>
  <c r="I9" i="87"/>
  <c r="L9" i="87" s="1"/>
  <c r="I8" i="87"/>
  <c r="L8" i="87" s="1"/>
  <c r="I7" i="87"/>
  <c r="L7" i="87" s="1"/>
  <c r="I6" i="87"/>
  <c r="L6" i="87" s="1"/>
  <c r="I5" i="87"/>
  <c r="L5" i="87" s="1"/>
  <c r="I4" i="87"/>
  <c r="I67" i="86"/>
  <c r="L67" i="86" s="1"/>
  <c r="I68" i="86"/>
  <c r="L68" i="86" s="1"/>
  <c r="I69" i="86"/>
  <c r="L69" i="86" s="1"/>
  <c r="I70" i="86"/>
  <c r="L70" i="86" s="1"/>
  <c r="I71" i="86"/>
  <c r="L71" i="86" s="1"/>
  <c r="I72" i="86"/>
  <c r="L72" i="86" s="1"/>
  <c r="I73" i="86"/>
  <c r="L73" i="86" s="1"/>
  <c r="I74" i="86"/>
  <c r="L74" i="86" s="1"/>
  <c r="I75" i="86"/>
  <c r="L75" i="86" s="1"/>
  <c r="I76" i="86"/>
  <c r="L76" i="86" s="1"/>
  <c r="I77" i="86"/>
  <c r="L77" i="86" s="1"/>
  <c r="I78" i="86"/>
  <c r="L78" i="86" s="1"/>
  <c r="I79" i="86"/>
  <c r="L79" i="86" s="1"/>
  <c r="I80" i="86"/>
  <c r="L80" i="86" s="1"/>
  <c r="I81" i="86"/>
  <c r="L81" i="86" s="1"/>
  <c r="I82" i="86"/>
  <c r="L82" i="86" s="1"/>
  <c r="I83" i="86"/>
  <c r="L83" i="86" s="1"/>
  <c r="I84" i="86"/>
  <c r="L84" i="86" s="1"/>
  <c r="I85" i="86"/>
  <c r="L85" i="86" s="1"/>
  <c r="I86" i="86"/>
  <c r="L86" i="86" s="1"/>
  <c r="I87" i="86"/>
  <c r="L87" i="86" s="1"/>
  <c r="I88" i="86"/>
  <c r="L88" i="86" s="1"/>
  <c r="I89" i="86"/>
  <c r="L89" i="86" s="1"/>
  <c r="K127" i="86"/>
  <c r="AL119" i="86"/>
  <c r="AK119" i="86"/>
  <c r="AF119" i="86"/>
  <c r="AE119" i="86"/>
  <c r="AD119" i="86"/>
  <c r="AC119" i="86"/>
  <c r="AB119" i="86"/>
  <c r="AA119" i="86"/>
  <c r="Z119" i="86"/>
  <c r="W119" i="86"/>
  <c r="V119" i="86"/>
  <c r="U119" i="86"/>
  <c r="T119" i="86"/>
  <c r="S119" i="86"/>
  <c r="R119" i="86"/>
  <c r="Q119" i="86"/>
  <c r="P119" i="86"/>
  <c r="O119" i="86"/>
  <c r="N119" i="86"/>
  <c r="M119" i="86"/>
  <c r="K119" i="86"/>
  <c r="I118" i="86"/>
  <c r="L118" i="86"/>
  <c r="Y115" i="86"/>
  <c r="Y119" i="86" s="1"/>
  <c r="X114" i="86"/>
  <c r="X112" i="86"/>
  <c r="X119" i="86" s="1"/>
  <c r="AH36" i="86"/>
  <c r="AI36" i="86"/>
  <c r="AJ36" i="86"/>
  <c r="AG36" i="86"/>
  <c r="AG35" i="86"/>
  <c r="AH35" i="86"/>
  <c r="AI35" i="86"/>
  <c r="AJ35" i="86"/>
  <c r="AH34" i="86"/>
  <c r="AI34" i="86"/>
  <c r="AJ34" i="86"/>
  <c r="AG34" i="86"/>
  <c r="AH33" i="86"/>
  <c r="AI33" i="86"/>
  <c r="AJ33" i="86"/>
  <c r="AG33" i="86"/>
  <c r="AG32" i="86"/>
  <c r="AH32" i="86"/>
  <c r="AI32" i="86"/>
  <c r="AJ32" i="86"/>
  <c r="AH31" i="86"/>
  <c r="AH119" i="86" s="1"/>
  <c r="AI31" i="86"/>
  <c r="AI119" i="86" s="1"/>
  <c r="AJ31" i="86"/>
  <c r="AJ119" i="86" s="1"/>
  <c r="AG31" i="86"/>
  <c r="AG119" i="86" s="1"/>
  <c r="I48" i="86"/>
  <c r="I113" i="86"/>
  <c r="L113" i="86" s="1"/>
  <c r="I90" i="86"/>
  <c r="L90" i="86" s="1"/>
  <c r="I91" i="86"/>
  <c r="L91" i="86" s="1"/>
  <c r="I92" i="86"/>
  <c r="L92" i="86" s="1"/>
  <c r="I93" i="86"/>
  <c r="L93" i="86" s="1"/>
  <c r="I94" i="86"/>
  <c r="L94" i="86" s="1"/>
  <c r="I95" i="86"/>
  <c r="L95" i="86" s="1"/>
  <c r="I96" i="86"/>
  <c r="L96" i="86" s="1"/>
  <c r="I97" i="86"/>
  <c r="L97" i="86" s="1"/>
  <c r="I98" i="86"/>
  <c r="L98" i="86" s="1"/>
  <c r="I99" i="86"/>
  <c r="L99" i="86" s="1"/>
  <c r="I100" i="86"/>
  <c r="L100" i="86" s="1"/>
  <c r="I101" i="86"/>
  <c r="L101" i="86" s="1"/>
  <c r="I102" i="86"/>
  <c r="L102" i="86" s="1"/>
  <c r="I103" i="86"/>
  <c r="L103" i="86" s="1"/>
  <c r="I104" i="86"/>
  <c r="L104" i="86" s="1"/>
  <c r="I105" i="86"/>
  <c r="L105" i="86" s="1"/>
  <c r="I106" i="86"/>
  <c r="L106" i="86" s="1"/>
  <c r="I107" i="86"/>
  <c r="L107" i="86" s="1"/>
  <c r="I108" i="86"/>
  <c r="L108" i="86" s="1"/>
  <c r="I109" i="86"/>
  <c r="L109" i="86" s="1"/>
  <c r="I110" i="86"/>
  <c r="L110" i="86" s="1"/>
  <c r="I58" i="86"/>
  <c r="L58" i="86" s="1"/>
  <c r="I59" i="86"/>
  <c r="L59" i="86" s="1"/>
  <c r="I60" i="86"/>
  <c r="L60" i="86" s="1"/>
  <c r="I61" i="86"/>
  <c r="L61" i="86" s="1"/>
  <c r="I62" i="86"/>
  <c r="L62" i="86" s="1"/>
  <c r="I63" i="86"/>
  <c r="L63" i="86" s="1"/>
  <c r="I64" i="86"/>
  <c r="L64" i="86" s="1"/>
  <c r="I65" i="86"/>
  <c r="L65" i="86" s="1"/>
  <c r="I66" i="86"/>
  <c r="L66" i="86" s="1"/>
  <c r="I53" i="86"/>
  <c r="L53" i="86" s="1"/>
  <c r="I54" i="86"/>
  <c r="L54" i="86" s="1"/>
  <c r="I55" i="86"/>
  <c r="L55" i="86" s="1"/>
  <c r="I56" i="86"/>
  <c r="L56" i="86" s="1"/>
  <c r="L137" i="85"/>
  <c r="I137" i="85"/>
  <c r="I114" i="86"/>
  <c r="L114" i="86" s="1"/>
  <c r="I115" i="86"/>
  <c r="L115" i="86" s="1"/>
  <c r="I116" i="86"/>
  <c r="L116" i="86" s="1"/>
  <c r="I117" i="86"/>
  <c r="L117" i="86" s="1"/>
  <c r="K29" i="86"/>
  <c r="M29" i="86"/>
  <c r="N29" i="86"/>
  <c r="O29" i="86"/>
  <c r="P29" i="86"/>
  <c r="Q29" i="86"/>
  <c r="R29" i="86"/>
  <c r="S29" i="86"/>
  <c r="T29" i="86"/>
  <c r="U29" i="86"/>
  <c r="V29" i="86"/>
  <c r="W29" i="86"/>
  <c r="X29" i="86"/>
  <c r="Y29" i="86"/>
  <c r="Z29" i="86"/>
  <c r="AA29" i="86"/>
  <c r="AB29" i="86"/>
  <c r="AC29" i="86"/>
  <c r="AD29" i="86"/>
  <c r="AE29" i="86"/>
  <c r="AF29" i="86"/>
  <c r="AG29" i="86"/>
  <c r="AH29" i="86"/>
  <c r="AI29" i="86"/>
  <c r="AJ29" i="86"/>
  <c r="AK29" i="86"/>
  <c r="AL29" i="86"/>
  <c r="I30" i="86"/>
  <c r="L30" i="86" s="1"/>
  <c r="I31" i="86"/>
  <c r="L31" i="86" s="1"/>
  <c r="I32" i="86"/>
  <c r="L32" i="86" s="1"/>
  <c r="I33" i="86"/>
  <c r="L33" i="86" s="1"/>
  <c r="I34" i="86"/>
  <c r="L34" i="86" s="1"/>
  <c r="I35" i="86"/>
  <c r="L35" i="86" s="1"/>
  <c r="I36" i="86"/>
  <c r="L36" i="86" s="1"/>
  <c r="I37" i="86"/>
  <c r="L37" i="86" s="1"/>
  <c r="I38" i="86"/>
  <c r="L38" i="86" s="1"/>
  <c r="I39" i="86"/>
  <c r="L39" i="86" s="1"/>
  <c r="I40" i="86"/>
  <c r="L40" i="86" s="1"/>
  <c r="I42" i="86"/>
  <c r="L42" i="86" s="1"/>
  <c r="I43" i="86"/>
  <c r="L43" i="86" s="1"/>
  <c r="I44" i="86"/>
  <c r="L44" i="86" s="1"/>
  <c r="I45" i="86"/>
  <c r="L45" i="86" s="1"/>
  <c r="I46" i="86"/>
  <c r="L46" i="86" s="1"/>
  <c r="I47" i="86"/>
  <c r="L47" i="86" s="1"/>
  <c r="L48" i="86"/>
  <c r="I49" i="86"/>
  <c r="L49" i="86" s="1"/>
  <c r="I50" i="86"/>
  <c r="L50" i="86" s="1"/>
  <c r="I51" i="86"/>
  <c r="L51" i="86" s="1"/>
  <c r="I52" i="86"/>
  <c r="L52" i="86" s="1"/>
  <c r="I57" i="86"/>
  <c r="L57" i="86" s="1"/>
  <c r="L111" i="86"/>
  <c r="I112" i="86"/>
  <c r="L112" i="86" s="1"/>
  <c r="I4" i="86"/>
  <c r="I5" i="86"/>
  <c r="L5" i="86" s="1"/>
  <c r="I6" i="86"/>
  <c r="L6" i="86" s="1"/>
  <c r="I7" i="86"/>
  <c r="L7" i="86" s="1"/>
  <c r="I8" i="86"/>
  <c r="L8" i="86" s="1"/>
  <c r="I9" i="86"/>
  <c r="L9" i="86" s="1"/>
  <c r="I10" i="86"/>
  <c r="L10" i="86" s="1"/>
  <c r="I11" i="86"/>
  <c r="L11" i="86" s="1"/>
  <c r="I12" i="86"/>
  <c r="L12" i="86" s="1"/>
  <c r="I13" i="86"/>
  <c r="L13" i="86" s="1"/>
  <c r="I14" i="86"/>
  <c r="L14" i="86" s="1"/>
  <c r="I15" i="86"/>
  <c r="L15" i="86" s="1"/>
  <c r="I16" i="86"/>
  <c r="L16" i="86" s="1"/>
  <c r="I17" i="86"/>
  <c r="L17" i="86" s="1"/>
  <c r="I18" i="86"/>
  <c r="L18" i="86" s="1"/>
  <c r="I19" i="86"/>
  <c r="L19" i="86" s="1"/>
  <c r="I20" i="86"/>
  <c r="L20" i="86" s="1"/>
  <c r="I21" i="86"/>
  <c r="L21" i="86" s="1"/>
  <c r="I22" i="86"/>
  <c r="L22" i="86" s="1"/>
  <c r="I23" i="86"/>
  <c r="L23" i="86" s="1"/>
  <c r="I24" i="86"/>
  <c r="L24" i="86" s="1"/>
  <c r="I25" i="86"/>
  <c r="L25" i="86" s="1"/>
  <c r="K26" i="86"/>
  <c r="K120" i="86" s="1"/>
  <c r="M26" i="86"/>
  <c r="M120" i="86" s="1"/>
  <c r="N26" i="86"/>
  <c r="N120" i="86" s="1"/>
  <c r="O26" i="86"/>
  <c r="O120" i="86" s="1"/>
  <c r="P26" i="86"/>
  <c r="P120" i="86" s="1"/>
  <c r="Q26" i="86"/>
  <c r="Q120" i="86" s="1"/>
  <c r="R26" i="86"/>
  <c r="R120" i="86" s="1"/>
  <c r="S26" i="86"/>
  <c r="S120" i="86" s="1"/>
  <c r="T26" i="86"/>
  <c r="T120" i="86" s="1"/>
  <c r="U26" i="86"/>
  <c r="U120" i="86" s="1"/>
  <c r="V26" i="86"/>
  <c r="V120" i="86" s="1"/>
  <c r="W26" i="86"/>
  <c r="W120" i="86" s="1"/>
  <c r="X26" i="86"/>
  <c r="X120" i="86" s="1"/>
  <c r="Y26" i="86"/>
  <c r="Y120" i="86" s="1"/>
  <c r="Z26" i="86"/>
  <c r="Z120" i="86" s="1"/>
  <c r="AA26" i="86"/>
  <c r="AA120" i="86" s="1"/>
  <c r="AB26" i="86"/>
  <c r="AB120" i="86" s="1"/>
  <c r="AC26" i="86"/>
  <c r="AC120" i="86" s="1"/>
  <c r="AD26" i="86"/>
  <c r="AD120" i="86" s="1"/>
  <c r="AE26" i="86"/>
  <c r="AE120" i="86" s="1"/>
  <c r="AF26" i="86"/>
  <c r="AF120" i="86" s="1"/>
  <c r="AG26" i="86"/>
  <c r="AG120" i="86" s="1"/>
  <c r="AH26" i="86"/>
  <c r="AH120" i="86" s="1"/>
  <c r="AI26" i="86"/>
  <c r="AI120" i="86" s="1"/>
  <c r="AJ26" i="86"/>
  <c r="AJ120" i="86" s="1"/>
  <c r="AK26" i="86"/>
  <c r="AK120" i="86" s="1"/>
  <c r="AL26" i="86"/>
  <c r="AL120" i="86" s="1"/>
  <c r="I27" i="86"/>
  <c r="L27" i="86" s="1"/>
  <c r="L29" i="86" s="1"/>
  <c r="I136" i="85"/>
  <c r="L136" i="85" s="1"/>
  <c r="I138" i="85"/>
  <c r="L138" i="85" s="1"/>
  <c r="I134" i="85"/>
  <c r="L134" i="85" s="1"/>
  <c r="I135" i="85"/>
  <c r="L135" i="85" s="1"/>
  <c r="K125" i="85"/>
  <c r="K126" i="85"/>
  <c r="K124" i="85"/>
  <c r="L192" i="89" l="1"/>
  <c r="L193" i="89" s="1"/>
  <c r="L116" i="87"/>
  <c r="L118" i="87"/>
  <c r="K143" i="87"/>
  <c r="L113" i="87"/>
  <c r="L115" i="87"/>
  <c r="L117" i="87"/>
  <c r="AG144" i="87"/>
  <c r="AF144" i="87"/>
  <c r="X144" i="87"/>
  <c r="Y144" i="87"/>
  <c r="AL144" i="87"/>
  <c r="AI144" i="87"/>
  <c r="AJ144" i="87"/>
  <c r="M144" i="87"/>
  <c r="Z144" i="87"/>
  <c r="AH144" i="87"/>
  <c r="AK144" i="87"/>
  <c r="N144" i="87"/>
  <c r="V144" i="87"/>
  <c r="W144" i="87"/>
  <c r="O144" i="87"/>
  <c r="AB144" i="87"/>
  <c r="Q144" i="87"/>
  <c r="AC144" i="87"/>
  <c r="S144" i="87"/>
  <c r="AA144" i="87"/>
  <c r="P144" i="87"/>
  <c r="AE144" i="87"/>
  <c r="L126" i="87"/>
  <c r="L125" i="87"/>
  <c r="T144" i="87"/>
  <c r="U144" i="87"/>
  <c r="R144" i="87"/>
  <c r="AD144" i="87"/>
  <c r="L29" i="87"/>
  <c r="L36" i="87"/>
  <c r="L101" i="87"/>
  <c r="K36" i="87"/>
  <c r="L119" i="86"/>
  <c r="L26" i="86"/>
  <c r="I29" i="85"/>
  <c r="I30" i="85"/>
  <c r="K27" i="85"/>
  <c r="K144" i="87" l="1"/>
  <c r="L143" i="87"/>
  <c r="L144" i="87" s="1"/>
  <c r="L120" i="86"/>
  <c r="I70" i="85"/>
  <c r="L70" i="85" s="1"/>
  <c r="I71" i="85"/>
  <c r="L71" i="85" s="1"/>
  <c r="K101" i="85"/>
  <c r="K17" i="85"/>
  <c r="K25" i="85" s="1"/>
  <c r="I20" i="85"/>
  <c r="L20" i="85" s="1"/>
  <c r="I21" i="85"/>
  <c r="L21" i="85" s="1"/>
  <c r="I22" i="85"/>
  <c r="L22" i="85" s="1"/>
  <c r="I23" i="85"/>
  <c r="L23" i="85" s="1"/>
  <c r="I45" i="85"/>
  <c r="L45" i="85" s="1"/>
  <c r="I46" i="85"/>
  <c r="L46" i="85" s="1"/>
  <c r="I47" i="85"/>
  <c r="L47" i="85" s="1"/>
  <c r="I48" i="85"/>
  <c r="L48" i="85" s="1"/>
  <c r="I49" i="85"/>
  <c r="L49" i="85" s="1"/>
  <c r="I50" i="85"/>
  <c r="L50" i="85" s="1"/>
  <c r="I51" i="85"/>
  <c r="L51" i="85" s="1"/>
  <c r="I52" i="85"/>
  <c r="L52" i="85" s="1"/>
  <c r="I53" i="85"/>
  <c r="L53" i="85" s="1"/>
  <c r="I54" i="85"/>
  <c r="L54" i="85" s="1"/>
  <c r="I55" i="85"/>
  <c r="L55" i="85" s="1"/>
  <c r="I56" i="85"/>
  <c r="L56" i="85" s="1"/>
  <c r="I57" i="85"/>
  <c r="L57" i="85" s="1"/>
  <c r="I58" i="85"/>
  <c r="L58" i="85" s="1"/>
  <c r="I59" i="85"/>
  <c r="L59" i="85" s="1"/>
  <c r="I60" i="85"/>
  <c r="L60" i="85" s="1"/>
  <c r="I61" i="85"/>
  <c r="L61" i="85" s="1"/>
  <c r="I62" i="85"/>
  <c r="L62" i="85" s="1"/>
  <c r="I63" i="85"/>
  <c r="L63" i="85" s="1"/>
  <c r="I64" i="85"/>
  <c r="L64" i="85" s="1"/>
  <c r="I65" i="85"/>
  <c r="L65" i="85" s="1"/>
  <c r="I66" i="85"/>
  <c r="L66" i="85" s="1"/>
  <c r="I67" i="85"/>
  <c r="L67" i="85" s="1"/>
  <c r="I68" i="85"/>
  <c r="L68" i="85" s="1"/>
  <c r="I69" i="85"/>
  <c r="L69" i="85" s="1"/>
  <c r="I72" i="85"/>
  <c r="L72" i="85" s="1"/>
  <c r="I73" i="85"/>
  <c r="L73" i="85" s="1"/>
  <c r="I74" i="85"/>
  <c r="L74" i="85" s="1"/>
  <c r="I75" i="85"/>
  <c r="L75" i="85" s="1"/>
  <c r="I76" i="85"/>
  <c r="L76" i="85" s="1"/>
  <c r="I77" i="85"/>
  <c r="L77" i="85" s="1"/>
  <c r="I78" i="85"/>
  <c r="L78" i="85" s="1"/>
  <c r="I79" i="85"/>
  <c r="L79" i="85" s="1"/>
  <c r="I80" i="85"/>
  <c r="L80" i="85" s="1"/>
  <c r="I81" i="85"/>
  <c r="L81" i="85" s="1"/>
  <c r="I82" i="85"/>
  <c r="L82" i="85" s="1"/>
  <c r="I83" i="85"/>
  <c r="L83" i="85" s="1"/>
  <c r="I84" i="85"/>
  <c r="L84" i="85" s="1"/>
  <c r="I85" i="85"/>
  <c r="L85" i="85" s="1"/>
  <c r="I86" i="85"/>
  <c r="L86" i="85" s="1"/>
  <c r="I87" i="85"/>
  <c r="L87" i="85" s="1"/>
  <c r="I88" i="85"/>
  <c r="L88" i="85" s="1"/>
  <c r="I89" i="85"/>
  <c r="L89" i="85" s="1"/>
  <c r="I90" i="85"/>
  <c r="L90" i="85" s="1"/>
  <c r="I91" i="85"/>
  <c r="L91" i="85" s="1"/>
  <c r="I92" i="85"/>
  <c r="L92" i="85" s="1"/>
  <c r="I93" i="85"/>
  <c r="L93" i="85" s="1"/>
  <c r="I94" i="85"/>
  <c r="L94" i="85" s="1"/>
  <c r="I95" i="85"/>
  <c r="L95" i="85" s="1"/>
  <c r="I96" i="85"/>
  <c r="L96" i="85" s="1"/>
  <c r="I97" i="85"/>
  <c r="L97" i="85" s="1"/>
  <c r="I98" i="85"/>
  <c r="L98" i="85" s="1"/>
  <c r="I99" i="85"/>
  <c r="L99" i="85" s="1"/>
  <c r="I100" i="85"/>
  <c r="L100" i="85" s="1"/>
  <c r="I101" i="85"/>
  <c r="L101" i="85" s="1"/>
  <c r="I102" i="85"/>
  <c r="L102" i="85" s="1"/>
  <c r="I103" i="85"/>
  <c r="L103" i="85" s="1"/>
  <c r="I104" i="85"/>
  <c r="L104" i="85" s="1"/>
  <c r="I105" i="85"/>
  <c r="L105" i="85" s="1"/>
  <c r="I106" i="85"/>
  <c r="L106" i="85" s="1"/>
  <c r="I107" i="85"/>
  <c r="L107" i="85" s="1"/>
  <c r="I108" i="85"/>
  <c r="L108" i="85" s="1"/>
  <c r="I109" i="85"/>
  <c r="L109" i="85" s="1"/>
  <c r="I110" i="85"/>
  <c r="L110" i="85" s="1"/>
  <c r="I111" i="85"/>
  <c r="L111" i="85" s="1"/>
  <c r="I112" i="85"/>
  <c r="L112" i="85" s="1"/>
  <c r="I113" i="85"/>
  <c r="L113" i="85" s="1"/>
  <c r="I114" i="85"/>
  <c r="L114" i="85" s="1"/>
  <c r="I115" i="85"/>
  <c r="L115" i="85" s="1"/>
  <c r="I116" i="85"/>
  <c r="L116" i="85" s="1"/>
  <c r="I117" i="85"/>
  <c r="L117" i="85" s="1"/>
  <c r="I118" i="85"/>
  <c r="L118" i="85" s="1"/>
  <c r="I119" i="85"/>
  <c r="L119" i="85" s="1"/>
  <c r="I120" i="85"/>
  <c r="L120" i="85" s="1"/>
  <c r="I121" i="85"/>
  <c r="L121" i="85" s="1"/>
  <c r="I122" i="85"/>
  <c r="L122" i="85" s="1"/>
  <c r="I123" i="85"/>
  <c r="L123" i="85" s="1"/>
  <c r="I124" i="85"/>
  <c r="L124" i="85" s="1"/>
  <c r="I125" i="85"/>
  <c r="L125" i="85" s="1"/>
  <c r="I126" i="85"/>
  <c r="L126" i="85" s="1"/>
  <c r="I127" i="85"/>
  <c r="L127" i="85" s="1"/>
  <c r="I128" i="85"/>
  <c r="L128" i="85" s="1"/>
  <c r="I129" i="85"/>
  <c r="L129" i="85" s="1"/>
  <c r="I130" i="85"/>
  <c r="L130" i="85" s="1"/>
  <c r="I131" i="85"/>
  <c r="L131" i="85" s="1"/>
  <c r="I132" i="85"/>
  <c r="L132" i="85" s="1"/>
  <c r="I133" i="85"/>
  <c r="L133" i="85" s="1"/>
  <c r="I139" i="85"/>
  <c r="L139" i="85" s="1"/>
  <c r="I140" i="85"/>
  <c r="I141" i="85"/>
  <c r="L141" i="85" s="1"/>
  <c r="I142" i="85"/>
  <c r="L142" i="85" s="1"/>
  <c r="AL143" i="85"/>
  <c r="AK143" i="85"/>
  <c r="AJ143" i="85"/>
  <c r="AI143" i="85"/>
  <c r="AH143" i="85"/>
  <c r="AG143" i="85"/>
  <c r="AF143" i="85"/>
  <c r="AE143" i="85"/>
  <c r="AD143" i="85"/>
  <c r="AC143" i="85"/>
  <c r="AB143" i="85"/>
  <c r="AA143" i="85"/>
  <c r="Z143" i="85"/>
  <c r="Y143" i="85"/>
  <c r="X143" i="85"/>
  <c r="W143" i="85"/>
  <c r="V143" i="85"/>
  <c r="U143" i="85"/>
  <c r="T143" i="85"/>
  <c r="S143" i="85"/>
  <c r="R143" i="85"/>
  <c r="Q143" i="85"/>
  <c r="P143" i="85"/>
  <c r="O143" i="85"/>
  <c r="N143" i="85"/>
  <c r="M143" i="85"/>
  <c r="K143" i="85"/>
  <c r="I44" i="85"/>
  <c r="L44" i="85" s="1"/>
  <c r="I43" i="85"/>
  <c r="L43" i="85" s="1"/>
  <c r="I42" i="85"/>
  <c r="L42" i="85" s="1"/>
  <c r="I41" i="85"/>
  <c r="L41" i="85" s="1"/>
  <c r="I40" i="85"/>
  <c r="L40" i="85" s="1"/>
  <c r="I39" i="85"/>
  <c r="L39" i="85" s="1"/>
  <c r="I38" i="85"/>
  <c r="L38" i="85" s="1"/>
  <c r="I37" i="85"/>
  <c r="L37" i="85" s="1"/>
  <c r="I36" i="85"/>
  <c r="L36" i="85" s="1"/>
  <c r="I35" i="85"/>
  <c r="L35" i="85" s="1"/>
  <c r="I34" i="85"/>
  <c r="AL33" i="85"/>
  <c r="AK33" i="85"/>
  <c r="AJ33" i="85"/>
  <c r="AI33" i="85"/>
  <c r="AH33" i="85"/>
  <c r="AG33" i="85"/>
  <c r="AF33" i="85"/>
  <c r="AE33" i="85"/>
  <c r="AD33" i="85"/>
  <c r="AC33" i="85"/>
  <c r="AB33" i="85"/>
  <c r="AA33" i="85"/>
  <c r="Z33" i="85"/>
  <c r="Y33" i="85"/>
  <c r="X33" i="85"/>
  <c r="W33" i="85"/>
  <c r="V33" i="85"/>
  <c r="U33" i="85"/>
  <c r="T33" i="85"/>
  <c r="S33" i="85"/>
  <c r="R33" i="85"/>
  <c r="Q33" i="85"/>
  <c r="P33" i="85"/>
  <c r="O33" i="85"/>
  <c r="N33" i="85"/>
  <c r="M33" i="85"/>
  <c r="I32" i="85"/>
  <c r="L32" i="85" s="1"/>
  <c r="I31" i="85"/>
  <c r="L31" i="85" s="1"/>
  <c r="L30" i="85"/>
  <c r="I28" i="85"/>
  <c r="I27" i="85"/>
  <c r="I26" i="85"/>
  <c r="AL25" i="85"/>
  <c r="AK25" i="85"/>
  <c r="AJ25" i="85"/>
  <c r="AI25" i="85"/>
  <c r="AH25" i="85"/>
  <c r="AG25" i="85"/>
  <c r="AF25" i="85"/>
  <c r="AE25" i="85"/>
  <c r="AD25" i="85"/>
  <c r="AC25" i="85"/>
  <c r="AB25" i="85"/>
  <c r="AA25" i="85"/>
  <c r="Z25" i="85"/>
  <c r="Y25" i="85"/>
  <c r="X25" i="85"/>
  <c r="W25" i="85"/>
  <c r="V25" i="85"/>
  <c r="U25" i="85"/>
  <c r="T25" i="85"/>
  <c r="S25" i="85"/>
  <c r="R25" i="85"/>
  <c r="Q25" i="85"/>
  <c r="P25" i="85"/>
  <c r="O25" i="85"/>
  <c r="N25" i="85"/>
  <c r="M25" i="85"/>
  <c r="I24" i="85"/>
  <c r="L24" i="85" s="1"/>
  <c r="I19" i="85"/>
  <c r="L19" i="85" s="1"/>
  <c r="I18" i="85"/>
  <c r="L18" i="85" s="1"/>
  <c r="I17" i="85"/>
  <c r="L17" i="85" s="1"/>
  <c r="I16" i="85"/>
  <c r="L16" i="85" s="1"/>
  <c r="I15" i="85"/>
  <c r="L15" i="85" s="1"/>
  <c r="I14" i="85"/>
  <c r="L14" i="85" s="1"/>
  <c r="I13" i="85"/>
  <c r="I12" i="85"/>
  <c r="L12" i="85" s="1"/>
  <c r="I11" i="85"/>
  <c r="L11" i="85" s="1"/>
  <c r="I10" i="85"/>
  <c r="L10" i="85" s="1"/>
  <c r="I9" i="85"/>
  <c r="L9" i="85" s="1"/>
  <c r="I8" i="85"/>
  <c r="L8" i="85" s="1"/>
  <c r="I7" i="85"/>
  <c r="L7" i="85" s="1"/>
  <c r="I6" i="85"/>
  <c r="L6" i="85" s="1"/>
  <c r="I5" i="85"/>
  <c r="L5" i="85" s="1"/>
  <c r="I4" i="85"/>
  <c r="AH89" i="83"/>
  <c r="AI89" i="83"/>
  <c r="AJ89" i="83"/>
  <c r="AG89" i="83"/>
  <c r="K89" i="83"/>
  <c r="K88" i="83"/>
  <c r="I89" i="83"/>
  <c r="I102" i="83"/>
  <c r="L102" i="83" s="1"/>
  <c r="I15" i="83"/>
  <c r="L15" i="83" s="1"/>
  <c r="AH88" i="83"/>
  <c r="AI88" i="83"/>
  <c r="AJ88" i="83"/>
  <c r="AG88" i="83"/>
  <c r="AH87" i="83"/>
  <c r="AI87" i="83"/>
  <c r="AJ87" i="83"/>
  <c r="AG87" i="83"/>
  <c r="AH86" i="83"/>
  <c r="AI86" i="83"/>
  <c r="AJ86" i="83"/>
  <c r="AG86" i="83"/>
  <c r="AH85" i="83"/>
  <c r="AI85" i="83"/>
  <c r="AJ85" i="83"/>
  <c r="AG85" i="83"/>
  <c r="AH84" i="83"/>
  <c r="AI84" i="83"/>
  <c r="AJ84" i="83"/>
  <c r="AG84" i="83"/>
  <c r="AH83" i="83"/>
  <c r="AI83" i="83"/>
  <c r="AJ83" i="83"/>
  <c r="AG83" i="83"/>
  <c r="AH82" i="83"/>
  <c r="AI82" i="83"/>
  <c r="AJ82" i="83"/>
  <c r="AG82" i="83"/>
  <c r="AG110" i="83" s="1"/>
  <c r="AH81" i="83"/>
  <c r="AI81" i="83"/>
  <c r="AJ81" i="83"/>
  <c r="AG81" i="83"/>
  <c r="AH80" i="83"/>
  <c r="AI80" i="83"/>
  <c r="AJ80" i="83"/>
  <c r="AG80" i="83"/>
  <c r="Y78" i="83"/>
  <c r="X75" i="83"/>
  <c r="Y74" i="83"/>
  <c r="Y110" i="83" s="1"/>
  <c r="X67" i="83"/>
  <c r="X110" i="83" s="1"/>
  <c r="Y62" i="83"/>
  <c r="Z62" i="83"/>
  <c r="K87" i="83"/>
  <c r="I108" i="83"/>
  <c r="I92" i="83"/>
  <c r="L92" i="83" s="1"/>
  <c r="K86" i="83"/>
  <c r="L86" i="83" s="1"/>
  <c r="K85" i="83"/>
  <c r="L85" i="83" s="1"/>
  <c r="K84" i="83"/>
  <c r="L84" i="83" s="1"/>
  <c r="K83" i="83"/>
  <c r="L83" i="83" s="1"/>
  <c r="K82" i="83"/>
  <c r="K81" i="83"/>
  <c r="K80" i="83"/>
  <c r="L80" i="83" s="1"/>
  <c r="K31" i="83"/>
  <c r="I82" i="83"/>
  <c r="I56" i="83"/>
  <c r="L56" i="83" s="1"/>
  <c r="I78" i="83"/>
  <c r="L78" i="83" s="1"/>
  <c r="I67" i="83"/>
  <c r="L67" i="83" s="1"/>
  <c r="I68" i="83"/>
  <c r="L68" i="83" s="1"/>
  <c r="I69" i="83"/>
  <c r="L69" i="83"/>
  <c r="I70" i="83"/>
  <c r="L70" i="83" s="1"/>
  <c r="I71" i="83"/>
  <c r="L71" i="83"/>
  <c r="I72" i="83"/>
  <c r="L72" i="83" s="1"/>
  <c r="I73" i="83"/>
  <c r="L73" i="83"/>
  <c r="I74" i="83"/>
  <c r="L74" i="83" s="1"/>
  <c r="I75" i="83"/>
  <c r="L75" i="83"/>
  <c r="I76" i="83"/>
  <c r="L76" i="83" s="1"/>
  <c r="I77" i="83"/>
  <c r="L77" i="83"/>
  <c r="L79" i="83"/>
  <c r="I80" i="83"/>
  <c r="I81" i="83"/>
  <c r="I83" i="83"/>
  <c r="I84" i="83"/>
  <c r="I85" i="83"/>
  <c r="I86" i="83"/>
  <c r="I87" i="83"/>
  <c r="I88" i="83"/>
  <c r="I90" i="83"/>
  <c r="L90" i="83"/>
  <c r="I91" i="83"/>
  <c r="L91" i="83"/>
  <c r="I93" i="83"/>
  <c r="L93" i="83" s="1"/>
  <c r="I94" i="83"/>
  <c r="L94" i="83"/>
  <c r="I95" i="83"/>
  <c r="L95" i="83" s="1"/>
  <c r="I96" i="83"/>
  <c r="L96" i="83"/>
  <c r="I97" i="83"/>
  <c r="L97" i="83" s="1"/>
  <c r="I98" i="83"/>
  <c r="L98" i="83"/>
  <c r="I99" i="83"/>
  <c r="L99" i="83" s="1"/>
  <c r="I100" i="83"/>
  <c r="L100" i="83"/>
  <c r="I101" i="83"/>
  <c r="L101" i="83" s="1"/>
  <c r="I103" i="83"/>
  <c r="L103" i="83" s="1"/>
  <c r="I104" i="83"/>
  <c r="L104" i="83" s="1"/>
  <c r="I105" i="83"/>
  <c r="L105" i="83"/>
  <c r="I106" i="83"/>
  <c r="L106" i="83"/>
  <c r="I107" i="83"/>
  <c r="L107" i="83" s="1"/>
  <c r="I109" i="83"/>
  <c r="L109" i="83" s="1"/>
  <c r="M110" i="83"/>
  <c r="N110" i="83"/>
  <c r="O110" i="83"/>
  <c r="P110" i="83"/>
  <c r="Q110" i="83"/>
  <c r="R110" i="83"/>
  <c r="S110" i="83"/>
  <c r="T110" i="83"/>
  <c r="U110" i="83"/>
  <c r="V110" i="83"/>
  <c r="W110" i="83"/>
  <c r="Z110" i="83"/>
  <c r="AA110" i="83"/>
  <c r="AB110" i="83"/>
  <c r="AC110" i="83"/>
  <c r="AD110" i="83"/>
  <c r="AE110" i="83"/>
  <c r="AF110" i="83"/>
  <c r="AK110" i="83"/>
  <c r="AL110" i="83"/>
  <c r="I57" i="83"/>
  <c r="L57" i="83"/>
  <c r="I58" i="83"/>
  <c r="L58" i="83" s="1"/>
  <c r="I59" i="83"/>
  <c r="L59" i="83"/>
  <c r="I60" i="83"/>
  <c r="L60" i="83" s="1"/>
  <c r="I61" i="83"/>
  <c r="L61" i="83"/>
  <c r="I62" i="83"/>
  <c r="L62" i="83" s="1"/>
  <c r="I63" i="83"/>
  <c r="L63" i="83"/>
  <c r="I64" i="83"/>
  <c r="L64" i="83" s="1"/>
  <c r="I65" i="83"/>
  <c r="L65" i="83" s="1"/>
  <c r="I66" i="83"/>
  <c r="L66" i="83"/>
  <c r="K29" i="83"/>
  <c r="M29" i="83"/>
  <c r="N29" i="83"/>
  <c r="O29" i="83"/>
  <c r="P29" i="83"/>
  <c r="Q29" i="83"/>
  <c r="R29" i="83"/>
  <c r="S29" i="83"/>
  <c r="T29" i="83"/>
  <c r="U29" i="83"/>
  <c r="V29" i="83"/>
  <c r="W29" i="83"/>
  <c r="X29" i="83"/>
  <c r="Y29" i="83"/>
  <c r="Z29" i="83"/>
  <c r="AA29" i="83"/>
  <c r="AB29" i="83"/>
  <c r="AC29" i="83"/>
  <c r="AD29" i="83"/>
  <c r="AE29" i="83"/>
  <c r="AF29" i="83"/>
  <c r="AG29" i="83"/>
  <c r="AH29" i="83"/>
  <c r="AI29" i="83"/>
  <c r="AJ29" i="83"/>
  <c r="AK29" i="83"/>
  <c r="AL29" i="83"/>
  <c r="I30" i="83"/>
  <c r="L30" i="83" s="1"/>
  <c r="I31" i="83"/>
  <c r="I32" i="83"/>
  <c r="L32" i="83"/>
  <c r="I33" i="83"/>
  <c r="L33" i="83" s="1"/>
  <c r="I34" i="83"/>
  <c r="L34" i="83"/>
  <c r="I35" i="83"/>
  <c r="L35" i="83"/>
  <c r="I36" i="83"/>
  <c r="L36" i="83"/>
  <c r="I37" i="83"/>
  <c r="L37" i="83" s="1"/>
  <c r="I38" i="83"/>
  <c r="L38" i="83"/>
  <c r="I39" i="83"/>
  <c r="L39" i="83" s="1"/>
  <c r="I40" i="83"/>
  <c r="L40" i="83"/>
  <c r="I41" i="83"/>
  <c r="L41" i="83" s="1"/>
  <c r="I42" i="83"/>
  <c r="L42" i="83"/>
  <c r="I43" i="83"/>
  <c r="L43" i="83" s="1"/>
  <c r="I44" i="83"/>
  <c r="L44" i="83" s="1"/>
  <c r="I45" i="83"/>
  <c r="L45" i="83"/>
  <c r="I46" i="83"/>
  <c r="L46" i="83" s="1"/>
  <c r="I47" i="83"/>
  <c r="L47" i="83" s="1"/>
  <c r="I48" i="83"/>
  <c r="L48" i="83"/>
  <c r="I49" i="83"/>
  <c r="L49" i="83" s="1"/>
  <c r="I50" i="83"/>
  <c r="L50" i="83" s="1"/>
  <c r="I51" i="83"/>
  <c r="L51" i="83"/>
  <c r="I52" i="83"/>
  <c r="L52" i="83" s="1"/>
  <c r="I53" i="83"/>
  <c r="L53" i="83"/>
  <c r="I54" i="83"/>
  <c r="L54" i="83" s="1"/>
  <c r="I55" i="83"/>
  <c r="L55" i="83" s="1"/>
  <c r="I4" i="83"/>
  <c r="I5" i="83"/>
  <c r="L5" i="83" s="1"/>
  <c r="I6" i="83"/>
  <c r="L6" i="83"/>
  <c r="I7" i="83"/>
  <c r="L7" i="83" s="1"/>
  <c r="I8" i="83"/>
  <c r="L8" i="83"/>
  <c r="I9" i="83"/>
  <c r="L9" i="83" s="1"/>
  <c r="I10" i="83"/>
  <c r="L10" i="83" s="1"/>
  <c r="I11" i="83"/>
  <c r="L11" i="83" s="1"/>
  <c r="I12" i="83"/>
  <c r="L12" i="83" s="1"/>
  <c r="I13" i="83"/>
  <c r="L13" i="83"/>
  <c r="I14" i="83"/>
  <c r="L14" i="83" s="1"/>
  <c r="I16" i="83"/>
  <c r="L16" i="83"/>
  <c r="I17" i="83"/>
  <c r="L17" i="83" s="1"/>
  <c r="I18" i="83"/>
  <c r="L18" i="83"/>
  <c r="I19" i="83"/>
  <c r="L19" i="83" s="1"/>
  <c r="I20" i="83"/>
  <c r="L20" i="83" s="1"/>
  <c r="I21" i="83"/>
  <c r="L21" i="83" s="1"/>
  <c r="I22" i="83"/>
  <c r="L22" i="83"/>
  <c r="I23" i="83"/>
  <c r="L23" i="83" s="1"/>
  <c r="K24" i="83"/>
  <c r="M24" i="83"/>
  <c r="N24" i="83"/>
  <c r="O24" i="83"/>
  <c r="P24" i="83"/>
  <c r="Q24" i="83"/>
  <c r="R24" i="83"/>
  <c r="R111" i="83" s="1"/>
  <c r="S24" i="83"/>
  <c r="T24" i="83"/>
  <c r="U24" i="83"/>
  <c r="V24" i="83"/>
  <c r="W24" i="83"/>
  <c r="X24" i="83"/>
  <c r="Y24" i="83"/>
  <c r="Z24" i="83"/>
  <c r="AA24" i="83"/>
  <c r="AB24" i="83"/>
  <c r="AC24" i="83"/>
  <c r="AD24" i="83"/>
  <c r="AD111" i="83" s="1"/>
  <c r="AE24" i="83"/>
  <c r="AF24" i="83"/>
  <c r="AG24" i="83"/>
  <c r="AH24" i="83"/>
  <c r="AI24" i="83"/>
  <c r="AJ24" i="83"/>
  <c r="AK24" i="83"/>
  <c r="AL24" i="83"/>
  <c r="I25" i="83"/>
  <c r="L25" i="83" s="1"/>
  <c r="L29" i="83" s="1"/>
  <c r="I31" i="81"/>
  <c r="I14" i="81"/>
  <c r="I15" i="81"/>
  <c r="I96" i="81"/>
  <c r="L96" i="81" s="1"/>
  <c r="I97" i="81"/>
  <c r="L97" i="81" s="1"/>
  <c r="I124" i="81"/>
  <c r="L124" i="81" s="1"/>
  <c r="I125" i="81"/>
  <c r="L125" i="81" s="1"/>
  <c r="I126" i="81"/>
  <c r="L126" i="81" s="1"/>
  <c r="I127" i="81"/>
  <c r="L127" i="81" s="1"/>
  <c r="I128" i="81"/>
  <c r="L128" i="81" s="1"/>
  <c r="I120" i="81"/>
  <c r="L120" i="81" s="1"/>
  <c r="I121" i="81"/>
  <c r="L121" i="81" s="1"/>
  <c r="I109" i="81"/>
  <c r="L109" i="81" s="1"/>
  <c r="I110" i="81"/>
  <c r="L110" i="81" s="1"/>
  <c r="I111" i="81"/>
  <c r="L111" i="81" s="1"/>
  <c r="I112" i="81"/>
  <c r="L112" i="81" s="1"/>
  <c r="I113" i="81"/>
  <c r="L113" i="81" s="1"/>
  <c r="I114" i="81"/>
  <c r="L114" i="81" s="1"/>
  <c r="I115" i="81"/>
  <c r="L115" i="81" s="1"/>
  <c r="I116" i="81"/>
  <c r="L116" i="81" s="1"/>
  <c r="I117" i="81"/>
  <c r="L117" i="81" s="1"/>
  <c r="I72" i="81"/>
  <c r="I73" i="81"/>
  <c r="L72" i="81"/>
  <c r="L73" i="81"/>
  <c r="I86" i="81"/>
  <c r="L86" i="81" s="1"/>
  <c r="I87" i="81"/>
  <c r="L87" i="81" s="1"/>
  <c r="I57" i="81"/>
  <c r="L57" i="81" s="1"/>
  <c r="I58" i="81"/>
  <c r="L58" i="81" s="1"/>
  <c r="I59" i="81"/>
  <c r="L59" i="81" s="1"/>
  <c r="I60" i="81"/>
  <c r="I49" i="81"/>
  <c r="L49" i="81" s="1"/>
  <c r="I39" i="81"/>
  <c r="L39" i="81" s="1"/>
  <c r="I28" i="81"/>
  <c r="I25" i="81"/>
  <c r="I26" i="81"/>
  <c r="L26" i="81" s="1"/>
  <c r="I27" i="81"/>
  <c r="I24" i="81"/>
  <c r="L24" i="81" s="1"/>
  <c r="AL131" i="81"/>
  <c r="AK131" i="81"/>
  <c r="AJ131" i="81"/>
  <c r="AI131" i="81"/>
  <c r="AH131" i="81"/>
  <c r="AG131" i="81"/>
  <c r="AF131" i="81"/>
  <c r="AE131" i="81"/>
  <c r="AD131" i="81"/>
  <c r="AC131" i="81"/>
  <c r="AB131" i="81"/>
  <c r="AA131" i="81"/>
  <c r="Z131" i="81"/>
  <c r="Y131" i="81"/>
  <c r="X131" i="81"/>
  <c r="W131" i="81"/>
  <c r="V131" i="81"/>
  <c r="U131" i="81"/>
  <c r="T131" i="81"/>
  <c r="S131" i="81"/>
  <c r="R131" i="81"/>
  <c r="Q131" i="81"/>
  <c r="P131" i="81"/>
  <c r="O131" i="81"/>
  <c r="N131" i="81"/>
  <c r="M131" i="81"/>
  <c r="K131" i="81"/>
  <c r="L130" i="81"/>
  <c r="I129" i="81"/>
  <c r="L129" i="81" s="1"/>
  <c r="I123" i="81"/>
  <c r="L123" i="81" s="1"/>
  <c r="I122" i="81"/>
  <c r="L122" i="81" s="1"/>
  <c r="I119" i="81"/>
  <c r="L119" i="81" s="1"/>
  <c r="I118" i="81"/>
  <c r="L118" i="81" s="1"/>
  <c r="I108" i="81"/>
  <c r="L108" i="81" s="1"/>
  <c r="I107" i="81"/>
  <c r="L107" i="81" s="1"/>
  <c r="I106" i="81"/>
  <c r="L106" i="81" s="1"/>
  <c r="I105" i="81"/>
  <c r="L105" i="81" s="1"/>
  <c r="I104" i="81"/>
  <c r="L104" i="81" s="1"/>
  <c r="I103" i="81"/>
  <c r="L103" i="81" s="1"/>
  <c r="I102" i="81"/>
  <c r="L102" i="81" s="1"/>
  <c r="I101" i="81"/>
  <c r="L101" i="81" s="1"/>
  <c r="I100" i="81"/>
  <c r="L100" i="81" s="1"/>
  <c r="I99" i="81"/>
  <c r="L99" i="81" s="1"/>
  <c r="I98" i="81"/>
  <c r="L98" i="81" s="1"/>
  <c r="I95" i="81"/>
  <c r="L95" i="81" s="1"/>
  <c r="I94" i="81"/>
  <c r="L94" i="81" s="1"/>
  <c r="I93" i="81"/>
  <c r="L93" i="81" s="1"/>
  <c r="I92" i="81"/>
  <c r="L92" i="81" s="1"/>
  <c r="I91" i="81"/>
  <c r="L91" i="81" s="1"/>
  <c r="I90" i="81"/>
  <c r="L90" i="81" s="1"/>
  <c r="I89" i="81"/>
  <c r="L89" i="81" s="1"/>
  <c r="I88" i="81"/>
  <c r="L88" i="81" s="1"/>
  <c r="I85" i="81"/>
  <c r="L85" i="81" s="1"/>
  <c r="I84" i="81"/>
  <c r="L84" i="81" s="1"/>
  <c r="I83" i="81"/>
  <c r="L83" i="81" s="1"/>
  <c r="I82" i="81"/>
  <c r="L82" i="81" s="1"/>
  <c r="I81" i="81"/>
  <c r="L81" i="81" s="1"/>
  <c r="I80" i="81"/>
  <c r="L80" i="81" s="1"/>
  <c r="I79" i="81"/>
  <c r="L79" i="81" s="1"/>
  <c r="I78" i="81"/>
  <c r="L78" i="81" s="1"/>
  <c r="I77" i="81"/>
  <c r="L77" i="81" s="1"/>
  <c r="I76" i="81"/>
  <c r="L76" i="81" s="1"/>
  <c r="I75" i="81"/>
  <c r="L75" i="81" s="1"/>
  <c r="I74" i="81"/>
  <c r="L74" i="81" s="1"/>
  <c r="I71" i="81"/>
  <c r="L71" i="81" s="1"/>
  <c r="I70" i="81"/>
  <c r="L70" i="81" s="1"/>
  <c r="I69" i="81"/>
  <c r="L69" i="81" s="1"/>
  <c r="I68" i="81"/>
  <c r="L68" i="81" s="1"/>
  <c r="I67" i="81"/>
  <c r="L67" i="81" s="1"/>
  <c r="I66" i="81"/>
  <c r="L66" i="81" s="1"/>
  <c r="I65" i="81"/>
  <c r="L65" i="81" s="1"/>
  <c r="I64" i="81"/>
  <c r="L64" i="81" s="1"/>
  <c r="I63" i="81"/>
  <c r="L63" i="81" s="1"/>
  <c r="I62" i="81"/>
  <c r="L62" i="81" s="1"/>
  <c r="I61" i="81"/>
  <c r="L61" i="81" s="1"/>
  <c r="L60" i="81"/>
  <c r="I56" i="81"/>
  <c r="L56" i="81" s="1"/>
  <c r="I55" i="81"/>
  <c r="L55" i="81" s="1"/>
  <c r="I54" i="81"/>
  <c r="L54" i="81" s="1"/>
  <c r="I53" i="81"/>
  <c r="L53" i="81" s="1"/>
  <c r="I52" i="81"/>
  <c r="L52" i="81" s="1"/>
  <c r="I51" i="81"/>
  <c r="L51" i="81" s="1"/>
  <c r="I50" i="81"/>
  <c r="L50" i="81" s="1"/>
  <c r="I48" i="81"/>
  <c r="L48" i="81" s="1"/>
  <c r="I47" i="81"/>
  <c r="L47" i="81" s="1"/>
  <c r="I46" i="81"/>
  <c r="L46" i="81" s="1"/>
  <c r="I45" i="81"/>
  <c r="L45" i="81" s="1"/>
  <c r="I44" i="81"/>
  <c r="L44" i="81" s="1"/>
  <c r="I43" i="81"/>
  <c r="L43" i="81" s="1"/>
  <c r="I42" i="81"/>
  <c r="L42" i="81" s="1"/>
  <c r="I41" i="81"/>
  <c r="L41" i="81" s="1"/>
  <c r="I40" i="81"/>
  <c r="L40" i="81" s="1"/>
  <c r="I38" i="81"/>
  <c r="L38" i="81" s="1"/>
  <c r="I37" i="81"/>
  <c r="L37" i="81" s="1"/>
  <c r="I36" i="81"/>
  <c r="L36" i="81" s="1"/>
  <c r="I35" i="81"/>
  <c r="L35" i="81" s="1"/>
  <c r="I34" i="81"/>
  <c r="L34" i="81" s="1"/>
  <c r="I33" i="81"/>
  <c r="L33" i="81" s="1"/>
  <c r="I32" i="81"/>
  <c r="L32" i="81" s="1"/>
  <c r="L131" i="81"/>
  <c r="AL30" i="81"/>
  <c r="AK30" i="81"/>
  <c r="AJ30" i="81"/>
  <c r="AI30" i="81"/>
  <c r="AH30" i="81"/>
  <c r="AG30" i="81"/>
  <c r="AF30" i="81"/>
  <c r="AE30" i="81"/>
  <c r="AD30" i="81"/>
  <c r="AC30" i="81"/>
  <c r="AB30" i="81"/>
  <c r="AA30" i="81"/>
  <c r="Z30" i="81"/>
  <c r="Y30" i="81"/>
  <c r="X30" i="81"/>
  <c r="W30" i="81"/>
  <c r="V30" i="81"/>
  <c r="U30" i="81"/>
  <c r="T30" i="81"/>
  <c r="S30" i="81"/>
  <c r="R30" i="81"/>
  <c r="Q30" i="81"/>
  <c r="P30" i="81"/>
  <c r="O30" i="81"/>
  <c r="N30" i="81"/>
  <c r="M30" i="81"/>
  <c r="K30" i="81"/>
  <c r="I23" i="81"/>
  <c r="L30" i="81" s="1"/>
  <c r="AL22" i="81"/>
  <c r="AL132" i="81" s="1"/>
  <c r="AK22" i="81"/>
  <c r="AK132" i="81" s="1"/>
  <c r="AJ22" i="81"/>
  <c r="AJ132" i="81" s="1"/>
  <c r="AI22" i="81"/>
  <c r="AI132" i="81" s="1"/>
  <c r="AH22" i="81"/>
  <c r="AH132" i="81" s="1"/>
  <c r="AG22" i="81"/>
  <c r="AG132" i="81" s="1"/>
  <c r="AF22" i="81"/>
  <c r="AF132" i="81" s="1"/>
  <c r="AE22" i="81"/>
  <c r="AE132" i="81" s="1"/>
  <c r="AD22" i="81"/>
  <c r="AD132" i="81" s="1"/>
  <c r="AC22" i="81"/>
  <c r="AC132" i="81" s="1"/>
  <c r="AB22" i="81"/>
  <c r="AB132" i="81" s="1"/>
  <c r="AA22" i="81"/>
  <c r="AA132" i="81" s="1"/>
  <c r="Z22" i="81"/>
  <c r="Z132" i="81" s="1"/>
  <c r="Y22" i="81"/>
  <c r="Y132" i="81" s="1"/>
  <c r="X22" i="81"/>
  <c r="X132" i="81" s="1"/>
  <c r="W22" i="81"/>
  <c r="W132" i="81" s="1"/>
  <c r="V22" i="81"/>
  <c r="V132" i="81" s="1"/>
  <c r="U22" i="81"/>
  <c r="U132" i="81" s="1"/>
  <c r="T22" i="81"/>
  <c r="T132" i="81" s="1"/>
  <c r="S22" i="81"/>
  <c r="S132" i="81" s="1"/>
  <c r="R22" i="81"/>
  <c r="R132" i="81" s="1"/>
  <c r="Q22" i="81"/>
  <c r="Q132" i="81" s="1"/>
  <c r="P22" i="81"/>
  <c r="P132" i="81" s="1"/>
  <c r="O22" i="81"/>
  <c r="O132" i="81" s="1"/>
  <c r="N22" i="81"/>
  <c r="N132" i="81" s="1"/>
  <c r="M22" i="81"/>
  <c r="M132" i="81" s="1"/>
  <c r="K22" i="81"/>
  <c r="K132" i="81" s="1"/>
  <c r="I21" i="81"/>
  <c r="L21" i="81" s="1"/>
  <c r="I20" i="81"/>
  <c r="I19" i="81"/>
  <c r="L19" i="81" s="1"/>
  <c r="I18" i="81"/>
  <c r="L18" i="81" s="1"/>
  <c r="I17" i="81"/>
  <c r="L17" i="81" s="1"/>
  <c r="I16" i="81"/>
  <c r="L16" i="81" s="1"/>
  <c r="I13" i="81"/>
  <c r="L13" i="81" s="1"/>
  <c r="I12" i="81"/>
  <c r="L12" i="81" s="1"/>
  <c r="I11" i="81"/>
  <c r="L11" i="81" s="1"/>
  <c r="I10" i="81"/>
  <c r="L10" i="81" s="1"/>
  <c r="I9" i="81"/>
  <c r="L9" i="81" s="1"/>
  <c r="I8" i="81"/>
  <c r="L8" i="81" s="1"/>
  <c r="I7" i="81"/>
  <c r="L7" i="81" s="1"/>
  <c r="I6" i="81"/>
  <c r="L6" i="81" s="1"/>
  <c r="I5" i="81"/>
  <c r="L5" i="81" s="1"/>
  <c r="I4" i="81"/>
  <c r="L22" i="81" s="1"/>
  <c r="L132" i="81" s="1"/>
  <c r="I11" i="80"/>
  <c r="L11" i="80" s="1"/>
  <c r="AH64" i="80"/>
  <c r="AI64" i="80"/>
  <c r="AJ64" i="80"/>
  <c r="AG64" i="80"/>
  <c r="AH63" i="80"/>
  <c r="AI63" i="80"/>
  <c r="AJ63" i="80"/>
  <c r="AG63" i="80"/>
  <c r="AH62" i="80"/>
  <c r="AI62" i="80"/>
  <c r="AJ62" i="80"/>
  <c r="AG62" i="80"/>
  <c r="AH61" i="80"/>
  <c r="AI61" i="80"/>
  <c r="AJ61" i="80"/>
  <c r="AG61" i="80"/>
  <c r="AH60" i="80"/>
  <c r="AI60" i="80"/>
  <c r="AJ60" i="80"/>
  <c r="AG60" i="80"/>
  <c r="AH59" i="80"/>
  <c r="AI59" i="80"/>
  <c r="AJ59" i="80"/>
  <c r="AG59" i="80"/>
  <c r="AH58" i="80"/>
  <c r="AI58" i="80"/>
  <c r="AJ58" i="80"/>
  <c r="AG58" i="80"/>
  <c r="AH57" i="80"/>
  <c r="AI57" i="80"/>
  <c r="AJ57" i="80"/>
  <c r="AG57" i="80"/>
  <c r="X45" i="80"/>
  <c r="Y44" i="80"/>
  <c r="Y42" i="80"/>
  <c r="Y38" i="80"/>
  <c r="X37" i="80"/>
  <c r="K82" i="80"/>
  <c r="K83" i="80"/>
  <c r="K80" i="80"/>
  <c r="K81" i="80"/>
  <c r="K78" i="80"/>
  <c r="K79" i="80"/>
  <c r="K76" i="80"/>
  <c r="K77" i="80"/>
  <c r="K75" i="80"/>
  <c r="K74" i="80"/>
  <c r="M31" i="80"/>
  <c r="I26" i="80"/>
  <c r="L26" i="80" s="1"/>
  <c r="I74" i="80"/>
  <c r="I88" i="80"/>
  <c r="L88" i="80" s="1"/>
  <c r="I20" i="80"/>
  <c r="L20" i="80" s="1"/>
  <c r="I61" i="80"/>
  <c r="L61" i="80" s="1"/>
  <c r="I10" i="80"/>
  <c r="L10" i="80" s="1"/>
  <c r="L81" i="83" l="1"/>
  <c r="AI110" i="83"/>
  <c r="AE111" i="83"/>
  <c r="S111" i="83"/>
  <c r="AC111" i="83"/>
  <c r="Q111" i="83"/>
  <c r="L108" i="83"/>
  <c r="L24" i="83"/>
  <c r="AB111" i="83"/>
  <c r="P111" i="83"/>
  <c r="N111" i="83"/>
  <c r="X111" i="83"/>
  <c r="AH110" i="83"/>
  <c r="AH111" i="83" s="1"/>
  <c r="L88" i="83"/>
  <c r="AK111" i="83"/>
  <c r="Y111" i="83"/>
  <c r="M111" i="83"/>
  <c r="W111" i="83"/>
  <c r="L89" i="83"/>
  <c r="V111" i="83"/>
  <c r="L87" i="83"/>
  <c r="AA111" i="83"/>
  <c r="AL111" i="83"/>
  <c r="AG111" i="83"/>
  <c r="U111" i="83"/>
  <c r="L82" i="83"/>
  <c r="O111" i="83"/>
  <c r="Z111" i="83"/>
  <c r="AJ110" i="83"/>
  <c r="AF111" i="83"/>
  <c r="T111" i="83"/>
  <c r="L31" i="83"/>
  <c r="L110" i="83" s="1"/>
  <c r="L111" i="83" s="1"/>
  <c r="L27" i="85"/>
  <c r="M144" i="85"/>
  <c r="Y144" i="85"/>
  <c r="AK144" i="85"/>
  <c r="N144" i="85"/>
  <c r="Z144" i="85"/>
  <c r="AL144" i="85"/>
  <c r="V144" i="85"/>
  <c r="AH144" i="85"/>
  <c r="Q144" i="85"/>
  <c r="AA144" i="85"/>
  <c r="AC144" i="85"/>
  <c r="R144" i="85"/>
  <c r="AB144" i="85"/>
  <c r="AD144" i="85"/>
  <c r="X144" i="85"/>
  <c r="AJ144" i="85"/>
  <c r="O144" i="85"/>
  <c r="W144" i="85"/>
  <c r="AI144" i="85"/>
  <c r="P144" i="85"/>
  <c r="L28" i="85"/>
  <c r="U144" i="85"/>
  <c r="AG144" i="85"/>
  <c r="S144" i="85"/>
  <c r="AE144" i="85"/>
  <c r="T144" i="85"/>
  <c r="AF144" i="85"/>
  <c r="L13" i="85"/>
  <c r="L25" i="85" s="1"/>
  <c r="K33" i="85"/>
  <c r="K144" i="85" s="1"/>
  <c r="AI111" i="83"/>
  <c r="AJ111" i="83"/>
  <c r="K110" i="83"/>
  <c r="K111" i="83" s="1"/>
  <c r="L74" i="80"/>
  <c r="AL93" i="80"/>
  <c r="AK93" i="80"/>
  <c r="AJ93" i="80"/>
  <c r="AI93" i="80"/>
  <c r="AH93" i="80"/>
  <c r="AG93" i="80"/>
  <c r="AF93" i="80"/>
  <c r="AE93" i="80"/>
  <c r="AD93" i="80"/>
  <c r="AC93" i="80"/>
  <c r="AB93" i="80"/>
  <c r="AA93" i="80"/>
  <c r="Z93" i="80"/>
  <c r="Y93" i="80"/>
  <c r="X93" i="80"/>
  <c r="W93" i="80"/>
  <c r="V93" i="80"/>
  <c r="U93" i="80"/>
  <c r="T93" i="80"/>
  <c r="S93" i="80"/>
  <c r="R93" i="80"/>
  <c r="Q93" i="80"/>
  <c r="P93" i="80"/>
  <c r="O93" i="80"/>
  <c r="N93" i="80"/>
  <c r="M93" i="80"/>
  <c r="K93" i="80"/>
  <c r="I92" i="80"/>
  <c r="L92" i="80" s="1"/>
  <c r="I90" i="80"/>
  <c r="L90" i="80" s="1"/>
  <c r="I89" i="80"/>
  <c r="L89" i="80" s="1"/>
  <c r="I87" i="80"/>
  <c r="L87" i="80" s="1"/>
  <c r="I86" i="80"/>
  <c r="L86" i="80" s="1"/>
  <c r="I85" i="80"/>
  <c r="L85" i="80" s="1"/>
  <c r="I83" i="80"/>
  <c r="L83" i="80" s="1"/>
  <c r="I82" i="80"/>
  <c r="L82" i="80" s="1"/>
  <c r="I81" i="80"/>
  <c r="L81" i="80" s="1"/>
  <c r="I80" i="80"/>
  <c r="L80" i="80" s="1"/>
  <c r="I79" i="80"/>
  <c r="L79" i="80" s="1"/>
  <c r="I78" i="80"/>
  <c r="L78" i="80" s="1"/>
  <c r="I77" i="80"/>
  <c r="L77" i="80" s="1"/>
  <c r="I76" i="80"/>
  <c r="L76" i="80" s="1"/>
  <c r="I75" i="80"/>
  <c r="L75" i="80" s="1"/>
  <c r="I73" i="80"/>
  <c r="L73" i="80" s="1"/>
  <c r="I72" i="80"/>
  <c r="L72" i="80" s="1"/>
  <c r="I71" i="80"/>
  <c r="L71" i="80" s="1"/>
  <c r="I70" i="80"/>
  <c r="L70" i="80" s="1"/>
  <c r="I69" i="80"/>
  <c r="L69" i="80" s="1"/>
  <c r="I68" i="80"/>
  <c r="L68" i="80" s="1"/>
  <c r="I67" i="80"/>
  <c r="L67" i="80" s="1"/>
  <c r="I66" i="80"/>
  <c r="L66" i="80" s="1"/>
  <c r="I65" i="80"/>
  <c r="L65" i="80" s="1"/>
  <c r="I64" i="80"/>
  <c r="L64" i="80" s="1"/>
  <c r="I63" i="80"/>
  <c r="L63" i="80" s="1"/>
  <c r="I62" i="80"/>
  <c r="L62" i="80" s="1"/>
  <c r="I60" i="80"/>
  <c r="L60" i="80" s="1"/>
  <c r="I59" i="80"/>
  <c r="L59" i="80" s="1"/>
  <c r="I58" i="80"/>
  <c r="L58" i="80" s="1"/>
  <c r="I57" i="80"/>
  <c r="L57" i="80" s="1"/>
  <c r="I55" i="80"/>
  <c r="L55" i="80" s="1"/>
  <c r="I54" i="80"/>
  <c r="L54" i="80" s="1"/>
  <c r="I53" i="80"/>
  <c r="L53" i="80" s="1"/>
  <c r="I52" i="80"/>
  <c r="L52" i="80" s="1"/>
  <c r="I51" i="80"/>
  <c r="L51" i="80" s="1"/>
  <c r="I50" i="80"/>
  <c r="L50" i="80" s="1"/>
  <c r="I49" i="80"/>
  <c r="L49" i="80" s="1"/>
  <c r="I48" i="80"/>
  <c r="L48" i="80" s="1"/>
  <c r="I47" i="80"/>
  <c r="L47" i="80" s="1"/>
  <c r="I46" i="80"/>
  <c r="L46" i="80" s="1"/>
  <c r="I45" i="80"/>
  <c r="L45" i="80" s="1"/>
  <c r="I44" i="80"/>
  <c r="L44" i="80" s="1"/>
  <c r="I43" i="80"/>
  <c r="L43" i="80" s="1"/>
  <c r="I42" i="80"/>
  <c r="L42" i="80" s="1"/>
  <c r="I41" i="80"/>
  <c r="L41" i="80" s="1"/>
  <c r="I40" i="80"/>
  <c r="L40" i="80" s="1"/>
  <c r="I39" i="80"/>
  <c r="L39" i="80" s="1"/>
  <c r="I38" i="80"/>
  <c r="L38" i="80" s="1"/>
  <c r="I37" i="80"/>
  <c r="L37" i="80" s="1"/>
  <c r="I36" i="80"/>
  <c r="L36" i="80" s="1"/>
  <c r="I35" i="80"/>
  <c r="L35" i="80" s="1"/>
  <c r="AL34" i="80"/>
  <c r="AK34" i="80"/>
  <c r="AJ34" i="80"/>
  <c r="AI34" i="80"/>
  <c r="AH34" i="80"/>
  <c r="AG34" i="80"/>
  <c r="AF34" i="80"/>
  <c r="AE34" i="80"/>
  <c r="AD34" i="80"/>
  <c r="AC34" i="80"/>
  <c r="AB34" i="80"/>
  <c r="AA34" i="80"/>
  <c r="Z34" i="80"/>
  <c r="Y34" i="80"/>
  <c r="X34" i="80"/>
  <c r="W34" i="80"/>
  <c r="V34" i="80"/>
  <c r="U34" i="80"/>
  <c r="T34" i="80"/>
  <c r="S34" i="80"/>
  <c r="R34" i="80"/>
  <c r="Q34" i="80"/>
  <c r="P34" i="80"/>
  <c r="O34" i="80"/>
  <c r="N34" i="80"/>
  <c r="M34" i="80"/>
  <c r="M94" i="80" s="1"/>
  <c r="K34" i="80"/>
  <c r="I32" i="80"/>
  <c r="L32" i="80" s="1"/>
  <c r="L34" i="80" s="1"/>
  <c r="AL31" i="80"/>
  <c r="AK31" i="80"/>
  <c r="AJ31" i="80"/>
  <c r="AI31" i="80"/>
  <c r="AH31" i="80"/>
  <c r="AG31" i="80"/>
  <c r="AF31" i="80"/>
  <c r="AE31" i="80"/>
  <c r="AD31" i="80"/>
  <c r="AC31" i="80"/>
  <c r="AB31" i="80"/>
  <c r="AA31" i="80"/>
  <c r="Z31" i="80"/>
  <c r="Y31" i="80"/>
  <c r="X31" i="80"/>
  <c r="W31" i="80"/>
  <c r="V31" i="80"/>
  <c r="U31" i="80"/>
  <c r="T31" i="80"/>
  <c r="S31" i="80"/>
  <c r="R31" i="80"/>
  <c r="Q31" i="80"/>
  <c r="P31" i="80"/>
  <c r="O31" i="80"/>
  <c r="N31" i="80"/>
  <c r="K31" i="80"/>
  <c r="I30" i="80"/>
  <c r="L30" i="80" s="1"/>
  <c r="I29" i="80"/>
  <c r="L29" i="80" s="1"/>
  <c r="I28" i="80"/>
  <c r="L28" i="80" s="1"/>
  <c r="I27" i="80"/>
  <c r="L27" i="80" s="1"/>
  <c r="I25" i="80"/>
  <c r="L25" i="80" s="1"/>
  <c r="I24" i="80"/>
  <c r="L24" i="80" s="1"/>
  <c r="I23" i="80"/>
  <c r="L23" i="80" s="1"/>
  <c r="I21" i="80"/>
  <c r="L21" i="80" s="1"/>
  <c r="I19" i="80"/>
  <c r="L19" i="80" s="1"/>
  <c r="I18" i="80"/>
  <c r="L18" i="80" s="1"/>
  <c r="I17" i="80"/>
  <c r="L17" i="80" s="1"/>
  <c r="I15" i="80"/>
  <c r="L15" i="80" s="1"/>
  <c r="I14" i="80"/>
  <c r="L14" i="80" s="1"/>
  <c r="I13" i="80"/>
  <c r="L13" i="80" s="1"/>
  <c r="I9" i="80"/>
  <c r="L9" i="80" s="1"/>
  <c r="I8" i="80"/>
  <c r="L8" i="80" s="1"/>
  <c r="I7" i="80"/>
  <c r="L7" i="80" s="1"/>
  <c r="I6" i="80"/>
  <c r="L6" i="80" s="1"/>
  <c r="I5" i="80"/>
  <c r="L5" i="80" s="1"/>
  <c r="I4" i="80"/>
  <c r="L4" i="80" s="1"/>
  <c r="K26" i="79"/>
  <c r="K24" i="79"/>
  <c r="L33" i="85" l="1"/>
  <c r="L143" i="85"/>
  <c r="AK94" i="80"/>
  <c r="Y94" i="80"/>
  <c r="AL94" i="80"/>
  <c r="N94" i="80"/>
  <c r="Z94" i="80"/>
  <c r="P94" i="80"/>
  <c r="K94" i="80"/>
  <c r="X94" i="80"/>
  <c r="AJ94" i="80"/>
  <c r="O94" i="80"/>
  <c r="AA94" i="80"/>
  <c r="AB94" i="80"/>
  <c r="Q94" i="80"/>
  <c r="AC94" i="80"/>
  <c r="R94" i="80"/>
  <c r="S94" i="80"/>
  <c r="AE94" i="80"/>
  <c r="T94" i="80"/>
  <c r="AF94" i="80"/>
  <c r="AD94" i="80"/>
  <c r="U94" i="80"/>
  <c r="AG94" i="80"/>
  <c r="V94" i="80"/>
  <c r="AH94" i="80"/>
  <c r="W94" i="80"/>
  <c r="AI94" i="80"/>
  <c r="L31" i="80"/>
  <c r="L93" i="80"/>
  <c r="I17" i="79"/>
  <c r="L17" i="79" s="1"/>
  <c r="I18" i="79"/>
  <c r="L18" i="79" s="1"/>
  <c r="I19" i="79"/>
  <c r="L19" i="79" s="1"/>
  <c r="I20" i="79"/>
  <c r="L20" i="79" s="1"/>
  <c r="I34" i="79"/>
  <c r="L34" i="79" s="1"/>
  <c r="I35" i="79"/>
  <c r="L35" i="79" s="1"/>
  <c r="I36" i="79"/>
  <c r="L36" i="79" s="1"/>
  <c r="I37" i="79"/>
  <c r="L37" i="79" s="1"/>
  <c r="I38" i="79"/>
  <c r="L38" i="79" s="1"/>
  <c r="I39" i="79"/>
  <c r="L39" i="79" s="1"/>
  <c r="I40" i="79"/>
  <c r="L40" i="79" s="1"/>
  <c r="I41" i="79"/>
  <c r="L41" i="79" s="1"/>
  <c r="I42" i="79"/>
  <c r="L42" i="79" s="1"/>
  <c r="I43" i="79"/>
  <c r="L43" i="79" s="1"/>
  <c r="I44" i="79"/>
  <c r="L44" i="79" s="1"/>
  <c r="I46" i="79"/>
  <c r="L46" i="79" s="1"/>
  <c r="I47" i="79"/>
  <c r="L47" i="79" s="1"/>
  <c r="I48" i="79"/>
  <c r="L48" i="79" s="1"/>
  <c r="I49" i="79"/>
  <c r="L49" i="79" s="1"/>
  <c r="I50" i="79"/>
  <c r="L50" i="79" s="1"/>
  <c r="I51" i="79"/>
  <c r="L51" i="79"/>
  <c r="I52" i="79"/>
  <c r="L52" i="79" s="1"/>
  <c r="I53" i="79"/>
  <c r="L53" i="79" s="1"/>
  <c r="I54" i="79"/>
  <c r="L54" i="79" s="1"/>
  <c r="I55" i="79"/>
  <c r="L55" i="79" s="1"/>
  <c r="I56" i="79"/>
  <c r="L56" i="79" s="1"/>
  <c r="I57" i="79"/>
  <c r="L57" i="79" s="1"/>
  <c r="I58" i="79"/>
  <c r="L58" i="79" s="1"/>
  <c r="I59" i="79"/>
  <c r="L59" i="79" s="1"/>
  <c r="I60" i="79"/>
  <c r="L60" i="79" s="1"/>
  <c r="I61" i="79"/>
  <c r="L61" i="79" s="1"/>
  <c r="I62" i="79"/>
  <c r="L62" i="79" s="1"/>
  <c r="I63" i="79"/>
  <c r="L63" i="79" s="1"/>
  <c r="I64" i="79"/>
  <c r="L64" i="79" s="1"/>
  <c r="I65" i="79"/>
  <c r="L65" i="79" s="1"/>
  <c r="I66" i="79"/>
  <c r="L66" i="79"/>
  <c r="I67" i="79"/>
  <c r="L67" i="79"/>
  <c r="I68" i="79"/>
  <c r="L68" i="79" s="1"/>
  <c r="I69" i="79"/>
  <c r="L69" i="79" s="1"/>
  <c r="I70" i="79"/>
  <c r="L70" i="79" s="1"/>
  <c r="I71" i="79"/>
  <c r="L71" i="79" s="1"/>
  <c r="I72" i="79"/>
  <c r="L72" i="79" s="1"/>
  <c r="I73" i="79"/>
  <c r="L73" i="79" s="1"/>
  <c r="I74" i="79"/>
  <c r="L74" i="79" s="1"/>
  <c r="I75" i="79"/>
  <c r="L75" i="79" s="1"/>
  <c r="I76" i="79"/>
  <c r="L76" i="79" s="1"/>
  <c r="I77" i="79"/>
  <c r="L77" i="79" s="1"/>
  <c r="I78" i="79"/>
  <c r="L78" i="79" s="1"/>
  <c r="I79" i="79"/>
  <c r="L79" i="79" s="1"/>
  <c r="I80" i="79"/>
  <c r="L80" i="79" s="1"/>
  <c r="I82" i="79"/>
  <c r="L82" i="79" s="1"/>
  <c r="I83" i="79"/>
  <c r="L83" i="79"/>
  <c r="I84" i="79"/>
  <c r="L84" i="79" s="1"/>
  <c r="I85" i="79"/>
  <c r="L85" i="79" s="1"/>
  <c r="I86" i="79"/>
  <c r="L86" i="79"/>
  <c r="I87" i="79"/>
  <c r="L87" i="79" s="1"/>
  <c r="I88" i="79"/>
  <c r="L88" i="79" s="1"/>
  <c r="I89" i="79"/>
  <c r="L89" i="79" s="1"/>
  <c r="I90" i="79"/>
  <c r="L90" i="79" s="1"/>
  <c r="I91" i="79"/>
  <c r="L91" i="79"/>
  <c r="I92" i="79"/>
  <c r="L92" i="79" s="1"/>
  <c r="I93" i="79"/>
  <c r="L93" i="79"/>
  <c r="I94" i="79"/>
  <c r="L94" i="79" s="1"/>
  <c r="I95" i="79"/>
  <c r="L95" i="79" s="1"/>
  <c r="I96" i="79"/>
  <c r="L96" i="79" s="1"/>
  <c r="I97" i="79"/>
  <c r="L97" i="79" s="1"/>
  <c r="I98" i="79"/>
  <c r="L98" i="79" s="1"/>
  <c r="I99" i="79"/>
  <c r="L99" i="79" s="1"/>
  <c r="I100" i="79"/>
  <c r="L100" i="79" s="1"/>
  <c r="I101" i="79"/>
  <c r="L101" i="79" s="1"/>
  <c r="AL102" i="79"/>
  <c r="AK102" i="79"/>
  <c r="AJ102" i="79"/>
  <c r="AI102" i="79"/>
  <c r="AH102" i="79"/>
  <c r="AG102" i="79"/>
  <c r="AF102" i="79"/>
  <c r="AE102" i="79"/>
  <c r="AD102" i="79"/>
  <c r="AC102" i="79"/>
  <c r="AB102" i="79"/>
  <c r="AA102" i="79"/>
  <c r="Z102" i="79"/>
  <c r="Y102" i="79"/>
  <c r="X102" i="79"/>
  <c r="W102" i="79"/>
  <c r="V102" i="79"/>
  <c r="U102" i="79"/>
  <c r="T102" i="79"/>
  <c r="S102" i="79"/>
  <c r="R102" i="79"/>
  <c r="Q102" i="79"/>
  <c r="P102" i="79"/>
  <c r="O102" i="79"/>
  <c r="N102" i="79"/>
  <c r="M102" i="79"/>
  <c r="K102" i="79"/>
  <c r="I33" i="79"/>
  <c r="L33" i="79" s="1"/>
  <c r="I32" i="79"/>
  <c r="L32" i="79" s="1"/>
  <c r="I31" i="79"/>
  <c r="L31" i="79" s="1"/>
  <c r="I30" i="79"/>
  <c r="L30" i="79" s="1"/>
  <c r="I29" i="79"/>
  <c r="AL28" i="79"/>
  <c r="AK28" i="79"/>
  <c r="AJ28" i="79"/>
  <c r="AI28" i="79"/>
  <c r="AH28" i="79"/>
  <c r="AG28" i="79"/>
  <c r="AF28" i="79"/>
  <c r="AE28" i="79"/>
  <c r="AD28" i="79"/>
  <c r="AC28" i="79"/>
  <c r="AB28" i="79"/>
  <c r="AA28" i="79"/>
  <c r="Z28" i="79"/>
  <c r="Y28" i="79"/>
  <c r="X28" i="79"/>
  <c r="W28" i="79"/>
  <c r="V28" i="79"/>
  <c r="U28" i="79"/>
  <c r="T28" i="79"/>
  <c r="S28" i="79"/>
  <c r="R28" i="79"/>
  <c r="Q28" i="79"/>
  <c r="P28" i="79"/>
  <c r="O28" i="79"/>
  <c r="N28" i="79"/>
  <c r="M28" i="79"/>
  <c r="I27" i="79"/>
  <c r="L27" i="79" s="1"/>
  <c r="I26" i="79"/>
  <c r="L26" i="79" s="1"/>
  <c r="I25" i="79"/>
  <c r="L25" i="79" s="1"/>
  <c r="K28" i="79"/>
  <c r="I24" i="79"/>
  <c r="I23" i="79"/>
  <c r="AL22" i="79"/>
  <c r="AK22" i="79"/>
  <c r="AJ22" i="79"/>
  <c r="AI22" i="79"/>
  <c r="AH22" i="79"/>
  <c r="AG22" i="79"/>
  <c r="AF22" i="79"/>
  <c r="AE22" i="79"/>
  <c r="AD22" i="79"/>
  <c r="AC22" i="79"/>
  <c r="AB22" i="79"/>
  <c r="AA22" i="79"/>
  <c r="Z22" i="79"/>
  <c r="Y22" i="79"/>
  <c r="X22" i="79"/>
  <c r="W22" i="79"/>
  <c r="V22" i="79"/>
  <c r="U22" i="79"/>
  <c r="T22" i="79"/>
  <c r="S22" i="79"/>
  <c r="R22" i="79"/>
  <c r="Q22" i="79"/>
  <c r="P22" i="79"/>
  <c r="O22" i="79"/>
  <c r="N22" i="79"/>
  <c r="M22" i="79"/>
  <c r="I21" i="79"/>
  <c r="L21" i="79" s="1"/>
  <c r="I16" i="79"/>
  <c r="L16" i="79" s="1"/>
  <c r="I15" i="79"/>
  <c r="L15" i="79" s="1"/>
  <c r="I14" i="79"/>
  <c r="L14" i="79" s="1"/>
  <c r="I13" i="79"/>
  <c r="I12" i="79"/>
  <c r="L12" i="79" s="1"/>
  <c r="I11" i="79"/>
  <c r="L11" i="79" s="1"/>
  <c r="I10" i="79"/>
  <c r="L10" i="79" s="1"/>
  <c r="I9" i="79"/>
  <c r="L9" i="79" s="1"/>
  <c r="I8" i="79"/>
  <c r="L8" i="79" s="1"/>
  <c r="I7" i="79"/>
  <c r="L7" i="79" s="1"/>
  <c r="I6" i="79"/>
  <c r="L6" i="79" s="1"/>
  <c r="I5" i="79"/>
  <c r="L5" i="79" s="1"/>
  <c r="I4" i="79"/>
  <c r="AH53" i="78"/>
  <c r="AI53" i="78"/>
  <c r="AJ53" i="78"/>
  <c r="AG53" i="78"/>
  <c r="K71" i="78"/>
  <c r="K16" i="78"/>
  <c r="K14" i="78"/>
  <c r="K23" i="78"/>
  <c r="X30" i="78"/>
  <c r="X28" i="78"/>
  <c r="Z27" i="78"/>
  <c r="Y27" i="78"/>
  <c r="X26" i="78"/>
  <c r="X25" i="78"/>
  <c r="Z24" i="78"/>
  <c r="Y24" i="78"/>
  <c r="AH52" i="78"/>
  <c r="AI52" i="78"/>
  <c r="AJ52" i="78"/>
  <c r="AG52" i="78"/>
  <c r="AH51" i="78"/>
  <c r="AI51" i="78"/>
  <c r="AJ51" i="78"/>
  <c r="AG51" i="78"/>
  <c r="AH50" i="78"/>
  <c r="AI50" i="78"/>
  <c r="AJ50" i="78"/>
  <c r="AG50" i="78"/>
  <c r="AH49" i="78"/>
  <c r="AI49" i="78"/>
  <c r="AJ49" i="78"/>
  <c r="AG49" i="78"/>
  <c r="AH48" i="78"/>
  <c r="AI48" i="78"/>
  <c r="AJ48" i="78"/>
  <c r="AG48" i="78"/>
  <c r="I55" i="78"/>
  <c r="L55" i="78" s="1"/>
  <c r="I35" i="78"/>
  <c r="L35" i="78" s="1"/>
  <c r="I36" i="78"/>
  <c r="L36" i="78" s="1"/>
  <c r="I37" i="78"/>
  <c r="L37" i="78" s="1"/>
  <c r="I38" i="78"/>
  <c r="L38" i="78" s="1"/>
  <c r="I32" i="78"/>
  <c r="L32" i="78" s="1"/>
  <c r="I33" i="78"/>
  <c r="L33" i="78" s="1"/>
  <c r="I34" i="78"/>
  <c r="L34" i="78" s="1"/>
  <c r="K7" i="78"/>
  <c r="K9" i="78"/>
  <c r="K6" i="78"/>
  <c r="K8" i="78"/>
  <c r="K5" i="78"/>
  <c r="K10" i="78"/>
  <c r="K11" i="78"/>
  <c r="K12" i="78"/>
  <c r="AL63" i="78"/>
  <c r="AK63" i="78"/>
  <c r="AJ63" i="78"/>
  <c r="AI63" i="78"/>
  <c r="AH63" i="78"/>
  <c r="AG63" i="78"/>
  <c r="AF63" i="78"/>
  <c r="AE63" i="78"/>
  <c r="AD63" i="78"/>
  <c r="AC63" i="78"/>
  <c r="AB63" i="78"/>
  <c r="AA63" i="78"/>
  <c r="Z63" i="78"/>
  <c r="Y63" i="78"/>
  <c r="X63" i="78"/>
  <c r="W63" i="78"/>
  <c r="V63" i="78"/>
  <c r="U63" i="78"/>
  <c r="T63" i="78"/>
  <c r="S63" i="78"/>
  <c r="R63" i="78"/>
  <c r="Q63" i="78"/>
  <c r="P63" i="78"/>
  <c r="O63" i="78"/>
  <c r="N63" i="78"/>
  <c r="M63" i="78"/>
  <c r="K63" i="78"/>
  <c r="I62" i="78"/>
  <c r="L62" i="78" s="1"/>
  <c r="I61" i="78"/>
  <c r="L61" i="78" s="1"/>
  <c r="I60" i="78"/>
  <c r="L60" i="78" s="1"/>
  <c r="I59" i="78"/>
  <c r="L59" i="78" s="1"/>
  <c r="I58" i="78"/>
  <c r="L58" i="78" s="1"/>
  <c r="I57" i="78"/>
  <c r="L57" i="78" s="1"/>
  <c r="I56" i="78"/>
  <c r="L56" i="78" s="1"/>
  <c r="I54" i="78"/>
  <c r="L54" i="78" s="1"/>
  <c r="I53" i="78"/>
  <c r="L53" i="78" s="1"/>
  <c r="I52" i="78"/>
  <c r="L52" i="78" s="1"/>
  <c r="I51" i="78"/>
  <c r="L51" i="78" s="1"/>
  <c r="I50" i="78"/>
  <c r="L50" i="78" s="1"/>
  <c r="I49" i="78"/>
  <c r="L49" i="78" s="1"/>
  <c r="I48" i="78"/>
  <c r="L48" i="78" s="1"/>
  <c r="I47" i="78"/>
  <c r="L47" i="78" s="1"/>
  <c r="I46" i="78"/>
  <c r="L46" i="78" s="1"/>
  <c r="I45" i="78"/>
  <c r="L45" i="78" s="1"/>
  <c r="I44" i="78"/>
  <c r="L44" i="78" s="1"/>
  <c r="I43" i="78"/>
  <c r="L43" i="78" s="1"/>
  <c r="I42" i="78"/>
  <c r="L42" i="78" s="1"/>
  <c r="I41" i="78"/>
  <c r="L41" i="78" s="1"/>
  <c r="I40" i="78"/>
  <c r="L40" i="78" s="1"/>
  <c r="L39" i="78"/>
  <c r="I31" i="78"/>
  <c r="L31" i="78" s="1"/>
  <c r="I30" i="78"/>
  <c r="L30" i="78" s="1"/>
  <c r="I29" i="78"/>
  <c r="L29" i="78" s="1"/>
  <c r="I28" i="78"/>
  <c r="L28" i="78" s="1"/>
  <c r="I27" i="78"/>
  <c r="L27" i="78" s="1"/>
  <c r="I26" i="78"/>
  <c r="L26" i="78" s="1"/>
  <c r="I25" i="78"/>
  <c r="L25" i="78" s="1"/>
  <c r="I24" i="78"/>
  <c r="L24" i="78" s="1"/>
  <c r="I23" i="78"/>
  <c r="L23" i="78" s="1"/>
  <c r="I22" i="78"/>
  <c r="L22" i="78" s="1"/>
  <c r="L63" i="78" s="1"/>
  <c r="AL21" i="78"/>
  <c r="AK21" i="78"/>
  <c r="AJ21" i="78"/>
  <c r="AI21" i="78"/>
  <c r="AH21" i="78"/>
  <c r="AG21" i="78"/>
  <c r="AF21" i="78"/>
  <c r="AE21" i="78"/>
  <c r="AD21" i="78"/>
  <c r="AC21" i="78"/>
  <c r="AB21" i="78"/>
  <c r="AA21" i="78"/>
  <c r="Z21" i="78"/>
  <c r="Y21" i="78"/>
  <c r="X21" i="78"/>
  <c r="W21" i="78"/>
  <c r="V21" i="78"/>
  <c r="U21" i="78"/>
  <c r="T21" i="78"/>
  <c r="S21" i="78"/>
  <c r="R21" i="78"/>
  <c r="Q21" i="78"/>
  <c r="P21" i="78"/>
  <c r="O21" i="78"/>
  <c r="N21" i="78"/>
  <c r="M21" i="78"/>
  <c r="K21" i="78"/>
  <c r="I19" i="78"/>
  <c r="L19" i="78" s="1"/>
  <c r="L21" i="78" s="1"/>
  <c r="AL18" i="78"/>
  <c r="AL64" i="78" s="1"/>
  <c r="AK18" i="78"/>
  <c r="AK64" i="78" s="1"/>
  <c r="AJ18" i="78"/>
  <c r="AJ64" i="78" s="1"/>
  <c r="AI18" i="78"/>
  <c r="AI64" i="78" s="1"/>
  <c r="AH18" i="78"/>
  <c r="AH64" i="78" s="1"/>
  <c r="AG18" i="78"/>
  <c r="AG64" i="78" s="1"/>
  <c r="AF18" i="78"/>
  <c r="AF64" i="78" s="1"/>
  <c r="AE18" i="78"/>
  <c r="AE64" i="78" s="1"/>
  <c r="AD18" i="78"/>
  <c r="AD64" i="78" s="1"/>
  <c r="AC18" i="78"/>
  <c r="AC64" i="78" s="1"/>
  <c r="AB18" i="78"/>
  <c r="AB64" i="78" s="1"/>
  <c r="AA18" i="78"/>
  <c r="AA64" i="78" s="1"/>
  <c r="Z18" i="78"/>
  <c r="Z64" i="78" s="1"/>
  <c r="Y18" i="78"/>
  <c r="Y64" i="78" s="1"/>
  <c r="X18" i="78"/>
  <c r="X64" i="78" s="1"/>
  <c r="W18" i="78"/>
  <c r="W64" i="78" s="1"/>
  <c r="V18" i="78"/>
  <c r="V64" i="78" s="1"/>
  <c r="U18" i="78"/>
  <c r="U64" i="78" s="1"/>
  <c r="T18" i="78"/>
  <c r="T64" i="78" s="1"/>
  <c r="S18" i="78"/>
  <c r="S64" i="78" s="1"/>
  <c r="R18" i="78"/>
  <c r="R64" i="78" s="1"/>
  <c r="Q18" i="78"/>
  <c r="Q64" i="78" s="1"/>
  <c r="P18" i="78"/>
  <c r="P64" i="78" s="1"/>
  <c r="O18" i="78"/>
  <c r="O64" i="78" s="1"/>
  <c r="N18" i="78"/>
  <c r="N64" i="78" s="1"/>
  <c r="M18" i="78"/>
  <c r="M64" i="78" s="1"/>
  <c r="K18" i="78"/>
  <c r="K64" i="78" s="1"/>
  <c r="I17" i="78"/>
  <c r="L17" i="78" s="1"/>
  <c r="I16" i="78"/>
  <c r="L16" i="78" s="1"/>
  <c r="I15" i="78"/>
  <c r="L15" i="78" s="1"/>
  <c r="I14" i="78"/>
  <c r="L14" i="78" s="1"/>
  <c r="I13" i="78"/>
  <c r="L13" i="78" s="1"/>
  <c r="I12" i="78"/>
  <c r="L12" i="78" s="1"/>
  <c r="I11" i="78"/>
  <c r="L11" i="78" s="1"/>
  <c r="I10" i="78"/>
  <c r="L10" i="78" s="1"/>
  <c r="I9" i="78"/>
  <c r="L9" i="78" s="1"/>
  <c r="I8" i="78"/>
  <c r="L8" i="78" s="1"/>
  <c r="I7" i="78"/>
  <c r="L7" i="78" s="1"/>
  <c r="I6" i="78"/>
  <c r="L6" i="78" s="1"/>
  <c r="I5" i="78"/>
  <c r="L5" i="78" s="1"/>
  <c r="I4" i="78"/>
  <c r="L4" i="78" s="1"/>
  <c r="L18" i="78" s="1"/>
  <c r="L64" i="78" s="1"/>
  <c r="K141" i="77"/>
  <c r="K142" i="77"/>
  <c r="K143" i="77"/>
  <c r="K144" i="77"/>
  <c r="K140" i="77"/>
  <c r="K26" i="77"/>
  <c r="L144" i="85" l="1"/>
  <c r="L94" i="80"/>
  <c r="AE103" i="79"/>
  <c r="AD103" i="79"/>
  <c r="AF103" i="79"/>
  <c r="AG103" i="79"/>
  <c r="AI103" i="79"/>
  <c r="AC103" i="79"/>
  <c r="V103" i="79"/>
  <c r="AH103" i="79"/>
  <c r="AJ103" i="79"/>
  <c r="AK103" i="79"/>
  <c r="AL103" i="79"/>
  <c r="L102" i="79"/>
  <c r="W103" i="79"/>
  <c r="X103" i="79"/>
  <c r="M103" i="79"/>
  <c r="Y103" i="79"/>
  <c r="N103" i="79"/>
  <c r="Z103" i="79"/>
  <c r="O103" i="79"/>
  <c r="AA103" i="79"/>
  <c r="P103" i="79"/>
  <c r="AB103" i="79"/>
  <c r="Q103" i="79"/>
  <c r="R103" i="79"/>
  <c r="S103" i="79"/>
  <c r="T103" i="79"/>
  <c r="U103" i="79"/>
  <c r="L13" i="79"/>
  <c r="L22" i="79" s="1"/>
  <c r="K22" i="79"/>
  <c r="K103" i="79" s="1"/>
  <c r="L24" i="79"/>
  <c r="L28" i="79" s="1"/>
  <c r="K25" i="77"/>
  <c r="L103" i="79" l="1"/>
  <c r="I30" i="77"/>
  <c r="L30" i="77" s="1"/>
  <c r="I29" i="77"/>
  <c r="L29" i="77" s="1"/>
  <c r="K13" i="77"/>
  <c r="I41" i="77" l="1"/>
  <c r="L41" i="77" s="1"/>
  <c r="I42" i="77"/>
  <c r="L42" i="77" s="1"/>
  <c r="I43" i="77"/>
  <c r="L43" i="77" s="1"/>
  <c r="I44" i="77"/>
  <c r="L44" i="77" s="1"/>
  <c r="I45" i="77"/>
  <c r="L45" i="77" s="1"/>
  <c r="I46" i="77"/>
  <c r="L46" i="77" s="1"/>
  <c r="I47" i="77"/>
  <c r="L47" i="77" s="1"/>
  <c r="I48" i="77"/>
  <c r="L48" i="77" s="1"/>
  <c r="I49" i="77"/>
  <c r="L49" i="77" s="1"/>
  <c r="I50" i="77"/>
  <c r="L50" i="77" s="1"/>
  <c r="I51" i="77"/>
  <c r="L51" i="77" s="1"/>
  <c r="I53" i="77"/>
  <c r="L53" i="77" s="1"/>
  <c r="I54" i="77"/>
  <c r="L54" i="77" s="1"/>
  <c r="I55" i="77"/>
  <c r="L55" i="77" s="1"/>
  <c r="I56" i="77"/>
  <c r="L56" i="77" s="1"/>
  <c r="I57" i="77"/>
  <c r="L57" i="77" s="1"/>
  <c r="I58" i="77"/>
  <c r="L58" i="77" s="1"/>
  <c r="I59" i="77"/>
  <c r="L59" i="77" s="1"/>
  <c r="I60" i="77"/>
  <c r="L60" i="77" s="1"/>
  <c r="I61" i="77"/>
  <c r="L61" i="77" s="1"/>
  <c r="I62" i="77"/>
  <c r="L62" i="77" s="1"/>
  <c r="I63" i="77"/>
  <c r="L63" i="77"/>
  <c r="I64" i="77"/>
  <c r="L64" i="77" s="1"/>
  <c r="I66" i="77"/>
  <c r="L66" i="77" s="1"/>
  <c r="I67" i="77"/>
  <c r="L67" i="77" s="1"/>
  <c r="I68" i="77"/>
  <c r="L68" i="77" s="1"/>
  <c r="I69" i="77"/>
  <c r="L69" i="77" s="1"/>
  <c r="I70" i="77"/>
  <c r="L70" i="77" s="1"/>
  <c r="I71" i="77"/>
  <c r="L71" i="77" s="1"/>
  <c r="I72" i="77"/>
  <c r="L72" i="77" s="1"/>
  <c r="I73" i="77"/>
  <c r="L73" i="77" s="1"/>
  <c r="I74" i="77"/>
  <c r="L74" i="77" s="1"/>
  <c r="I75" i="77"/>
  <c r="L75" i="77" s="1"/>
  <c r="I76" i="77"/>
  <c r="L76" i="77" s="1"/>
  <c r="I77" i="77"/>
  <c r="L77" i="77" s="1"/>
  <c r="I78" i="77"/>
  <c r="L78" i="77" s="1"/>
  <c r="I79" i="77"/>
  <c r="L79" i="77" s="1"/>
  <c r="I80" i="77"/>
  <c r="L80" i="77" s="1"/>
  <c r="I81" i="77"/>
  <c r="L81" i="77" s="1"/>
  <c r="I82" i="77"/>
  <c r="L82" i="77" s="1"/>
  <c r="I83" i="77"/>
  <c r="L83" i="77" s="1"/>
  <c r="I84" i="77"/>
  <c r="L84" i="77" s="1"/>
  <c r="I85" i="77"/>
  <c r="L85" i="77" s="1"/>
  <c r="I86" i="77"/>
  <c r="L86" i="77" s="1"/>
  <c r="I87" i="77"/>
  <c r="L87" i="77" s="1"/>
  <c r="I88" i="77"/>
  <c r="L88" i="77" s="1"/>
  <c r="I89" i="77"/>
  <c r="L89" i="77" s="1"/>
  <c r="I90" i="77"/>
  <c r="L90" i="77" s="1"/>
  <c r="I91" i="77"/>
  <c r="L91" i="77" s="1"/>
  <c r="I92" i="77"/>
  <c r="L92" i="77" s="1"/>
  <c r="I93" i="77"/>
  <c r="L93" i="77" s="1"/>
  <c r="I94" i="77"/>
  <c r="L94" i="77" s="1"/>
  <c r="I95" i="77"/>
  <c r="L95" i="77" s="1"/>
  <c r="I96" i="77"/>
  <c r="L96" i="77" s="1"/>
  <c r="I97" i="77"/>
  <c r="L97" i="77" s="1"/>
  <c r="I98" i="77"/>
  <c r="L98" i="77" s="1"/>
  <c r="I99" i="77"/>
  <c r="L99" i="77" s="1"/>
  <c r="I100" i="77"/>
  <c r="L100" i="77" s="1"/>
  <c r="I101" i="77"/>
  <c r="L101" i="77" s="1"/>
  <c r="I102" i="77"/>
  <c r="L102" i="77" s="1"/>
  <c r="I103" i="77"/>
  <c r="L103" i="77" s="1"/>
  <c r="I104" i="77"/>
  <c r="L104" i="77" s="1"/>
  <c r="I105" i="77"/>
  <c r="L105" i="77" s="1"/>
  <c r="I106" i="77"/>
  <c r="L106" i="77" s="1"/>
  <c r="I107" i="77"/>
  <c r="L107" i="77" s="1"/>
  <c r="I108" i="77"/>
  <c r="L108" i="77" s="1"/>
  <c r="I109" i="77"/>
  <c r="L109" i="77" s="1"/>
  <c r="I110" i="77"/>
  <c r="L110" i="77" s="1"/>
  <c r="I111" i="77"/>
  <c r="L111" i="77" s="1"/>
  <c r="I112" i="77"/>
  <c r="L112" i="77" s="1"/>
  <c r="I113" i="77"/>
  <c r="L113" i="77" s="1"/>
  <c r="I114" i="77"/>
  <c r="L114" i="77" s="1"/>
  <c r="I115" i="77"/>
  <c r="L115" i="77" s="1"/>
  <c r="I116" i="77"/>
  <c r="L116" i="77" s="1"/>
  <c r="I117" i="77"/>
  <c r="L117" i="77" s="1"/>
  <c r="I118" i="77"/>
  <c r="L118" i="77" s="1"/>
  <c r="I119" i="77"/>
  <c r="L119" i="77" s="1"/>
  <c r="I121" i="77"/>
  <c r="L121" i="77" s="1"/>
  <c r="I122" i="77"/>
  <c r="L122" i="77" s="1"/>
  <c r="I123" i="77"/>
  <c r="L123" i="77" s="1"/>
  <c r="I124" i="77"/>
  <c r="L124" i="77" s="1"/>
  <c r="I125" i="77"/>
  <c r="L125" i="77" s="1"/>
  <c r="I126" i="77"/>
  <c r="L126" i="77" s="1"/>
  <c r="I127" i="77"/>
  <c r="L127" i="77" s="1"/>
  <c r="I128" i="77"/>
  <c r="L128" i="77" s="1"/>
  <c r="I129" i="77"/>
  <c r="L129" i="77" s="1"/>
  <c r="I130" i="77"/>
  <c r="L130" i="77" s="1"/>
  <c r="I132" i="77"/>
  <c r="L132" i="77" s="1"/>
  <c r="I133" i="77"/>
  <c r="L133" i="77" s="1"/>
  <c r="I134" i="77"/>
  <c r="L134" i="77" s="1"/>
  <c r="I135" i="77"/>
  <c r="L135" i="77"/>
  <c r="I136" i="77"/>
  <c r="L136" i="77" s="1"/>
  <c r="I137" i="77"/>
  <c r="L137" i="77" s="1"/>
  <c r="I138" i="77"/>
  <c r="L138" i="77" s="1"/>
  <c r="I140" i="77"/>
  <c r="L140" i="77" s="1"/>
  <c r="I141" i="77"/>
  <c r="L141" i="77"/>
  <c r="I142" i="77"/>
  <c r="L142" i="77" s="1"/>
  <c r="I143" i="77"/>
  <c r="L143" i="77" s="1"/>
  <c r="I144" i="77"/>
  <c r="L144" i="77" s="1"/>
  <c r="AL146" i="77"/>
  <c r="AK146" i="77"/>
  <c r="AJ146" i="77"/>
  <c r="AI146" i="77"/>
  <c r="AH146" i="77"/>
  <c r="AG146" i="77"/>
  <c r="AF146" i="77"/>
  <c r="AE146" i="77"/>
  <c r="AD146" i="77"/>
  <c r="AC146" i="77"/>
  <c r="AB146" i="77"/>
  <c r="AA146" i="77"/>
  <c r="Z146" i="77"/>
  <c r="Y146" i="77"/>
  <c r="X146" i="77"/>
  <c r="W146" i="77"/>
  <c r="V146" i="77"/>
  <c r="U146" i="77"/>
  <c r="T146" i="77"/>
  <c r="S146" i="77"/>
  <c r="R146" i="77"/>
  <c r="Q146" i="77"/>
  <c r="P146" i="77"/>
  <c r="O146" i="77"/>
  <c r="N146" i="77"/>
  <c r="M146" i="77"/>
  <c r="K146" i="77"/>
  <c r="I40" i="77"/>
  <c r="L40" i="77" s="1"/>
  <c r="I39" i="77"/>
  <c r="L39" i="77" s="1"/>
  <c r="I38" i="77"/>
  <c r="L38" i="77" s="1"/>
  <c r="I37" i="77"/>
  <c r="L37" i="77" s="1"/>
  <c r="I36" i="77"/>
  <c r="L36" i="77" s="1"/>
  <c r="I35" i="77"/>
  <c r="L35" i="77" s="1"/>
  <c r="I34" i="77"/>
  <c r="L34" i="77" s="1"/>
  <c r="I33" i="77"/>
  <c r="AL32" i="77"/>
  <c r="AK32" i="77"/>
  <c r="AJ32" i="77"/>
  <c r="AI32" i="77"/>
  <c r="AH32" i="77"/>
  <c r="AG32" i="77"/>
  <c r="AF32" i="77"/>
  <c r="AE32" i="77"/>
  <c r="AD32" i="77"/>
  <c r="AC32" i="77"/>
  <c r="AB32" i="77"/>
  <c r="AA32" i="77"/>
  <c r="Z32" i="77"/>
  <c r="Y32" i="77"/>
  <c r="X32" i="77"/>
  <c r="W32" i="77"/>
  <c r="V32" i="77"/>
  <c r="U32" i="77"/>
  <c r="T32" i="77"/>
  <c r="S32" i="77"/>
  <c r="R32" i="77"/>
  <c r="Q32" i="77"/>
  <c r="P32" i="77"/>
  <c r="O32" i="77"/>
  <c r="N32" i="77"/>
  <c r="M32" i="77"/>
  <c r="I31" i="77"/>
  <c r="L31" i="77" s="1"/>
  <c r="I28" i="77"/>
  <c r="L28" i="77" s="1"/>
  <c r="K32" i="77"/>
  <c r="I27" i="77"/>
  <c r="I26" i="77"/>
  <c r="L26" i="77" s="1"/>
  <c r="I25" i="77"/>
  <c r="I24" i="77"/>
  <c r="AL23" i="77"/>
  <c r="AK23" i="77"/>
  <c r="AJ23" i="77"/>
  <c r="AI23" i="77"/>
  <c r="AH23" i="77"/>
  <c r="AG23" i="77"/>
  <c r="AF23" i="77"/>
  <c r="AE23" i="77"/>
  <c r="AD23" i="77"/>
  <c r="AC23" i="77"/>
  <c r="AB23" i="77"/>
  <c r="AA23" i="77"/>
  <c r="Z23" i="77"/>
  <c r="Y23" i="77"/>
  <c r="X23" i="77"/>
  <c r="W23" i="77"/>
  <c r="V23" i="77"/>
  <c r="U23" i="77"/>
  <c r="T23" i="77"/>
  <c r="S23" i="77"/>
  <c r="R23" i="77"/>
  <c r="Q23" i="77"/>
  <c r="P23" i="77"/>
  <c r="O23" i="77"/>
  <c r="N23" i="77"/>
  <c r="M23" i="77"/>
  <c r="K23" i="77"/>
  <c r="I22" i="77"/>
  <c r="L22" i="77" s="1"/>
  <c r="I21" i="77"/>
  <c r="L21" i="77" s="1"/>
  <c r="I20" i="77"/>
  <c r="I19" i="77"/>
  <c r="L19" i="77" s="1"/>
  <c r="I18" i="77"/>
  <c r="L18" i="77" s="1"/>
  <c r="I17" i="77"/>
  <c r="L17" i="77" s="1"/>
  <c r="I16" i="77"/>
  <c r="L16" i="77" s="1"/>
  <c r="I15" i="77"/>
  <c r="L15" i="77" s="1"/>
  <c r="I14" i="77"/>
  <c r="L14" i="77" s="1"/>
  <c r="I13" i="77"/>
  <c r="I12" i="77"/>
  <c r="L12" i="77" s="1"/>
  <c r="I11" i="77"/>
  <c r="L11" i="77" s="1"/>
  <c r="I10" i="77"/>
  <c r="L10" i="77" s="1"/>
  <c r="I9" i="77"/>
  <c r="L9" i="77" s="1"/>
  <c r="I8" i="77"/>
  <c r="L8" i="77" s="1"/>
  <c r="I7" i="77"/>
  <c r="L7" i="77" s="1"/>
  <c r="I6" i="77"/>
  <c r="L6" i="77" s="1"/>
  <c r="I5" i="77"/>
  <c r="L5" i="77" s="1"/>
  <c r="I4" i="77"/>
  <c r="K40" i="76"/>
  <c r="AA57" i="76"/>
  <c r="Z57" i="76"/>
  <c r="Y54" i="76"/>
  <c r="X54" i="76"/>
  <c r="X81" i="76" s="1"/>
  <c r="K89" i="76"/>
  <c r="I73" i="76"/>
  <c r="L73" i="76" s="1"/>
  <c r="L35" i="76"/>
  <c r="L36" i="76"/>
  <c r="K33" i="76"/>
  <c r="L33" i="76" s="1"/>
  <c r="K29" i="76"/>
  <c r="K31" i="76"/>
  <c r="K81" i="76" s="1"/>
  <c r="K30" i="76"/>
  <c r="K51" i="76"/>
  <c r="K50" i="76"/>
  <c r="K49" i="76"/>
  <c r="K48" i="76"/>
  <c r="K47" i="76"/>
  <c r="K46" i="76"/>
  <c r="L46" i="76" s="1"/>
  <c r="K45" i="76"/>
  <c r="L45" i="76" s="1"/>
  <c r="K44" i="76"/>
  <c r="L44" i="76" s="1"/>
  <c r="K43" i="76"/>
  <c r="L43" i="76" s="1"/>
  <c r="K42" i="76"/>
  <c r="K41" i="76"/>
  <c r="L41" i="76" s="1"/>
  <c r="K39" i="76"/>
  <c r="K38" i="76"/>
  <c r="K37" i="76"/>
  <c r="I47" i="76"/>
  <c r="L47" i="76" s="1"/>
  <c r="I44" i="76"/>
  <c r="I41" i="76"/>
  <c r="K22" i="76"/>
  <c r="L22" i="76" s="1"/>
  <c r="K76" i="76"/>
  <c r="K75" i="76"/>
  <c r="L75" i="76" s="1"/>
  <c r="K53" i="76"/>
  <c r="I60" i="76"/>
  <c r="L60" i="76" s="1"/>
  <c r="I35" i="76"/>
  <c r="I36" i="76"/>
  <c r="K20" i="76"/>
  <c r="K19" i="76"/>
  <c r="I20" i="76"/>
  <c r="L20" i="76"/>
  <c r="L21" i="76"/>
  <c r="K13" i="76"/>
  <c r="L13" i="76" s="1"/>
  <c r="K12" i="76"/>
  <c r="K11" i="76"/>
  <c r="K10" i="76"/>
  <c r="K9" i="76"/>
  <c r="K8" i="76"/>
  <c r="K7" i="76"/>
  <c r="K6" i="76"/>
  <c r="K5" i="76"/>
  <c r="K21" i="76"/>
  <c r="K18" i="76"/>
  <c r="L19" i="76" s="1"/>
  <c r="K17" i="76"/>
  <c r="L17" i="76" s="1"/>
  <c r="K16" i="76"/>
  <c r="L16" i="76" s="1"/>
  <c r="I74" i="76"/>
  <c r="L74" i="76"/>
  <c r="I75" i="76"/>
  <c r="I76" i="76"/>
  <c r="L76" i="76"/>
  <c r="I77" i="76"/>
  <c r="L77" i="76"/>
  <c r="I78" i="76"/>
  <c r="L78" i="76"/>
  <c r="I79" i="76"/>
  <c r="L79" i="76"/>
  <c r="I80" i="76"/>
  <c r="L80" i="76"/>
  <c r="M81" i="76"/>
  <c r="N81" i="76"/>
  <c r="O81" i="76"/>
  <c r="P81" i="76"/>
  <c r="Q81" i="76"/>
  <c r="R81" i="76"/>
  <c r="S81" i="76"/>
  <c r="T81" i="76"/>
  <c r="U81" i="76"/>
  <c r="V81" i="76"/>
  <c r="W81" i="76"/>
  <c r="Y81" i="76"/>
  <c r="Z81" i="76"/>
  <c r="AA81" i="76"/>
  <c r="AB81" i="76"/>
  <c r="AC81" i="76"/>
  <c r="AD81" i="76"/>
  <c r="AE81" i="76"/>
  <c r="AE82" i="76" s="1"/>
  <c r="AF81" i="76"/>
  <c r="AG81" i="76"/>
  <c r="AH81" i="76"/>
  <c r="AI81" i="76"/>
  <c r="AJ81" i="76"/>
  <c r="AK81" i="76"/>
  <c r="AL81" i="76"/>
  <c r="AC82" i="76"/>
  <c r="I61" i="76"/>
  <c r="L61" i="76"/>
  <c r="I62" i="76"/>
  <c r="L62" i="76" s="1"/>
  <c r="I63" i="76"/>
  <c r="L63" i="76" s="1"/>
  <c r="I64" i="76"/>
  <c r="L64" i="76"/>
  <c r="I65" i="76"/>
  <c r="L65" i="76"/>
  <c r="I66" i="76"/>
  <c r="L66" i="76"/>
  <c r="I67" i="76"/>
  <c r="L67" i="76"/>
  <c r="I68" i="76"/>
  <c r="L68" i="76" s="1"/>
  <c r="I69" i="76"/>
  <c r="L69" i="76" s="1"/>
  <c r="I70" i="76"/>
  <c r="L70" i="76"/>
  <c r="I71" i="76"/>
  <c r="L71" i="76"/>
  <c r="I72" i="76"/>
  <c r="L72" i="76"/>
  <c r="K27" i="76"/>
  <c r="M27" i="76"/>
  <c r="N27" i="76"/>
  <c r="O27" i="76"/>
  <c r="P27" i="76"/>
  <c r="Q27" i="76"/>
  <c r="R27" i="76"/>
  <c r="S27" i="76"/>
  <c r="T27" i="76"/>
  <c r="U27" i="76"/>
  <c r="V27" i="76"/>
  <c r="W27" i="76"/>
  <c r="X27" i="76"/>
  <c r="Y27" i="76"/>
  <c r="Z27" i="76"/>
  <c r="AA27" i="76"/>
  <c r="AB27" i="76"/>
  <c r="AC27" i="76"/>
  <c r="AD27" i="76"/>
  <c r="AE27" i="76"/>
  <c r="AF27" i="76"/>
  <c r="AG27" i="76"/>
  <c r="AH27" i="76"/>
  <c r="AI27" i="76"/>
  <c r="AJ27" i="76"/>
  <c r="AK27" i="76"/>
  <c r="AL27" i="76"/>
  <c r="I28" i="76"/>
  <c r="L28" i="76" s="1"/>
  <c r="I29" i="76"/>
  <c r="L29" i="76"/>
  <c r="I30" i="76"/>
  <c r="L30" i="76"/>
  <c r="I31" i="76"/>
  <c r="L31" i="76"/>
  <c r="I32" i="76"/>
  <c r="L32" i="76"/>
  <c r="I33" i="76"/>
  <c r="I34" i="76"/>
  <c r="L34" i="76" s="1"/>
  <c r="I37" i="76"/>
  <c r="L37" i="76"/>
  <c r="I38" i="76"/>
  <c r="L38" i="76"/>
  <c r="I39" i="76"/>
  <c r="L39" i="76"/>
  <c r="I40" i="76"/>
  <c r="L40" i="76"/>
  <c r="I42" i="76"/>
  <c r="L42" i="76" s="1"/>
  <c r="I43" i="76"/>
  <c r="I45" i="76"/>
  <c r="I46" i="76"/>
  <c r="I48" i="76"/>
  <c r="L48" i="76"/>
  <c r="I49" i="76"/>
  <c r="L49" i="76"/>
  <c r="I50" i="76"/>
  <c r="L50" i="76" s="1"/>
  <c r="I51" i="76"/>
  <c r="L51" i="76" s="1"/>
  <c r="I53" i="76"/>
  <c r="L53" i="76"/>
  <c r="I54" i="76"/>
  <c r="L54" i="76"/>
  <c r="I55" i="76"/>
  <c r="L55" i="76"/>
  <c r="I56" i="76"/>
  <c r="L56" i="76"/>
  <c r="I57" i="76"/>
  <c r="L57" i="76" s="1"/>
  <c r="I58" i="76"/>
  <c r="L58" i="76" s="1"/>
  <c r="I59" i="76"/>
  <c r="L59" i="76"/>
  <c r="I4" i="76"/>
  <c r="L4" i="76"/>
  <c r="I5" i="76"/>
  <c r="L5" i="76"/>
  <c r="I6" i="76"/>
  <c r="L6" i="76"/>
  <c r="I7" i="76"/>
  <c r="L7" i="76" s="1"/>
  <c r="I8" i="76"/>
  <c r="L8" i="76" s="1"/>
  <c r="I9" i="76"/>
  <c r="L9" i="76"/>
  <c r="I10" i="76"/>
  <c r="L10" i="76"/>
  <c r="I11" i="76"/>
  <c r="L11" i="76"/>
  <c r="I12" i="76"/>
  <c r="L12" i="76"/>
  <c r="I13" i="76"/>
  <c r="I14" i="76"/>
  <c r="L14" i="76" s="1"/>
  <c r="I15" i="76"/>
  <c r="L15" i="76"/>
  <c r="I16" i="76"/>
  <c r="I17" i="76"/>
  <c r="I18" i="76"/>
  <c r="L18" i="76"/>
  <c r="I19" i="76"/>
  <c r="I21" i="76"/>
  <c r="I22" i="76"/>
  <c r="I23" i="76"/>
  <c r="L23" i="76"/>
  <c r="M24" i="76"/>
  <c r="M82" i="76" s="1"/>
  <c r="N24" i="76"/>
  <c r="N82" i="76" s="1"/>
  <c r="O24" i="76"/>
  <c r="O82" i="76" s="1"/>
  <c r="P24" i="76"/>
  <c r="P82" i="76" s="1"/>
  <c r="Q24" i="76"/>
  <c r="Q82" i="76" s="1"/>
  <c r="R24" i="76"/>
  <c r="R82" i="76" s="1"/>
  <c r="S24" i="76"/>
  <c r="S82" i="76" s="1"/>
  <c r="T24" i="76"/>
  <c r="T82" i="76" s="1"/>
  <c r="U24" i="76"/>
  <c r="U82" i="76" s="1"/>
  <c r="V24" i="76"/>
  <c r="V82" i="76" s="1"/>
  <c r="W24" i="76"/>
  <c r="W82" i="76" s="1"/>
  <c r="X24" i="76"/>
  <c r="X82" i="76" s="1"/>
  <c r="Y24" i="76"/>
  <c r="Y82" i="76" s="1"/>
  <c r="Z24" i="76"/>
  <c r="Z82" i="76" s="1"/>
  <c r="AA24" i="76"/>
  <c r="AA82" i="76" s="1"/>
  <c r="AB24" i="76"/>
  <c r="AB82" i="76" s="1"/>
  <c r="AC24" i="76"/>
  <c r="AD24" i="76"/>
  <c r="AD82" i="76" s="1"/>
  <c r="AE24" i="76"/>
  <c r="AF24" i="76"/>
  <c r="AF82" i="76" s="1"/>
  <c r="AG24" i="76"/>
  <c r="AG82" i="76" s="1"/>
  <c r="AH24" i="76"/>
  <c r="AH82" i="76" s="1"/>
  <c r="AI24" i="76"/>
  <c r="AI82" i="76" s="1"/>
  <c r="AJ24" i="76"/>
  <c r="AJ82" i="76" s="1"/>
  <c r="AK24" i="76"/>
  <c r="AK82" i="76" s="1"/>
  <c r="AL24" i="76"/>
  <c r="AL82" i="76" s="1"/>
  <c r="I25" i="76"/>
  <c r="L25" i="76"/>
  <c r="L27" i="76" s="1"/>
  <c r="I131" i="75"/>
  <c r="L131" i="75" s="1"/>
  <c r="L147" i="75"/>
  <c r="L152" i="75"/>
  <c r="I142" i="75"/>
  <c r="L142" i="75" s="1"/>
  <c r="I143" i="75"/>
  <c r="L143" i="75" s="1"/>
  <c r="I144" i="75"/>
  <c r="L144" i="75" s="1"/>
  <c r="I145" i="75"/>
  <c r="L145" i="75" s="1"/>
  <c r="I146" i="75"/>
  <c r="L146" i="75" s="1"/>
  <c r="I147" i="75"/>
  <c r="I148" i="75"/>
  <c r="L148" i="75" s="1"/>
  <c r="I150" i="75"/>
  <c r="L150" i="75" s="1"/>
  <c r="I151" i="75"/>
  <c r="L151" i="75" s="1"/>
  <c r="I152" i="75"/>
  <c r="I153" i="75"/>
  <c r="L153" i="75" s="1"/>
  <c r="I154" i="75"/>
  <c r="L154" i="75" s="1"/>
  <c r="I101" i="75"/>
  <c r="L101" i="75" s="1"/>
  <c r="I128" i="75"/>
  <c r="L128" i="75" s="1"/>
  <c r="I129" i="75"/>
  <c r="L129" i="75" s="1"/>
  <c r="I130" i="75"/>
  <c r="L130" i="75" s="1"/>
  <c r="I132" i="75"/>
  <c r="L132" i="75" s="1"/>
  <c r="I133" i="75"/>
  <c r="L133" i="75"/>
  <c r="I134" i="75"/>
  <c r="L134" i="75" s="1"/>
  <c r="I135" i="75"/>
  <c r="L135" i="75" s="1"/>
  <c r="I123" i="75"/>
  <c r="L123" i="75" s="1"/>
  <c r="I124" i="75"/>
  <c r="L124" i="75"/>
  <c r="I125" i="75"/>
  <c r="L125" i="75" s="1"/>
  <c r="I126" i="75"/>
  <c r="L126" i="75" s="1"/>
  <c r="I127" i="75"/>
  <c r="L127" i="75" s="1"/>
  <c r="I136" i="75"/>
  <c r="L136" i="75" s="1"/>
  <c r="I137" i="75"/>
  <c r="L137" i="75"/>
  <c r="I138" i="75"/>
  <c r="L138" i="75" s="1"/>
  <c r="I139" i="75"/>
  <c r="L139" i="75" s="1"/>
  <c r="O147" i="77" l="1"/>
  <c r="Q147" i="77"/>
  <c r="AG147" i="77"/>
  <c r="AH147" i="77"/>
  <c r="AI147" i="77"/>
  <c r="AJ147" i="77"/>
  <c r="AK147" i="77"/>
  <c r="P147" i="77"/>
  <c r="AA147" i="77"/>
  <c r="R147" i="77"/>
  <c r="AC147" i="77"/>
  <c r="AB147" i="77"/>
  <c r="AF147" i="77"/>
  <c r="L25" i="77"/>
  <c r="AD147" i="77"/>
  <c r="V147" i="77"/>
  <c r="T147" i="77"/>
  <c r="U147" i="77"/>
  <c r="W147" i="77"/>
  <c r="X147" i="77"/>
  <c r="M147" i="77"/>
  <c r="Y147" i="77"/>
  <c r="L13" i="77"/>
  <c r="L20" i="77"/>
  <c r="Z147" i="77"/>
  <c r="K147" i="77"/>
  <c r="L146" i="77"/>
  <c r="N147" i="77"/>
  <c r="AL147" i="77"/>
  <c r="S147" i="77"/>
  <c r="AE147" i="77"/>
  <c r="L27" i="77"/>
  <c r="L81" i="76"/>
  <c r="L24" i="76"/>
  <c r="L82" i="76" s="1"/>
  <c r="K24" i="76"/>
  <c r="K82" i="76" s="1"/>
  <c r="K20" i="75"/>
  <c r="K13" i="75"/>
  <c r="I25" i="75"/>
  <c r="L25" i="75" s="1"/>
  <c r="I26" i="75"/>
  <c r="L26" i="75" s="1"/>
  <c r="I27" i="75"/>
  <c r="L27" i="75" s="1"/>
  <c r="L32" i="77" l="1"/>
  <c r="L23" i="77"/>
  <c r="K32" i="73"/>
  <c r="K33" i="75"/>
  <c r="K31" i="75"/>
  <c r="L147" i="77" l="1"/>
  <c r="I33" i="75"/>
  <c r="L33" i="75" s="1"/>
  <c r="I34" i="75"/>
  <c r="L34" i="75" s="1"/>
  <c r="I35" i="75"/>
  <c r="L35" i="75" s="1"/>
  <c r="I40" i="75"/>
  <c r="L40" i="75" s="1"/>
  <c r="I41" i="75"/>
  <c r="L41" i="75" s="1"/>
  <c r="I42" i="75"/>
  <c r="L42" i="75" s="1"/>
  <c r="I43" i="75"/>
  <c r="L43" i="75" s="1"/>
  <c r="I44" i="75"/>
  <c r="L44" i="75" s="1"/>
  <c r="I45" i="75"/>
  <c r="L45" i="75" s="1"/>
  <c r="I46" i="75"/>
  <c r="L46" i="75" s="1"/>
  <c r="I47" i="75"/>
  <c r="L47" i="75" s="1"/>
  <c r="I48" i="75"/>
  <c r="L48" i="75" s="1"/>
  <c r="I49" i="75"/>
  <c r="L49" i="75" s="1"/>
  <c r="I50" i="75"/>
  <c r="L50" i="75" s="1"/>
  <c r="I51" i="75"/>
  <c r="L51" i="75" s="1"/>
  <c r="I52" i="75"/>
  <c r="L52" i="75" s="1"/>
  <c r="I53" i="75"/>
  <c r="L53" i="75" s="1"/>
  <c r="I54" i="75"/>
  <c r="L54" i="75" s="1"/>
  <c r="I55" i="75"/>
  <c r="L55" i="75" s="1"/>
  <c r="I56" i="75"/>
  <c r="L56" i="75" s="1"/>
  <c r="I57" i="75"/>
  <c r="L57" i="75" s="1"/>
  <c r="I58" i="75"/>
  <c r="L58" i="75" s="1"/>
  <c r="I59" i="75"/>
  <c r="L59" i="75" s="1"/>
  <c r="I60" i="75"/>
  <c r="L60" i="75" s="1"/>
  <c r="I61" i="75"/>
  <c r="L61" i="75" s="1"/>
  <c r="I62" i="75"/>
  <c r="L62" i="75" s="1"/>
  <c r="I63" i="75"/>
  <c r="L63" i="75" s="1"/>
  <c r="I64" i="75"/>
  <c r="L64" i="75" s="1"/>
  <c r="I65" i="75"/>
  <c r="L65" i="75" s="1"/>
  <c r="I66" i="75"/>
  <c r="L66" i="75" s="1"/>
  <c r="I67" i="75"/>
  <c r="L67" i="75" s="1"/>
  <c r="I69" i="75"/>
  <c r="L69" i="75" s="1"/>
  <c r="I70" i="75"/>
  <c r="L70" i="75" s="1"/>
  <c r="I71" i="75"/>
  <c r="L71" i="75" s="1"/>
  <c r="I72" i="75"/>
  <c r="L72" i="75" s="1"/>
  <c r="I73" i="75"/>
  <c r="L73" i="75" s="1"/>
  <c r="I74" i="75"/>
  <c r="L74" i="75"/>
  <c r="I75" i="75"/>
  <c r="L75" i="75" s="1"/>
  <c r="I76" i="75"/>
  <c r="L76" i="75" s="1"/>
  <c r="I77" i="75"/>
  <c r="L77" i="75" s="1"/>
  <c r="I78" i="75"/>
  <c r="L78" i="75" s="1"/>
  <c r="I79" i="75"/>
  <c r="L79" i="75" s="1"/>
  <c r="I80" i="75"/>
  <c r="L80" i="75" s="1"/>
  <c r="I81" i="75"/>
  <c r="L81" i="75" s="1"/>
  <c r="I82" i="75"/>
  <c r="L82" i="75" s="1"/>
  <c r="I83" i="75"/>
  <c r="L83" i="75" s="1"/>
  <c r="I84" i="75"/>
  <c r="L84" i="75" s="1"/>
  <c r="I85" i="75"/>
  <c r="L85" i="75" s="1"/>
  <c r="I86" i="75"/>
  <c r="L86" i="75" s="1"/>
  <c r="I87" i="75"/>
  <c r="L87" i="75" s="1"/>
  <c r="I88" i="75"/>
  <c r="L88" i="75" s="1"/>
  <c r="I89" i="75"/>
  <c r="L89" i="75"/>
  <c r="I90" i="75"/>
  <c r="L90" i="75" s="1"/>
  <c r="I91" i="75"/>
  <c r="L91" i="75" s="1"/>
  <c r="I92" i="75"/>
  <c r="L92" i="75" s="1"/>
  <c r="I93" i="75"/>
  <c r="L93" i="75" s="1"/>
  <c r="I94" i="75"/>
  <c r="L94" i="75" s="1"/>
  <c r="I95" i="75"/>
  <c r="L95" i="75" s="1"/>
  <c r="I96" i="75"/>
  <c r="L96" i="75" s="1"/>
  <c r="I97" i="75"/>
  <c r="L97" i="75" s="1"/>
  <c r="I98" i="75"/>
  <c r="L98" i="75" s="1"/>
  <c r="I99" i="75"/>
  <c r="L99" i="75" s="1"/>
  <c r="I100" i="75"/>
  <c r="L100" i="75" s="1"/>
  <c r="I103" i="75"/>
  <c r="L103" i="75" s="1"/>
  <c r="I104" i="75"/>
  <c r="L104" i="75" s="1"/>
  <c r="I105" i="75"/>
  <c r="L105" i="75" s="1"/>
  <c r="I106" i="75"/>
  <c r="L106" i="75" s="1"/>
  <c r="I107" i="75"/>
  <c r="L107" i="75" s="1"/>
  <c r="I108" i="75"/>
  <c r="L108" i="75" s="1"/>
  <c r="I109" i="75"/>
  <c r="L109" i="75" s="1"/>
  <c r="I110" i="75"/>
  <c r="L110" i="75" s="1"/>
  <c r="I111" i="75"/>
  <c r="L111" i="75" s="1"/>
  <c r="I112" i="75"/>
  <c r="L112" i="75" s="1"/>
  <c r="I113" i="75"/>
  <c r="L113" i="75" s="1"/>
  <c r="I114" i="75"/>
  <c r="L114" i="75" s="1"/>
  <c r="I115" i="75"/>
  <c r="L115" i="75" s="1"/>
  <c r="I116" i="75"/>
  <c r="L116" i="75" s="1"/>
  <c r="I117" i="75"/>
  <c r="L117" i="75" s="1"/>
  <c r="I118" i="75"/>
  <c r="L118" i="75"/>
  <c r="I119" i="75"/>
  <c r="L119" i="75" s="1"/>
  <c r="I120" i="75"/>
  <c r="L120" i="75" s="1"/>
  <c r="I121" i="75"/>
  <c r="L121" i="75" s="1"/>
  <c r="I122" i="75"/>
  <c r="L122" i="75" s="1"/>
  <c r="I140" i="75"/>
  <c r="L140" i="75" s="1"/>
  <c r="I155" i="75"/>
  <c r="L155" i="75"/>
  <c r="I156" i="75"/>
  <c r="L156" i="75" s="1"/>
  <c r="AL157" i="75"/>
  <c r="AK157" i="75"/>
  <c r="AJ157" i="75"/>
  <c r="AI157" i="75"/>
  <c r="AH157" i="75"/>
  <c r="AG157" i="75"/>
  <c r="AF157" i="75"/>
  <c r="AE157" i="75"/>
  <c r="AD157" i="75"/>
  <c r="AC157" i="75"/>
  <c r="AB157" i="75"/>
  <c r="AA157" i="75"/>
  <c r="Z157" i="75"/>
  <c r="Y157" i="75"/>
  <c r="X157" i="75"/>
  <c r="W157" i="75"/>
  <c r="V157" i="75"/>
  <c r="U157" i="75"/>
  <c r="T157" i="75"/>
  <c r="S157" i="75"/>
  <c r="R157" i="75"/>
  <c r="Q157" i="75"/>
  <c r="P157" i="75"/>
  <c r="O157" i="75"/>
  <c r="N157" i="75"/>
  <c r="M157" i="75"/>
  <c r="K157" i="75"/>
  <c r="I39" i="75"/>
  <c r="L39" i="75" s="1"/>
  <c r="I38" i="75"/>
  <c r="L38" i="75" s="1"/>
  <c r="I37" i="75"/>
  <c r="AL36" i="75"/>
  <c r="AK36" i="75"/>
  <c r="AJ36" i="75"/>
  <c r="AI36" i="75"/>
  <c r="AH36" i="75"/>
  <c r="AG36" i="75"/>
  <c r="AF36" i="75"/>
  <c r="AE36" i="75"/>
  <c r="AD36" i="75"/>
  <c r="AC36" i="75"/>
  <c r="AB36" i="75"/>
  <c r="AA36" i="75"/>
  <c r="Z36" i="75"/>
  <c r="Y36" i="75"/>
  <c r="X36" i="75"/>
  <c r="W36" i="75"/>
  <c r="V36" i="75"/>
  <c r="U36" i="75"/>
  <c r="T36" i="75"/>
  <c r="S36" i="75"/>
  <c r="R36" i="75"/>
  <c r="Q36" i="75"/>
  <c r="P36" i="75"/>
  <c r="O36" i="75"/>
  <c r="N36" i="75"/>
  <c r="M36" i="75"/>
  <c r="K36" i="75"/>
  <c r="I32" i="75"/>
  <c r="L32" i="75" s="1"/>
  <c r="I31" i="75"/>
  <c r="L31" i="75" s="1"/>
  <c r="I30" i="75"/>
  <c r="AL29" i="75"/>
  <c r="AK29" i="75"/>
  <c r="AJ29" i="75"/>
  <c r="AI29" i="75"/>
  <c r="AH29" i="75"/>
  <c r="AG29" i="75"/>
  <c r="AF29" i="75"/>
  <c r="AE29" i="75"/>
  <c r="AD29" i="75"/>
  <c r="AC29" i="75"/>
  <c r="AB29" i="75"/>
  <c r="AA29" i="75"/>
  <c r="Z29" i="75"/>
  <c r="Y29" i="75"/>
  <c r="X29" i="75"/>
  <c r="W29" i="75"/>
  <c r="V29" i="75"/>
  <c r="U29" i="75"/>
  <c r="T29" i="75"/>
  <c r="S29" i="75"/>
  <c r="R29" i="75"/>
  <c r="Q29" i="75"/>
  <c r="P29" i="75"/>
  <c r="O29" i="75"/>
  <c r="N29" i="75"/>
  <c r="M29" i="75"/>
  <c r="K29" i="75"/>
  <c r="I28" i="75"/>
  <c r="L28" i="75" s="1"/>
  <c r="I24" i="75"/>
  <c r="L24" i="75" s="1"/>
  <c r="I23" i="75"/>
  <c r="L23" i="75" s="1"/>
  <c r="I22" i="75"/>
  <c r="L22" i="75" s="1"/>
  <c r="I21" i="75"/>
  <c r="L21" i="75" s="1"/>
  <c r="I20" i="75"/>
  <c r="L20" i="75" s="1"/>
  <c r="I19" i="75"/>
  <c r="L19" i="75" s="1"/>
  <c r="I18" i="75"/>
  <c r="L18" i="75" s="1"/>
  <c r="I17" i="75"/>
  <c r="L17" i="75" s="1"/>
  <c r="I16" i="75"/>
  <c r="L16" i="75" s="1"/>
  <c r="I15" i="75"/>
  <c r="L15" i="75" s="1"/>
  <c r="I14" i="75"/>
  <c r="L14" i="75" s="1"/>
  <c r="I13" i="75"/>
  <c r="L13" i="75" s="1"/>
  <c r="I12" i="75"/>
  <c r="L12" i="75" s="1"/>
  <c r="I11" i="75"/>
  <c r="L11" i="75" s="1"/>
  <c r="I10" i="75"/>
  <c r="L10" i="75" s="1"/>
  <c r="I9" i="75"/>
  <c r="L9" i="75" s="1"/>
  <c r="I8" i="75"/>
  <c r="L8" i="75" s="1"/>
  <c r="I7" i="75"/>
  <c r="L7" i="75" s="1"/>
  <c r="I6" i="75"/>
  <c r="L6" i="75" s="1"/>
  <c r="I5" i="75"/>
  <c r="L5" i="75" s="1"/>
  <c r="I4" i="75"/>
  <c r="Z72" i="74"/>
  <c r="Y72" i="74"/>
  <c r="AA71" i="74"/>
  <c r="X71" i="74"/>
  <c r="Z70" i="74"/>
  <c r="Y70" i="74"/>
  <c r="AA69" i="74"/>
  <c r="X69" i="74"/>
  <c r="Z68" i="74"/>
  <c r="Y68" i="74"/>
  <c r="AA67" i="74"/>
  <c r="X67" i="74"/>
  <c r="AA66" i="74"/>
  <c r="Z66" i="74"/>
  <c r="Y65" i="74"/>
  <c r="X65" i="74"/>
  <c r="Y63" i="74"/>
  <c r="X63" i="74"/>
  <c r="AA62" i="74"/>
  <c r="Z62" i="74"/>
  <c r="Y59" i="74"/>
  <c r="X59" i="74"/>
  <c r="AH41" i="74"/>
  <c r="AI41" i="74"/>
  <c r="AJ41" i="74"/>
  <c r="AG41" i="74"/>
  <c r="AH40" i="74"/>
  <c r="AI40" i="74"/>
  <c r="AJ40" i="74"/>
  <c r="AG40" i="74"/>
  <c r="AH39" i="74"/>
  <c r="AI39" i="74"/>
  <c r="AJ39" i="74"/>
  <c r="AG39" i="74"/>
  <c r="L82" i="74"/>
  <c r="I82" i="74"/>
  <c r="I67" i="74"/>
  <c r="L67" i="74" s="1"/>
  <c r="I68" i="74"/>
  <c r="L68" i="74" s="1"/>
  <c r="I69" i="74"/>
  <c r="L69" i="74" s="1"/>
  <c r="I70" i="74"/>
  <c r="L70" i="74" s="1"/>
  <c r="I71" i="74"/>
  <c r="L71" i="74" s="1"/>
  <c r="I72" i="74"/>
  <c r="L72" i="74" s="1"/>
  <c r="K22" i="74"/>
  <c r="K20" i="74"/>
  <c r="K19" i="74"/>
  <c r="K18" i="74"/>
  <c r="K17" i="74"/>
  <c r="K15" i="74"/>
  <c r="K96" i="74"/>
  <c r="K14" i="74"/>
  <c r="K12" i="74"/>
  <c r="K11" i="74"/>
  <c r="K10" i="74"/>
  <c r="K9" i="74"/>
  <c r="K8" i="74"/>
  <c r="K7" i="74"/>
  <c r="I54" i="74"/>
  <c r="L54" i="74" s="1"/>
  <c r="K6" i="74"/>
  <c r="K5" i="74"/>
  <c r="K21" i="74"/>
  <c r="I17" i="74"/>
  <c r="L17" i="74" s="1"/>
  <c r="AL88" i="74"/>
  <c r="AK88" i="74"/>
  <c r="AJ88" i="74"/>
  <c r="AI88" i="74"/>
  <c r="AH88" i="74"/>
  <c r="AG88" i="74"/>
  <c r="AF88" i="74"/>
  <c r="AE88" i="74"/>
  <c r="AD88" i="74"/>
  <c r="AC88" i="74"/>
  <c r="AB88" i="74"/>
  <c r="AA88" i="74"/>
  <c r="Z88" i="74"/>
  <c r="Y88" i="74"/>
  <c r="X88" i="74"/>
  <c r="W88" i="74"/>
  <c r="V88" i="74"/>
  <c r="U88" i="74"/>
  <c r="T88" i="74"/>
  <c r="S88" i="74"/>
  <c r="R88" i="74"/>
  <c r="Q88" i="74"/>
  <c r="P88" i="74"/>
  <c r="O88" i="74"/>
  <c r="N88" i="74"/>
  <c r="M88" i="74"/>
  <c r="K88" i="74"/>
  <c r="L87" i="74"/>
  <c r="I86" i="74"/>
  <c r="L86" i="74" s="1"/>
  <c r="I85" i="74"/>
  <c r="L85" i="74" s="1"/>
  <c r="I84" i="74"/>
  <c r="L84" i="74" s="1"/>
  <c r="I83" i="74"/>
  <c r="L83" i="74" s="1"/>
  <c r="I81" i="74"/>
  <c r="L81" i="74" s="1"/>
  <c r="I80" i="74"/>
  <c r="L80" i="74" s="1"/>
  <c r="I79" i="74"/>
  <c r="L79" i="74" s="1"/>
  <c r="I78" i="74"/>
  <c r="L78" i="74" s="1"/>
  <c r="I77" i="74"/>
  <c r="L77" i="74" s="1"/>
  <c r="I76" i="74"/>
  <c r="L76" i="74" s="1"/>
  <c r="L75" i="74"/>
  <c r="L74" i="74"/>
  <c r="I73" i="74"/>
  <c r="L73" i="74" s="1"/>
  <c r="I66" i="74"/>
  <c r="L66" i="74" s="1"/>
  <c r="I65" i="74"/>
  <c r="L65" i="74" s="1"/>
  <c r="I64" i="74"/>
  <c r="L64" i="74" s="1"/>
  <c r="I63" i="74"/>
  <c r="L63" i="74" s="1"/>
  <c r="I62" i="74"/>
  <c r="L62" i="74" s="1"/>
  <c r="I61" i="74"/>
  <c r="L61" i="74" s="1"/>
  <c r="I60" i="74"/>
  <c r="L60" i="74" s="1"/>
  <c r="I59" i="74"/>
  <c r="L59" i="74" s="1"/>
  <c r="I58" i="74"/>
  <c r="L58" i="74" s="1"/>
  <c r="I57" i="74"/>
  <c r="L57" i="74" s="1"/>
  <c r="I56" i="74"/>
  <c r="L56" i="74" s="1"/>
  <c r="I55" i="74"/>
  <c r="L55" i="74" s="1"/>
  <c r="I53" i="74"/>
  <c r="L53" i="74" s="1"/>
  <c r="I52" i="74"/>
  <c r="L52" i="74" s="1"/>
  <c r="I51" i="74"/>
  <c r="L51" i="74" s="1"/>
  <c r="I50" i="74"/>
  <c r="L50" i="74" s="1"/>
  <c r="I49" i="74"/>
  <c r="L49" i="74" s="1"/>
  <c r="I48" i="74"/>
  <c r="L48" i="74" s="1"/>
  <c r="I47" i="74"/>
  <c r="L47" i="74" s="1"/>
  <c r="I46" i="74"/>
  <c r="L46" i="74" s="1"/>
  <c r="I45" i="74"/>
  <c r="L45" i="74" s="1"/>
  <c r="I44" i="74"/>
  <c r="L44" i="74" s="1"/>
  <c r="I43" i="74"/>
  <c r="L43" i="74" s="1"/>
  <c r="I42" i="74"/>
  <c r="L42" i="74" s="1"/>
  <c r="I41" i="74"/>
  <c r="L41" i="74" s="1"/>
  <c r="I40" i="74"/>
  <c r="L40" i="74" s="1"/>
  <c r="I39" i="74"/>
  <c r="L39" i="74" s="1"/>
  <c r="I38" i="74"/>
  <c r="L38" i="74" s="1"/>
  <c r="I37" i="74"/>
  <c r="L37" i="74" s="1"/>
  <c r="I36" i="74"/>
  <c r="L36" i="74" s="1"/>
  <c r="I35" i="74"/>
  <c r="L35" i="74" s="1"/>
  <c r="I34" i="74"/>
  <c r="L34" i="74" s="1"/>
  <c r="I33" i="74"/>
  <c r="L33" i="74" s="1"/>
  <c r="I32" i="74"/>
  <c r="L32" i="74" s="1"/>
  <c r="I31" i="74"/>
  <c r="L31" i="74" s="1"/>
  <c r="I30" i="74"/>
  <c r="L30" i="74" s="1"/>
  <c r="I29" i="74"/>
  <c r="L29" i="74" s="1"/>
  <c r="I28" i="74"/>
  <c r="L28" i="74" s="1"/>
  <c r="L88" i="74" s="1"/>
  <c r="AL27" i="74"/>
  <c r="AK27" i="74"/>
  <c r="AJ27" i="74"/>
  <c r="AI27" i="74"/>
  <c r="AH27" i="74"/>
  <c r="AG27" i="74"/>
  <c r="AF27" i="74"/>
  <c r="AE27" i="74"/>
  <c r="AD27" i="74"/>
  <c r="AC27" i="74"/>
  <c r="AB27" i="74"/>
  <c r="AA27" i="74"/>
  <c r="Z27" i="74"/>
  <c r="Y27" i="74"/>
  <c r="X27" i="74"/>
  <c r="W27" i="74"/>
  <c r="V27" i="74"/>
  <c r="U27" i="74"/>
  <c r="T27" i="74"/>
  <c r="S27" i="74"/>
  <c r="R27" i="74"/>
  <c r="Q27" i="74"/>
  <c r="P27" i="74"/>
  <c r="O27" i="74"/>
  <c r="N27" i="74"/>
  <c r="M27" i="74"/>
  <c r="K27" i="74"/>
  <c r="I25" i="74"/>
  <c r="L25" i="74" s="1"/>
  <c r="L27" i="74" s="1"/>
  <c r="AL24" i="74"/>
  <c r="AL89" i="74" s="1"/>
  <c r="AK24" i="74"/>
  <c r="AK89" i="74" s="1"/>
  <c r="AJ24" i="74"/>
  <c r="AJ89" i="74" s="1"/>
  <c r="AI24" i="74"/>
  <c r="AI89" i="74" s="1"/>
  <c r="AH24" i="74"/>
  <c r="AH89" i="74" s="1"/>
  <c r="AG24" i="74"/>
  <c r="AG89" i="74" s="1"/>
  <c r="AF24" i="74"/>
  <c r="AF89" i="74" s="1"/>
  <c r="AE24" i="74"/>
  <c r="AE89" i="74" s="1"/>
  <c r="AD24" i="74"/>
  <c r="AD89" i="74" s="1"/>
  <c r="AC24" i="74"/>
  <c r="AC89" i="74" s="1"/>
  <c r="AB24" i="74"/>
  <c r="AB89" i="74" s="1"/>
  <c r="AA24" i="74"/>
  <c r="AA89" i="74" s="1"/>
  <c r="Z24" i="74"/>
  <c r="Z89" i="74" s="1"/>
  <c r="Y24" i="74"/>
  <c r="Y89" i="74" s="1"/>
  <c r="X24" i="74"/>
  <c r="X89" i="74" s="1"/>
  <c r="W24" i="74"/>
  <c r="W89" i="74" s="1"/>
  <c r="V24" i="74"/>
  <c r="V89" i="74" s="1"/>
  <c r="U24" i="74"/>
  <c r="U89" i="74" s="1"/>
  <c r="T24" i="74"/>
  <c r="T89" i="74" s="1"/>
  <c r="S24" i="74"/>
  <c r="S89" i="74" s="1"/>
  <c r="R24" i="74"/>
  <c r="R89" i="74" s="1"/>
  <c r="Q24" i="74"/>
  <c r="Q89" i="74" s="1"/>
  <c r="P24" i="74"/>
  <c r="P89" i="74" s="1"/>
  <c r="O24" i="74"/>
  <c r="O89" i="74" s="1"/>
  <c r="N24" i="74"/>
  <c r="N89" i="74" s="1"/>
  <c r="M24" i="74"/>
  <c r="M89" i="74" s="1"/>
  <c r="K24" i="74"/>
  <c r="K89" i="74" s="1"/>
  <c r="I23" i="74"/>
  <c r="L23" i="74" s="1"/>
  <c r="I22" i="74"/>
  <c r="L22" i="74" s="1"/>
  <c r="I21" i="74"/>
  <c r="L21" i="74" s="1"/>
  <c r="I20" i="74"/>
  <c r="L20" i="74" s="1"/>
  <c r="I19" i="74"/>
  <c r="L19" i="74" s="1"/>
  <c r="I18" i="74"/>
  <c r="L18" i="74" s="1"/>
  <c r="I16" i="74"/>
  <c r="L16" i="74" s="1"/>
  <c r="I15" i="74"/>
  <c r="L15" i="74" s="1"/>
  <c r="I14" i="74"/>
  <c r="L14" i="74" s="1"/>
  <c r="I13" i="74"/>
  <c r="L13" i="74" s="1"/>
  <c r="I12" i="74"/>
  <c r="L12" i="74" s="1"/>
  <c r="I11" i="74"/>
  <c r="L11" i="74" s="1"/>
  <c r="I10" i="74"/>
  <c r="L10" i="74" s="1"/>
  <c r="I9" i="74"/>
  <c r="L9" i="74" s="1"/>
  <c r="I8" i="74"/>
  <c r="L8" i="74" s="1"/>
  <c r="I7" i="74"/>
  <c r="L7" i="74" s="1"/>
  <c r="I6" i="74"/>
  <c r="L6" i="74" s="1"/>
  <c r="I5" i="74"/>
  <c r="L5" i="74" s="1"/>
  <c r="I4" i="74"/>
  <c r="L4" i="74" s="1"/>
  <c r="L24" i="74" s="1"/>
  <c r="L89" i="74" s="1"/>
  <c r="L125" i="73"/>
  <c r="I122" i="73"/>
  <c r="L122" i="73" s="1"/>
  <c r="I123" i="73"/>
  <c r="L123" i="73" s="1"/>
  <c r="I124" i="73"/>
  <c r="L124" i="73" s="1"/>
  <c r="I125" i="73"/>
  <c r="I119" i="73"/>
  <c r="L119" i="73" s="1"/>
  <c r="I120" i="73"/>
  <c r="L120" i="73" s="1"/>
  <c r="I106" i="73"/>
  <c r="L106" i="73" s="1"/>
  <c r="I107" i="73"/>
  <c r="L107" i="73" s="1"/>
  <c r="I108" i="73"/>
  <c r="L108" i="73" s="1"/>
  <c r="I109" i="73"/>
  <c r="L109" i="73" s="1"/>
  <c r="I110" i="73"/>
  <c r="L110" i="73" s="1"/>
  <c r="I111" i="73"/>
  <c r="L111" i="73" s="1"/>
  <c r="I112" i="73"/>
  <c r="L112" i="73" s="1"/>
  <c r="I113" i="73"/>
  <c r="L113" i="73" s="1"/>
  <c r="I114" i="73"/>
  <c r="L114" i="73" s="1"/>
  <c r="I115" i="73"/>
  <c r="L115" i="73" s="1"/>
  <c r="I116" i="73"/>
  <c r="L116" i="73" s="1"/>
  <c r="I117" i="73"/>
  <c r="L117" i="73" s="1"/>
  <c r="I22" i="73"/>
  <c r="L22" i="73" s="1"/>
  <c r="I23" i="73"/>
  <c r="L23" i="73" s="1"/>
  <c r="I24" i="73"/>
  <c r="L24" i="73" s="1"/>
  <c r="I25" i="73"/>
  <c r="L25" i="73" s="1"/>
  <c r="I26" i="73"/>
  <c r="L26" i="73" s="1"/>
  <c r="K74" i="73"/>
  <c r="K70" i="73"/>
  <c r="K71" i="73"/>
  <c r="K72" i="73"/>
  <c r="K73" i="73"/>
  <c r="K69" i="73"/>
  <c r="AI158" i="75" l="1"/>
  <c r="X158" i="75"/>
  <c r="AJ158" i="75"/>
  <c r="W158" i="75"/>
  <c r="S158" i="75"/>
  <c r="P158" i="75"/>
  <c r="AB158" i="75"/>
  <c r="Q158" i="75"/>
  <c r="AC158" i="75"/>
  <c r="AF158" i="75"/>
  <c r="T158" i="75"/>
  <c r="AE158" i="75"/>
  <c r="M158" i="75"/>
  <c r="Y158" i="75"/>
  <c r="AK158" i="75"/>
  <c r="N158" i="75"/>
  <c r="Z158" i="75"/>
  <c r="AL158" i="75"/>
  <c r="R158" i="75"/>
  <c r="AD158" i="75"/>
  <c r="U158" i="75"/>
  <c r="AG158" i="75"/>
  <c r="V158" i="75"/>
  <c r="AH158" i="75"/>
  <c r="L36" i="75"/>
  <c r="O158" i="75"/>
  <c r="AA158" i="75"/>
  <c r="L29" i="75"/>
  <c r="K158" i="75"/>
  <c r="I33" i="73"/>
  <c r="L33" i="73" s="1"/>
  <c r="I34" i="73"/>
  <c r="L34" i="73" s="1"/>
  <c r="L157" i="75" l="1"/>
  <c r="L158" i="75" s="1"/>
  <c r="I40" i="73"/>
  <c r="L40" i="73" s="1"/>
  <c r="I41" i="73"/>
  <c r="L41" i="73" s="1"/>
  <c r="I42" i="73"/>
  <c r="L42" i="73" s="1"/>
  <c r="I43" i="73"/>
  <c r="L43" i="73" s="1"/>
  <c r="I44" i="73"/>
  <c r="L44" i="73" s="1"/>
  <c r="I45" i="73"/>
  <c r="L45" i="73" s="1"/>
  <c r="I46" i="73"/>
  <c r="L46" i="73"/>
  <c r="I47" i="73"/>
  <c r="L47" i="73" s="1"/>
  <c r="I48" i="73"/>
  <c r="L48" i="73" s="1"/>
  <c r="I49" i="73"/>
  <c r="L49" i="73" s="1"/>
  <c r="I50" i="73"/>
  <c r="L50" i="73" s="1"/>
  <c r="I51" i="73"/>
  <c r="L51" i="73" s="1"/>
  <c r="I52" i="73"/>
  <c r="L52" i="73" s="1"/>
  <c r="I54" i="73"/>
  <c r="L54" i="73" s="1"/>
  <c r="I55" i="73"/>
  <c r="L55" i="73" s="1"/>
  <c r="I56" i="73"/>
  <c r="L56" i="73" s="1"/>
  <c r="I57" i="73"/>
  <c r="L57" i="73" s="1"/>
  <c r="I58" i="73"/>
  <c r="L58" i="73"/>
  <c r="I59" i="73"/>
  <c r="L59" i="73" s="1"/>
  <c r="I60" i="73"/>
  <c r="L60" i="73" s="1"/>
  <c r="I61" i="73"/>
  <c r="L61" i="73" s="1"/>
  <c r="I62" i="73"/>
  <c r="L62" i="73" s="1"/>
  <c r="I63" i="73"/>
  <c r="L63" i="73" s="1"/>
  <c r="I64" i="73"/>
  <c r="L64" i="73" s="1"/>
  <c r="I65" i="73"/>
  <c r="L65" i="73" s="1"/>
  <c r="I66" i="73"/>
  <c r="L66" i="73" s="1"/>
  <c r="I67" i="73"/>
  <c r="L67" i="73" s="1"/>
  <c r="I69" i="73"/>
  <c r="L69" i="73" s="1"/>
  <c r="I70" i="73"/>
  <c r="L70" i="73" s="1"/>
  <c r="I71" i="73"/>
  <c r="L71" i="73" s="1"/>
  <c r="I72" i="73"/>
  <c r="L72" i="73" s="1"/>
  <c r="I73" i="73"/>
  <c r="L73" i="73" s="1"/>
  <c r="I74" i="73"/>
  <c r="L74" i="73" s="1"/>
  <c r="I76" i="73"/>
  <c r="L76" i="73"/>
  <c r="I77" i="73"/>
  <c r="L77" i="73" s="1"/>
  <c r="I78" i="73"/>
  <c r="L78" i="73" s="1"/>
  <c r="I79" i="73"/>
  <c r="L79" i="73" s="1"/>
  <c r="I80" i="73"/>
  <c r="L80" i="73" s="1"/>
  <c r="I81" i="73"/>
  <c r="L81" i="73" s="1"/>
  <c r="I82" i="73"/>
  <c r="L82" i="73" s="1"/>
  <c r="I83" i="73"/>
  <c r="L83" i="73"/>
  <c r="I84" i="73"/>
  <c r="L84" i="73" s="1"/>
  <c r="I85" i="73"/>
  <c r="L85" i="73" s="1"/>
  <c r="I86" i="73"/>
  <c r="L86" i="73" s="1"/>
  <c r="I87" i="73"/>
  <c r="L87" i="73" s="1"/>
  <c r="I88" i="73"/>
  <c r="L88" i="73" s="1"/>
  <c r="I89" i="73"/>
  <c r="L89" i="73" s="1"/>
  <c r="I90" i="73"/>
  <c r="L90" i="73" s="1"/>
  <c r="I91" i="73"/>
  <c r="L91" i="73" s="1"/>
  <c r="I92" i="73"/>
  <c r="L92" i="73" s="1"/>
  <c r="I93" i="73"/>
  <c r="L93" i="73" s="1"/>
  <c r="I94" i="73"/>
  <c r="L94" i="73" s="1"/>
  <c r="I95" i="73"/>
  <c r="L95" i="73" s="1"/>
  <c r="I96" i="73"/>
  <c r="L96" i="73" s="1"/>
  <c r="I97" i="73"/>
  <c r="L97" i="73" s="1"/>
  <c r="I98" i="73"/>
  <c r="L98" i="73"/>
  <c r="I99" i="73"/>
  <c r="L99" i="73" s="1"/>
  <c r="I100" i="73"/>
  <c r="L100" i="73" s="1"/>
  <c r="I101" i="73"/>
  <c r="L101" i="73" s="1"/>
  <c r="I102" i="73"/>
  <c r="L102" i="73" s="1"/>
  <c r="I103" i="73"/>
  <c r="L103" i="73" s="1"/>
  <c r="I104" i="73"/>
  <c r="L104" i="73"/>
  <c r="I126" i="73"/>
  <c r="L126" i="73" s="1"/>
  <c r="AL127" i="73"/>
  <c r="AK127" i="73"/>
  <c r="AJ127" i="73"/>
  <c r="AI127" i="73"/>
  <c r="AH127" i="73"/>
  <c r="AG127" i="73"/>
  <c r="AF127" i="73"/>
  <c r="AE127" i="73"/>
  <c r="AD127" i="73"/>
  <c r="AC127" i="73"/>
  <c r="AB127" i="73"/>
  <c r="AA127" i="73"/>
  <c r="Z127" i="73"/>
  <c r="Y127" i="73"/>
  <c r="X127" i="73"/>
  <c r="W127" i="73"/>
  <c r="V127" i="73"/>
  <c r="U127" i="73"/>
  <c r="T127" i="73"/>
  <c r="S127" i="73"/>
  <c r="R127" i="73"/>
  <c r="Q127" i="73"/>
  <c r="P127" i="73"/>
  <c r="O127" i="73"/>
  <c r="N127" i="73"/>
  <c r="M127" i="73"/>
  <c r="K127" i="73"/>
  <c r="I39" i="73"/>
  <c r="L39" i="73" s="1"/>
  <c r="I38" i="73"/>
  <c r="L38" i="73" s="1"/>
  <c r="I37" i="73"/>
  <c r="AL36" i="73"/>
  <c r="AK36" i="73"/>
  <c r="AJ36" i="73"/>
  <c r="AI36" i="73"/>
  <c r="AH36" i="73"/>
  <c r="AG36" i="73"/>
  <c r="AF36" i="73"/>
  <c r="AE36" i="73"/>
  <c r="AD36" i="73"/>
  <c r="AC36" i="73"/>
  <c r="AB36" i="73"/>
  <c r="AA36" i="73"/>
  <c r="Z36" i="73"/>
  <c r="Y36" i="73"/>
  <c r="X36" i="73"/>
  <c r="W36" i="73"/>
  <c r="V36" i="73"/>
  <c r="U36" i="73"/>
  <c r="T36" i="73"/>
  <c r="S36" i="73"/>
  <c r="R36" i="73"/>
  <c r="Q36" i="73"/>
  <c r="P36" i="73"/>
  <c r="O36" i="73"/>
  <c r="N36" i="73"/>
  <c r="M36" i="73"/>
  <c r="K36" i="73"/>
  <c r="I35" i="73"/>
  <c r="L35" i="73" s="1"/>
  <c r="I32" i="73"/>
  <c r="L32" i="73" s="1"/>
  <c r="I31" i="73"/>
  <c r="AL30" i="73"/>
  <c r="AK30" i="73"/>
  <c r="AJ30" i="73"/>
  <c r="AI30" i="73"/>
  <c r="AH30" i="73"/>
  <c r="AG30" i="73"/>
  <c r="AF30" i="73"/>
  <c r="AE30" i="73"/>
  <c r="AD30" i="73"/>
  <c r="AC30" i="73"/>
  <c r="AB30" i="73"/>
  <c r="AA30" i="73"/>
  <c r="Z30" i="73"/>
  <c r="Y30" i="73"/>
  <c r="X30" i="73"/>
  <c r="W30" i="73"/>
  <c r="V30" i="73"/>
  <c r="U30" i="73"/>
  <c r="T30" i="73"/>
  <c r="S30" i="73"/>
  <c r="R30" i="73"/>
  <c r="Q30" i="73"/>
  <c r="P30" i="73"/>
  <c r="O30" i="73"/>
  <c r="N30" i="73"/>
  <c r="M30" i="73"/>
  <c r="K30" i="73"/>
  <c r="I29" i="73"/>
  <c r="L29" i="73" s="1"/>
  <c r="I28" i="73"/>
  <c r="L28" i="73" s="1"/>
  <c r="I27" i="73"/>
  <c r="L27" i="73" s="1"/>
  <c r="I21" i="73"/>
  <c r="L21" i="73" s="1"/>
  <c r="I20" i="73"/>
  <c r="L20" i="73" s="1"/>
  <c r="I19" i="73"/>
  <c r="L19" i="73" s="1"/>
  <c r="I18" i="73"/>
  <c r="L18" i="73" s="1"/>
  <c r="I17" i="73"/>
  <c r="L17" i="73" s="1"/>
  <c r="I16" i="73"/>
  <c r="L16" i="73" s="1"/>
  <c r="I15" i="73"/>
  <c r="L15" i="73" s="1"/>
  <c r="I14" i="73"/>
  <c r="L14" i="73" s="1"/>
  <c r="I13" i="73"/>
  <c r="L13" i="73" s="1"/>
  <c r="I12" i="73"/>
  <c r="L12" i="73" s="1"/>
  <c r="I11" i="73"/>
  <c r="L11" i="73" s="1"/>
  <c r="I10" i="73"/>
  <c r="L10" i="73" s="1"/>
  <c r="I9" i="73"/>
  <c r="L9" i="73" s="1"/>
  <c r="I8" i="73"/>
  <c r="L8" i="73" s="1"/>
  <c r="I7" i="73"/>
  <c r="L7" i="73" s="1"/>
  <c r="I6" i="73"/>
  <c r="L6" i="73" s="1"/>
  <c r="I5" i="73"/>
  <c r="L5" i="73" s="1"/>
  <c r="I4" i="73"/>
  <c r="K24" i="72"/>
  <c r="K25" i="72"/>
  <c r="K23" i="72"/>
  <c r="K12" i="72"/>
  <c r="K13" i="72"/>
  <c r="K14" i="72"/>
  <c r="I12" i="72"/>
  <c r="L12" i="72" s="1"/>
  <c r="I13" i="72"/>
  <c r="K11" i="72"/>
  <c r="L73" i="72"/>
  <c r="I65" i="72"/>
  <c r="L65" i="72" s="1"/>
  <c r="I66" i="72"/>
  <c r="L66" i="72" s="1"/>
  <c r="I67" i="72"/>
  <c r="L67" i="72" s="1"/>
  <c r="I68" i="72"/>
  <c r="L68" i="72" s="1"/>
  <c r="L69" i="72"/>
  <c r="I70" i="72"/>
  <c r="L70" i="72" s="1"/>
  <c r="I71" i="72"/>
  <c r="L71" i="72" s="1"/>
  <c r="I72" i="72"/>
  <c r="L72" i="72" s="1"/>
  <c r="I84" i="72"/>
  <c r="L84" i="72" s="1"/>
  <c r="K22" i="72"/>
  <c r="K26" i="72"/>
  <c r="K28" i="72"/>
  <c r="K27" i="72"/>
  <c r="I62" i="72"/>
  <c r="L62" i="72" s="1"/>
  <c r="K7" i="72"/>
  <c r="K20" i="72"/>
  <c r="K19" i="72"/>
  <c r="K18" i="72"/>
  <c r="K17" i="72"/>
  <c r="K21" i="72"/>
  <c r="K106" i="72"/>
  <c r="K16" i="72"/>
  <c r="K8" i="72"/>
  <c r="K6" i="72"/>
  <c r="K5" i="72"/>
  <c r="I9" i="72"/>
  <c r="I7" i="72"/>
  <c r="L9" i="72"/>
  <c r="L7" i="72"/>
  <c r="K10" i="72"/>
  <c r="K15" i="72"/>
  <c r="AL98" i="72"/>
  <c r="AK98" i="72"/>
  <c r="AJ98" i="72"/>
  <c r="AI98" i="72"/>
  <c r="AH98" i="72"/>
  <c r="AG98" i="72"/>
  <c r="AF98" i="72"/>
  <c r="AE98" i="72"/>
  <c r="AD98" i="72"/>
  <c r="AC98" i="72"/>
  <c r="AB98" i="72"/>
  <c r="AA98" i="72"/>
  <c r="Z98" i="72"/>
  <c r="Y98" i="72"/>
  <c r="X98" i="72"/>
  <c r="W98" i="72"/>
  <c r="V98" i="72"/>
  <c r="U98" i="72"/>
  <c r="T98" i="72"/>
  <c r="S98" i="72"/>
  <c r="R98" i="72"/>
  <c r="Q98" i="72"/>
  <c r="P98" i="72"/>
  <c r="O98" i="72"/>
  <c r="N98" i="72"/>
  <c r="M98" i="72"/>
  <c r="K98" i="72"/>
  <c r="I97" i="72"/>
  <c r="L97" i="72" s="1"/>
  <c r="I96" i="72"/>
  <c r="L96" i="72" s="1"/>
  <c r="I95" i="72"/>
  <c r="L95" i="72" s="1"/>
  <c r="I94" i="72"/>
  <c r="L94" i="72" s="1"/>
  <c r="I93" i="72"/>
  <c r="L93" i="72" s="1"/>
  <c r="I92" i="72"/>
  <c r="L92" i="72" s="1"/>
  <c r="I91" i="72"/>
  <c r="L91" i="72" s="1"/>
  <c r="I90" i="72"/>
  <c r="L90" i="72" s="1"/>
  <c r="I89" i="72"/>
  <c r="L89" i="72" s="1"/>
  <c r="I88" i="72"/>
  <c r="L88" i="72" s="1"/>
  <c r="I87" i="72"/>
  <c r="L87" i="72" s="1"/>
  <c r="I86" i="72"/>
  <c r="L86" i="72" s="1"/>
  <c r="I85" i="72"/>
  <c r="L85" i="72" s="1"/>
  <c r="I83" i="72"/>
  <c r="L83" i="72" s="1"/>
  <c r="I82" i="72"/>
  <c r="L82" i="72" s="1"/>
  <c r="I81" i="72"/>
  <c r="L81" i="72" s="1"/>
  <c r="I80" i="72"/>
  <c r="L80" i="72" s="1"/>
  <c r="I79" i="72"/>
  <c r="L79" i="72" s="1"/>
  <c r="I78" i="72"/>
  <c r="L78" i="72" s="1"/>
  <c r="I77" i="72"/>
  <c r="L77" i="72" s="1"/>
  <c r="I76" i="72"/>
  <c r="L76" i="72" s="1"/>
  <c r="L75" i="72"/>
  <c r="L74" i="72"/>
  <c r="I64" i="72"/>
  <c r="L64" i="72" s="1"/>
  <c r="I63" i="72"/>
  <c r="L63" i="72" s="1"/>
  <c r="I61" i="72"/>
  <c r="L61" i="72" s="1"/>
  <c r="I60" i="72"/>
  <c r="L60" i="72" s="1"/>
  <c r="I59" i="72"/>
  <c r="L59" i="72" s="1"/>
  <c r="I58" i="72"/>
  <c r="L58" i="72" s="1"/>
  <c r="I57" i="72"/>
  <c r="L57" i="72" s="1"/>
  <c r="I56" i="72"/>
  <c r="L56" i="72" s="1"/>
  <c r="I55" i="72"/>
  <c r="L55" i="72" s="1"/>
  <c r="I54" i="72"/>
  <c r="L54" i="72" s="1"/>
  <c r="I53" i="72"/>
  <c r="L53" i="72" s="1"/>
  <c r="I52" i="72"/>
  <c r="L52" i="72" s="1"/>
  <c r="I51" i="72"/>
  <c r="L51" i="72" s="1"/>
  <c r="I50" i="72"/>
  <c r="L50" i="72" s="1"/>
  <c r="I49" i="72"/>
  <c r="L49" i="72" s="1"/>
  <c r="I48" i="72"/>
  <c r="L48" i="72" s="1"/>
  <c r="I47" i="72"/>
  <c r="L47" i="72" s="1"/>
  <c r="I46" i="72"/>
  <c r="L46" i="72" s="1"/>
  <c r="L45" i="72"/>
  <c r="I44" i="72"/>
  <c r="L44" i="72" s="1"/>
  <c r="I43" i="72"/>
  <c r="L43" i="72" s="1"/>
  <c r="I42" i="72"/>
  <c r="L42" i="72" s="1"/>
  <c r="I41" i="72"/>
  <c r="L41" i="72" s="1"/>
  <c r="I40" i="72"/>
  <c r="L40" i="72" s="1"/>
  <c r="I39" i="72"/>
  <c r="L39" i="72" s="1"/>
  <c r="I38" i="72"/>
  <c r="L38" i="72" s="1"/>
  <c r="I37" i="72"/>
  <c r="L37" i="72" s="1"/>
  <c r="I36" i="72"/>
  <c r="L36" i="72" s="1"/>
  <c r="L98" i="72" s="1"/>
  <c r="AL35" i="72"/>
  <c r="AK35" i="72"/>
  <c r="AJ35" i="72"/>
  <c r="AI35" i="72"/>
  <c r="AH35" i="72"/>
  <c r="AG35" i="72"/>
  <c r="AF35" i="72"/>
  <c r="AE35" i="72"/>
  <c r="AD35" i="72"/>
  <c r="AC35" i="72"/>
  <c r="AB35" i="72"/>
  <c r="AA35" i="72"/>
  <c r="Z35" i="72"/>
  <c r="Y35" i="72"/>
  <c r="X35" i="72"/>
  <c r="W35" i="72"/>
  <c r="V35" i="72"/>
  <c r="U35" i="72"/>
  <c r="T35" i="72"/>
  <c r="S35" i="72"/>
  <c r="R35" i="72"/>
  <c r="Q35" i="72"/>
  <c r="P35" i="72"/>
  <c r="O35" i="72"/>
  <c r="N35" i="72"/>
  <c r="M35" i="72"/>
  <c r="K35" i="72"/>
  <c r="I33" i="72"/>
  <c r="L33" i="72" s="1"/>
  <c r="L35" i="72" s="1"/>
  <c r="AL32" i="72"/>
  <c r="AL99" i="72" s="1"/>
  <c r="AK32" i="72"/>
  <c r="AK99" i="72" s="1"/>
  <c r="AJ32" i="72"/>
  <c r="AJ99" i="72" s="1"/>
  <c r="AI32" i="72"/>
  <c r="AI99" i="72" s="1"/>
  <c r="AH32" i="72"/>
  <c r="AH99" i="72" s="1"/>
  <c r="AG32" i="72"/>
  <c r="AG99" i="72" s="1"/>
  <c r="AF32" i="72"/>
  <c r="AF99" i="72" s="1"/>
  <c r="AE32" i="72"/>
  <c r="AE99" i="72" s="1"/>
  <c r="AD32" i="72"/>
  <c r="AD99" i="72" s="1"/>
  <c r="AC32" i="72"/>
  <c r="AC99" i="72" s="1"/>
  <c r="AB32" i="72"/>
  <c r="AB99" i="72" s="1"/>
  <c r="AA32" i="72"/>
  <c r="AA99" i="72" s="1"/>
  <c r="Z32" i="72"/>
  <c r="Z99" i="72" s="1"/>
  <c r="Y32" i="72"/>
  <c r="Y99" i="72" s="1"/>
  <c r="X32" i="72"/>
  <c r="X99" i="72" s="1"/>
  <c r="W32" i="72"/>
  <c r="W99" i="72" s="1"/>
  <c r="V32" i="72"/>
  <c r="V99" i="72" s="1"/>
  <c r="U32" i="72"/>
  <c r="U99" i="72" s="1"/>
  <c r="T32" i="72"/>
  <c r="T99" i="72" s="1"/>
  <c r="S32" i="72"/>
  <c r="S99" i="72" s="1"/>
  <c r="R32" i="72"/>
  <c r="R99" i="72" s="1"/>
  <c r="Q32" i="72"/>
  <c r="Q99" i="72" s="1"/>
  <c r="P32" i="72"/>
  <c r="P99" i="72" s="1"/>
  <c r="O32" i="72"/>
  <c r="O99" i="72" s="1"/>
  <c r="N32" i="72"/>
  <c r="N99" i="72" s="1"/>
  <c r="M32" i="72"/>
  <c r="M99" i="72" s="1"/>
  <c r="K32" i="72"/>
  <c r="K99" i="72" s="1"/>
  <c r="I31" i="72"/>
  <c r="L31" i="72" s="1"/>
  <c r="I30" i="72"/>
  <c r="L30" i="72" s="1"/>
  <c r="I29" i="72"/>
  <c r="L29" i="72" s="1"/>
  <c r="I28" i="72"/>
  <c r="L28" i="72" s="1"/>
  <c r="I27" i="72"/>
  <c r="L27" i="72" s="1"/>
  <c r="I26" i="72"/>
  <c r="L26" i="72" s="1"/>
  <c r="I25" i="72"/>
  <c r="L25" i="72" s="1"/>
  <c r="I24" i="72"/>
  <c r="L24" i="72" s="1"/>
  <c r="I23" i="72"/>
  <c r="L23" i="72" s="1"/>
  <c r="I22" i="72"/>
  <c r="L22" i="72" s="1"/>
  <c r="I21" i="72"/>
  <c r="L21" i="72" s="1"/>
  <c r="I20" i="72"/>
  <c r="L20" i="72" s="1"/>
  <c r="I19" i="72"/>
  <c r="L19" i="72" s="1"/>
  <c r="I18" i="72"/>
  <c r="L18" i="72" s="1"/>
  <c r="I17" i="72"/>
  <c r="L17" i="72" s="1"/>
  <c r="I16" i="72"/>
  <c r="L16" i="72" s="1"/>
  <c r="I15" i="72"/>
  <c r="L15" i="72" s="1"/>
  <c r="I14" i="72"/>
  <c r="L14" i="72" s="1"/>
  <c r="I11" i="72"/>
  <c r="L11" i="72" s="1"/>
  <c r="I10" i="72"/>
  <c r="L10" i="72" s="1"/>
  <c r="I8" i="72"/>
  <c r="L8" i="72" s="1"/>
  <c r="I6" i="72"/>
  <c r="L6" i="72" s="1"/>
  <c r="I5" i="72"/>
  <c r="L5" i="72" s="1"/>
  <c r="I4" i="72"/>
  <c r="L4" i="72" s="1"/>
  <c r="I56" i="71"/>
  <c r="L56" i="71" s="1"/>
  <c r="I57" i="71"/>
  <c r="L57" i="71" s="1"/>
  <c r="I58" i="71"/>
  <c r="L58" i="71" s="1"/>
  <c r="I59" i="71"/>
  <c r="L59" i="71" s="1"/>
  <c r="I60" i="71"/>
  <c r="L60" i="71" s="1"/>
  <c r="I61" i="71"/>
  <c r="L61" i="71" s="1"/>
  <c r="I62" i="71"/>
  <c r="L62" i="71" s="1"/>
  <c r="I63" i="71"/>
  <c r="L63" i="71" s="1"/>
  <c r="I64" i="71"/>
  <c r="L64" i="71" s="1"/>
  <c r="I65" i="71"/>
  <c r="L65" i="71" s="1"/>
  <c r="I66" i="71"/>
  <c r="L66" i="71" s="1"/>
  <c r="I67" i="71"/>
  <c r="L67" i="71" s="1"/>
  <c r="I68" i="71"/>
  <c r="L68" i="71" s="1"/>
  <c r="I69" i="71"/>
  <c r="L69" i="71" s="1"/>
  <c r="I70" i="71"/>
  <c r="L70" i="71" s="1"/>
  <c r="I71" i="71"/>
  <c r="L71" i="71" s="1"/>
  <c r="I72" i="71"/>
  <c r="L72" i="71" s="1"/>
  <c r="I73" i="71"/>
  <c r="L73" i="71" s="1"/>
  <c r="I75" i="71"/>
  <c r="L75" i="71" s="1"/>
  <c r="I76" i="71"/>
  <c r="L76" i="71" s="1"/>
  <c r="I77" i="71"/>
  <c r="L77" i="71" s="1"/>
  <c r="I78" i="71"/>
  <c r="L78" i="71" s="1"/>
  <c r="I79" i="71"/>
  <c r="L79" i="71" s="1"/>
  <c r="I80" i="71"/>
  <c r="L80" i="71" s="1"/>
  <c r="I81" i="71"/>
  <c r="L81" i="71" s="1"/>
  <c r="I82" i="71"/>
  <c r="L82" i="71" s="1"/>
  <c r="I83" i="71"/>
  <c r="L83" i="71" s="1"/>
  <c r="I84" i="71"/>
  <c r="L84" i="71" s="1"/>
  <c r="I85" i="71"/>
  <c r="L85" i="71" s="1"/>
  <c r="I86" i="71"/>
  <c r="L86" i="71" s="1"/>
  <c r="I87" i="71"/>
  <c r="L87" i="71" s="1"/>
  <c r="I88" i="71"/>
  <c r="L88" i="71" s="1"/>
  <c r="I89" i="71"/>
  <c r="L89" i="71" s="1"/>
  <c r="I90" i="71"/>
  <c r="L90" i="71" s="1"/>
  <c r="I91" i="71"/>
  <c r="L91" i="71" s="1"/>
  <c r="I92" i="71"/>
  <c r="L92" i="71" s="1"/>
  <c r="I93" i="71"/>
  <c r="L93" i="71" s="1"/>
  <c r="I94" i="71"/>
  <c r="L94" i="71" s="1"/>
  <c r="I95" i="71"/>
  <c r="L95" i="71" s="1"/>
  <c r="I96" i="71"/>
  <c r="L96" i="71" s="1"/>
  <c r="I97" i="71"/>
  <c r="L97" i="71" s="1"/>
  <c r="I98" i="71"/>
  <c r="L98" i="71" s="1"/>
  <c r="I99" i="71"/>
  <c r="L99" i="71" s="1"/>
  <c r="I100" i="71"/>
  <c r="L100" i="71" s="1"/>
  <c r="I101" i="71"/>
  <c r="L101" i="71" s="1"/>
  <c r="I102" i="71"/>
  <c r="L102" i="71" s="1"/>
  <c r="I104" i="71"/>
  <c r="L104" i="71" s="1"/>
  <c r="I105" i="71"/>
  <c r="L105" i="71" s="1"/>
  <c r="I106" i="71"/>
  <c r="L106" i="71" s="1"/>
  <c r="I107" i="71"/>
  <c r="L107" i="71" s="1"/>
  <c r="I108" i="71"/>
  <c r="L108" i="71" s="1"/>
  <c r="I109" i="71"/>
  <c r="L109" i="71" s="1"/>
  <c r="I110" i="71"/>
  <c r="L110" i="71" s="1"/>
  <c r="I111" i="71"/>
  <c r="L111" i="71" s="1"/>
  <c r="I112" i="71"/>
  <c r="L112" i="71" s="1"/>
  <c r="I113" i="71"/>
  <c r="L113" i="71" s="1"/>
  <c r="I30" i="71"/>
  <c r="L30" i="71" s="1"/>
  <c r="I31" i="71"/>
  <c r="I32" i="71"/>
  <c r="L32" i="71" s="1"/>
  <c r="I33" i="71"/>
  <c r="L33" i="71" s="1"/>
  <c r="K114" i="71"/>
  <c r="M114" i="71"/>
  <c r="N114" i="71"/>
  <c r="O114" i="71"/>
  <c r="P114" i="71"/>
  <c r="Q114" i="71"/>
  <c r="R114" i="71"/>
  <c r="S114" i="71"/>
  <c r="T114" i="71"/>
  <c r="U114" i="71"/>
  <c r="V114" i="71"/>
  <c r="W114" i="71"/>
  <c r="X114" i="71"/>
  <c r="Y114" i="71"/>
  <c r="Z114" i="71"/>
  <c r="AA114" i="71"/>
  <c r="AB114" i="71"/>
  <c r="AC114" i="71"/>
  <c r="AD114" i="71"/>
  <c r="AE114" i="71"/>
  <c r="AF114" i="71"/>
  <c r="AG114" i="71"/>
  <c r="AH114" i="71"/>
  <c r="AI114" i="71"/>
  <c r="AJ114" i="71"/>
  <c r="AK114" i="71"/>
  <c r="AL114" i="71"/>
  <c r="K34" i="71"/>
  <c r="M34" i="71"/>
  <c r="N34" i="71"/>
  <c r="O34" i="71"/>
  <c r="P34" i="71"/>
  <c r="Q34" i="71"/>
  <c r="R34" i="71"/>
  <c r="S34" i="71"/>
  <c r="T34" i="71"/>
  <c r="U34" i="71"/>
  <c r="V34" i="71"/>
  <c r="W34" i="71"/>
  <c r="X34" i="71"/>
  <c r="Y34" i="71"/>
  <c r="Z34" i="71"/>
  <c r="AA34" i="71"/>
  <c r="AB34" i="71"/>
  <c r="AC34" i="71"/>
  <c r="AD34" i="71"/>
  <c r="AE34" i="71"/>
  <c r="AF34" i="71"/>
  <c r="AG34" i="71"/>
  <c r="AH34" i="71"/>
  <c r="AI34" i="71"/>
  <c r="AJ34" i="71"/>
  <c r="AK34" i="71"/>
  <c r="AL34" i="71"/>
  <c r="I35" i="71"/>
  <c r="I36" i="71"/>
  <c r="L36" i="71"/>
  <c r="I37" i="71"/>
  <c r="L37" i="71"/>
  <c r="I38" i="71"/>
  <c r="L38" i="71"/>
  <c r="I39" i="71"/>
  <c r="L39" i="71" s="1"/>
  <c r="I40" i="71"/>
  <c r="L40" i="71"/>
  <c r="I41" i="71"/>
  <c r="L41" i="71" s="1"/>
  <c r="I42" i="71"/>
  <c r="L42" i="71"/>
  <c r="I43" i="71"/>
  <c r="L43" i="71"/>
  <c r="I44" i="71"/>
  <c r="L44" i="71"/>
  <c r="I45" i="71"/>
  <c r="L45" i="71"/>
  <c r="I46" i="71"/>
  <c r="L46" i="71" s="1"/>
  <c r="I47" i="71"/>
  <c r="L47" i="71"/>
  <c r="I48" i="71"/>
  <c r="L48" i="71" s="1"/>
  <c r="I49" i="71"/>
  <c r="L49" i="71"/>
  <c r="I50" i="71"/>
  <c r="L50" i="71"/>
  <c r="I51" i="71"/>
  <c r="L51" i="71"/>
  <c r="I52" i="71"/>
  <c r="L52" i="71"/>
  <c r="I53" i="71"/>
  <c r="L53" i="71" s="1"/>
  <c r="I55" i="71"/>
  <c r="L55" i="71" s="1"/>
  <c r="I4" i="71"/>
  <c r="I5" i="71"/>
  <c r="L5" i="71" s="1"/>
  <c r="I6" i="71"/>
  <c r="L6" i="71"/>
  <c r="I7" i="71"/>
  <c r="L7" i="71"/>
  <c r="I8" i="71"/>
  <c r="L8" i="71"/>
  <c r="I9" i="71"/>
  <c r="L9" i="71" s="1"/>
  <c r="I10" i="71"/>
  <c r="L10" i="71"/>
  <c r="I11" i="71"/>
  <c r="L11" i="71" s="1"/>
  <c r="I12" i="71"/>
  <c r="L12" i="71"/>
  <c r="I13" i="71"/>
  <c r="L13" i="71"/>
  <c r="I14" i="71"/>
  <c r="L14" i="71" s="1"/>
  <c r="I15" i="71"/>
  <c r="L15" i="71"/>
  <c r="I16" i="71"/>
  <c r="L16" i="71"/>
  <c r="I17" i="71"/>
  <c r="L17" i="71" s="1"/>
  <c r="I18" i="71"/>
  <c r="L18" i="71" s="1"/>
  <c r="I19" i="71"/>
  <c r="L19" i="71" s="1"/>
  <c r="I20" i="71"/>
  <c r="L20" i="71"/>
  <c r="I21" i="71"/>
  <c r="L21" i="71"/>
  <c r="I22" i="71"/>
  <c r="L22" i="71" s="1"/>
  <c r="I23" i="71"/>
  <c r="L23" i="71"/>
  <c r="I24" i="71"/>
  <c r="L24" i="71"/>
  <c r="I25" i="71"/>
  <c r="L25" i="71" s="1"/>
  <c r="I26" i="71"/>
  <c r="L26" i="71"/>
  <c r="I27" i="71"/>
  <c r="L27" i="71" s="1"/>
  <c r="K28" i="71"/>
  <c r="M28" i="71"/>
  <c r="N28" i="71"/>
  <c r="O28" i="71"/>
  <c r="O115" i="71" s="1"/>
  <c r="P28" i="71"/>
  <c r="P115" i="71" s="1"/>
  <c r="Q28" i="71"/>
  <c r="R28" i="71"/>
  <c r="S28" i="71"/>
  <c r="T28" i="71"/>
  <c r="U28" i="71"/>
  <c r="V28" i="71"/>
  <c r="W28" i="71"/>
  <c r="X28" i="71"/>
  <c r="Y28" i="71"/>
  <c r="Z28" i="71"/>
  <c r="AA28" i="71"/>
  <c r="AB28" i="71"/>
  <c r="AC28" i="71"/>
  <c r="AC115" i="71" s="1"/>
  <c r="AD28" i="71"/>
  <c r="AD115" i="71" s="1"/>
  <c r="AE28" i="71"/>
  <c r="AF28" i="71"/>
  <c r="AG28" i="71"/>
  <c r="AH28" i="71"/>
  <c r="AI28" i="71"/>
  <c r="AI115" i="71" s="1"/>
  <c r="AJ28" i="71"/>
  <c r="AJ115" i="71" s="1"/>
  <c r="AK28" i="71"/>
  <c r="AK115" i="71" s="1"/>
  <c r="AL28" i="71"/>
  <c r="AL115" i="71" s="1"/>
  <c r="I29" i="71"/>
  <c r="L34" i="71" s="1"/>
  <c r="K86" i="65"/>
  <c r="AH37" i="70"/>
  <c r="AI37" i="70"/>
  <c r="AJ37" i="70"/>
  <c r="AH38" i="70"/>
  <c r="AI38" i="70"/>
  <c r="AJ38" i="70"/>
  <c r="AH39" i="70"/>
  <c r="AI39" i="70"/>
  <c r="AJ39" i="70"/>
  <c r="AH40" i="70"/>
  <c r="AI40" i="70"/>
  <c r="AJ40" i="70"/>
  <c r="AH41" i="70"/>
  <c r="AI41" i="70"/>
  <c r="AJ41" i="70"/>
  <c r="AH42" i="70"/>
  <c r="AI42" i="70"/>
  <c r="AJ42" i="70"/>
  <c r="AH43" i="70"/>
  <c r="AI43" i="70"/>
  <c r="AJ43" i="70"/>
  <c r="AH44" i="70"/>
  <c r="AI44" i="70"/>
  <c r="AJ44" i="70"/>
  <c r="AG44" i="70"/>
  <c r="AG43" i="70"/>
  <c r="AG42" i="70"/>
  <c r="AG41" i="70"/>
  <c r="AG40" i="70"/>
  <c r="AG39" i="70"/>
  <c r="AG38" i="70"/>
  <c r="AG37" i="70"/>
  <c r="K70" i="70"/>
  <c r="L7" i="70"/>
  <c r="L8" i="70"/>
  <c r="I7" i="70"/>
  <c r="I8" i="70"/>
  <c r="I9" i="70"/>
  <c r="I25" i="70"/>
  <c r="K28" i="70"/>
  <c r="K27" i="70"/>
  <c r="K24" i="70"/>
  <c r="K21" i="70"/>
  <c r="K20" i="70"/>
  <c r="K19" i="70"/>
  <c r="K18" i="70"/>
  <c r="K17" i="70"/>
  <c r="K16" i="70"/>
  <c r="K14" i="70"/>
  <c r="K13" i="70"/>
  <c r="K12" i="70"/>
  <c r="K11" i="70"/>
  <c r="K10" i="70"/>
  <c r="K9" i="70"/>
  <c r="K8" i="70"/>
  <c r="K6" i="70"/>
  <c r="K5" i="70"/>
  <c r="K80" i="70"/>
  <c r="I57" i="70"/>
  <c r="I60" i="70"/>
  <c r="L60" i="70" s="1"/>
  <c r="AL72" i="70"/>
  <c r="AK72" i="70"/>
  <c r="AJ72" i="70"/>
  <c r="AI72" i="70"/>
  <c r="AH72" i="70"/>
  <c r="AG72" i="70"/>
  <c r="AF72" i="70"/>
  <c r="AE72" i="70"/>
  <c r="AD72" i="70"/>
  <c r="AC72" i="70"/>
  <c r="AB72" i="70"/>
  <c r="AA72" i="70"/>
  <c r="Z72" i="70"/>
  <c r="Y72" i="70"/>
  <c r="X72" i="70"/>
  <c r="W72" i="70"/>
  <c r="V72" i="70"/>
  <c r="U72" i="70"/>
  <c r="T72" i="70"/>
  <c r="S72" i="70"/>
  <c r="R72" i="70"/>
  <c r="Q72" i="70"/>
  <c r="P72" i="70"/>
  <c r="O72" i="70"/>
  <c r="N72" i="70"/>
  <c r="M72" i="70"/>
  <c r="K72" i="70"/>
  <c r="L71" i="70"/>
  <c r="I70" i="70"/>
  <c r="L70" i="70" s="1"/>
  <c r="I69" i="70"/>
  <c r="L69" i="70" s="1"/>
  <c r="I68" i="70"/>
  <c r="L68" i="70" s="1"/>
  <c r="I67" i="70"/>
  <c r="L67" i="70" s="1"/>
  <c r="I66" i="70"/>
  <c r="L66" i="70" s="1"/>
  <c r="I65" i="70"/>
  <c r="L65" i="70" s="1"/>
  <c r="I64" i="70"/>
  <c r="L64" i="70" s="1"/>
  <c r="I63" i="70"/>
  <c r="L63" i="70" s="1"/>
  <c r="I62" i="70"/>
  <c r="L62" i="70" s="1"/>
  <c r="I61" i="70"/>
  <c r="L61" i="70" s="1"/>
  <c r="I59" i="70"/>
  <c r="L59" i="70" s="1"/>
  <c r="I58" i="70"/>
  <c r="L58" i="70" s="1"/>
  <c r="L57" i="70"/>
  <c r="I56" i="70"/>
  <c r="L56" i="70" s="1"/>
  <c r="I55" i="70"/>
  <c r="L55" i="70" s="1"/>
  <c r="I54" i="70"/>
  <c r="L54" i="70" s="1"/>
  <c r="I53" i="70"/>
  <c r="L53" i="70" s="1"/>
  <c r="I52" i="70"/>
  <c r="L52" i="70" s="1"/>
  <c r="I51" i="70"/>
  <c r="L51" i="70" s="1"/>
  <c r="I50" i="70"/>
  <c r="L50" i="70" s="1"/>
  <c r="I49" i="70"/>
  <c r="L49" i="70" s="1"/>
  <c r="I48" i="70"/>
  <c r="L48" i="70" s="1"/>
  <c r="I47" i="70"/>
  <c r="L47" i="70" s="1"/>
  <c r="I46" i="70"/>
  <c r="L46" i="70" s="1"/>
  <c r="I45" i="70"/>
  <c r="L45" i="70" s="1"/>
  <c r="I44" i="70"/>
  <c r="L44" i="70" s="1"/>
  <c r="I43" i="70"/>
  <c r="L43" i="70" s="1"/>
  <c r="I42" i="70"/>
  <c r="L42" i="70" s="1"/>
  <c r="I41" i="70"/>
  <c r="L41" i="70" s="1"/>
  <c r="I40" i="70"/>
  <c r="L40" i="70" s="1"/>
  <c r="I39" i="70"/>
  <c r="L39" i="70" s="1"/>
  <c r="I38" i="70"/>
  <c r="L38" i="70" s="1"/>
  <c r="I37" i="70"/>
  <c r="L37" i="70" s="1"/>
  <c r="I36" i="70"/>
  <c r="L36" i="70" s="1"/>
  <c r="I35" i="70"/>
  <c r="L35" i="70" s="1"/>
  <c r="I34" i="70"/>
  <c r="L34" i="70" s="1"/>
  <c r="L72" i="70" s="1"/>
  <c r="AL33" i="70"/>
  <c r="AK33" i="70"/>
  <c r="AJ33" i="70"/>
  <c r="AI33" i="70"/>
  <c r="AH33" i="70"/>
  <c r="AG33" i="70"/>
  <c r="AF33" i="70"/>
  <c r="AE33" i="70"/>
  <c r="AD33" i="70"/>
  <c r="AC33" i="70"/>
  <c r="AB33" i="70"/>
  <c r="AA33" i="70"/>
  <c r="Z33" i="70"/>
  <c r="Y33" i="70"/>
  <c r="X33" i="70"/>
  <c r="W33" i="70"/>
  <c r="V33" i="70"/>
  <c r="U33" i="70"/>
  <c r="T33" i="70"/>
  <c r="S33" i="70"/>
  <c r="R33" i="70"/>
  <c r="Q33" i="70"/>
  <c r="P33" i="70"/>
  <c r="O33" i="70"/>
  <c r="N33" i="70"/>
  <c r="M33" i="70"/>
  <c r="K33" i="70"/>
  <c r="I31" i="70"/>
  <c r="L31" i="70" s="1"/>
  <c r="L33" i="70" s="1"/>
  <c r="AL30" i="70"/>
  <c r="AL73" i="70" s="1"/>
  <c r="AK30" i="70"/>
  <c r="AK73" i="70" s="1"/>
  <c r="AJ30" i="70"/>
  <c r="AJ73" i="70" s="1"/>
  <c r="AI30" i="70"/>
  <c r="AI73" i="70" s="1"/>
  <c r="AH30" i="70"/>
  <c r="AH73" i="70" s="1"/>
  <c r="AG30" i="70"/>
  <c r="AG73" i="70" s="1"/>
  <c r="AF30" i="70"/>
  <c r="AF73" i="70" s="1"/>
  <c r="AE30" i="70"/>
  <c r="AE73" i="70" s="1"/>
  <c r="AD30" i="70"/>
  <c r="AD73" i="70" s="1"/>
  <c r="AC30" i="70"/>
  <c r="AC73" i="70" s="1"/>
  <c r="AB30" i="70"/>
  <c r="AB73" i="70" s="1"/>
  <c r="AA30" i="70"/>
  <c r="AA73" i="70" s="1"/>
  <c r="Z30" i="70"/>
  <c r="Z73" i="70" s="1"/>
  <c r="Y30" i="70"/>
  <c r="Y73" i="70" s="1"/>
  <c r="X30" i="70"/>
  <c r="X73" i="70" s="1"/>
  <c r="W30" i="70"/>
  <c r="W73" i="70" s="1"/>
  <c r="V30" i="70"/>
  <c r="V73" i="70" s="1"/>
  <c r="U30" i="70"/>
  <c r="U73" i="70" s="1"/>
  <c r="T30" i="70"/>
  <c r="T73" i="70" s="1"/>
  <c r="S30" i="70"/>
  <c r="S73" i="70" s="1"/>
  <c r="R30" i="70"/>
  <c r="R73" i="70" s="1"/>
  <c r="Q30" i="70"/>
  <c r="Q73" i="70" s="1"/>
  <c r="P30" i="70"/>
  <c r="P73" i="70" s="1"/>
  <c r="O30" i="70"/>
  <c r="O73" i="70" s="1"/>
  <c r="N30" i="70"/>
  <c r="N73" i="70" s="1"/>
  <c r="M30" i="70"/>
  <c r="M73" i="70" s="1"/>
  <c r="K30" i="70"/>
  <c r="K73" i="70" s="1"/>
  <c r="I29" i="70"/>
  <c r="L29" i="70" s="1"/>
  <c r="I28" i="70"/>
  <c r="L28" i="70" s="1"/>
  <c r="I27" i="70"/>
  <c r="L27" i="70" s="1"/>
  <c r="I26" i="70"/>
  <c r="L26" i="70" s="1"/>
  <c r="L25" i="70"/>
  <c r="I24" i="70"/>
  <c r="L24" i="70" s="1"/>
  <c r="I23" i="70"/>
  <c r="L23" i="70" s="1"/>
  <c r="I22" i="70"/>
  <c r="L22" i="70" s="1"/>
  <c r="I21" i="70"/>
  <c r="L21" i="70" s="1"/>
  <c r="I20" i="70"/>
  <c r="L20" i="70" s="1"/>
  <c r="I19" i="70"/>
  <c r="L19" i="70" s="1"/>
  <c r="I18" i="70"/>
  <c r="L18" i="70" s="1"/>
  <c r="I17" i="70"/>
  <c r="L17" i="70" s="1"/>
  <c r="I16" i="70"/>
  <c r="L16" i="70" s="1"/>
  <c r="I15" i="70"/>
  <c r="L15" i="70" s="1"/>
  <c r="I14" i="70"/>
  <c r="L14" i="70" s="1"/>
  <c r="I13" i="70"/>
  <c r="L13" i="70" s="1"/>
  <c r="I12" i="70"/>
  <c r="L12" i="70" s="1"/>
  <c r="I11" i="70"/>
  <c r="L11" i="70" s="1"/>
  <c r="I10" i="70"/>
  <c r="L10" i="70" s="1"/>
  <c r="L9" i="70"/>
  <c r="I6" i="70"/>
  <c r="L6" i="70" s="1"/>
  <c r="I5" i="70"/>
  <c r="L5" i="70" s="1"/>
  <c r="I4" i="70"/>
  <c r="L4" i="70" s="1"/>
  <c r="L30" i="70" s="1"/>
  <c r="L73" i="70" s="1"/>
  <c r="I87" i="69"/>
  <c r="I57" i="69"/>
  <c r="L57" i="69" s="1"/>
  <c r="I71" i="69"/>
  <c r="L71" i="69" s="1"/>
  <c r="I72" i="69"/>
  <c r="L72" i="69" s="1"/>
  <c r="I104" i="69"/>
  <c r="L104" i="69" s="1"/>
  <c r="I94" i="69"/>
  <c r="L94" i="69" s="1"/>
  <c r="I95" i="69"/>
  <c r="L95" i="69" s="1"/>
  <c r="I85" i="69"/>
  <c r="L85" i="69" s="1"/>
  <c r="I27" i="69"/>
  <c r="L27" i="69" s="1"/>
  <c r="I28" i="69"/>
  <c r="L28" i="69" s="1"/>
  <c r="I29" i="69"/>
  <c r="L29" i="69" s="1"/>
  <c r="I5" i="69"/>
  <c r="AL109" i="69"/>
  <c r="AK109" i="69"/>
  <c r="AJ109" i="69"/>
  <c r="AI109" i="69"/>
  <c r="AH109" i="69"/>
  <c r="AG109" i="69"/>
  <c r="AF109" i="69"/>
  <c r="AE109" i="69"/>
  <c r="AD109" i="69"/>
  <c r="AC109" i="69"/>
  <c r="AB109" i="69"/>
  <c r="AA109" i="69"/>
  <c r="Z109" i="69"/>
  <c r="Y109" i="69"/>
  <c r="X109" i="69"/>
  <c r="W109" i="69"/>
  <c r="V109" i="69"/>
  <c r="U109" i="69"/>
  <c r="T109" i="69"/>
  <c r="S109" i="69"/>
  <c r="R109" i="69"/>
  <c r="Q109" i="69"/>
  <c r="P109" i="69"/>
  <c r="O109" i="69"/>
  <c r="N109" i="69"/>
  <c r="M109" i="69"/>
  <c r="K109" i="69"/>
  <c r="L108" i="69"/>
  <c r="I107" i="69"/>
  <c r="L107" i="69" s="1"/>
  <c r="I106" i="69"/>
  <c r="L106" i="69" s="1"/>
  <c r="I105" i="69"/>
  <c r="L105" i="69" s="1"/>
  <c r="I103" i="69"/>
  <c r="L103" i="69" s="1"/>
  <c r="I102" i="69"/>
  <c r="L102" i="69" s="1"/>
  <c r="I100" i="69"/>
  <c r="L100" i="69" s="1"/>
  <c r="I99" i="69"/>
  <c r="L99" i="69" s="1"/>
  <c r="I98" i="69"/>
  <c r="L98" i="69" s="1"/>
  <c r="I97" i="69"/>
  <c r="L97" i="69" s="1"/>
  <c r="I93" i="69"/>
  <c r="L93" i="69" s="1"/>
  <c r="I92" i="69"/>
  <c r="L92" i="69" s="1"/>
  <c r="I91" i="69"/>
  <c r="L91" i="69" s="1"/>
  <c r="I90" i="69"/>
  <c r="L90" i="69" s="1"/>
  <c r="I89" i="69"/>
  <c r="L89" i="69" s="1"/>
  <c r="I88" i="69"/>
  <c r="L88" i="69" s="1"/>
  <c r="L87" i="69"/>
  <c r="I86" i="69"/>
  <c r="L86" i="69" s="1"/>
  <c r="I83" i="69"/>
  <c r="L83" i="69" s="1"/>
  <c r="I82" i="69"/>
  <c r="L82" i="69" s="1"/>
  <c r="I81" i="69"/>
  <c r="L81" i="69" s="1"/>
  <c r="I80" i="69"/>
  <c r="L80" i="69" s="1"/>
  <c r="I79" i="69"/>
  <c r="L79" i="69" s="1"/>
  <c r="I78" i="69"/>
  <c r="L78" i="69" s="1"/>
  <c r="I77" i="69"/>
  <c r="L77" i="69" s="1"/>
  <c r="I76" i="69"/>
  <c r="L76" i="69" s="1"/>
  <c r="I75" i="69"/>
  <c r="L75" i="69" s="1"/>
  <c r="I74" i="69"/>
  <c r="L74" i="69" s="1"/>
  <c r="I73" i="69"/>
  <c r="L73" i="69" s="1"/>
  <c r="I69" i="69"/>
  <c r="L69" i="69" s="1"/>
  <c r="I68" i="69"/>
  <c r="L68" i="69" s="1"/>
  <c r="I67" i="69"/>
  <c r="L67" i="69" s="1"/>
  <c r="I66" i="69"/>
  <c r="L66" i="69" s="1"/>
  <c r="I65" i="69"/>
  <c r="L65" i="69" s="1"/>
  <c r="I64" i="69"/>
  <c r="L64" i="69" s="1"/>
  <c r="I63" i="69"/>
  <c r="L63" i="69" s="1"/>
  <c r="I62" i="69"/>
  <c r="L62" i="69" s="1"/>
  <c r="I61" i="69"/>
  <c r="L61" i="69" s="1"/>
  <c r="I60" i="69"/>
  <c r="L60" i="69" s="1"/>
  <c r="I59" i="69"/>
  <c r="L59" i="69" s="1"/>
  <c r="I58" i="69"/>
  <c r="L58" i="69" s="1"/>
  <c r="I56" i="69"/>
  <c r="L56" i="69" s="1"/>
  <c r="I55" i="69"/>
  <c r="L55" i="69" s="1"/>
  <c r="I54" i="69"/>
  <c r="L54" i="69" s="1"/>
  <c r="I53" i="69"/>
  <c r="L53" i="69" s="1"/>
  <c r="I52" i="69"/>
  <c r="L52" i="69" s="1"/>
  <c r="I51" i="69"/>
  <c r="L51" i="69" s="1"/>
  <c r="I50" i="69"/>
  <c r="L50" i="69" s="1"/>
  <c r="I49" i="69"/>
  <c r="L49" i="69" s="1"/>
  <c r="I48" i="69"/>
  <c r="L48" i="69" s="1"/>
  <c r="I47" i="69"/>
  <c r="L47" i="69" s="1"/>
  <c r="I46" i="69"/>
  <c r="L46" i="69" s="1"/>
  <c r="I45" i="69"/>
  <c r="L45" i="69" s="1"/>
  <c r="I44" i="69"/>
  <c r="L44" i="69" s="1"/>
  <c r="I43" i="69"/>
  <c r="L43" i="69" s="1"/>
  <c r="I42" i="69"/>
  <c r="L42" i="69" s="1"/>
  <c r="I41" i="69"/>
  <c r="L41" i="69" s="1"/>
  <c r="I40" i="69"/>
  <c r="L40" i="69" s="1"/>
  <c r="I39" i="69"/>
  <c r="L39" i="69" s="1"/>
  <c r="I38" i="69"/>
  <c r="L38" i="69" s="1"/>
  <c r="I37" i="69"/>
  <c r="L37" i="69" s="1"/>
  <c r="I36" i="69"/>
  <c r="L36" i="69" s="1"/>
  <c r="I35" i="69"/>
  <c r="L35" i="69" s="1"/>
  <c r="I34" i="69"/>
  <c r="L34" i="69" s="1"/>
  <c r="I33" i="69"/>
  <c r="L33" i="69" s="1"/>
  <c r="I32" i="69"/>
  <c r="L32" i="69" s="1"/>
  <c r="I31" i="69"/>
  <c r="L109" i="69" s="1"/>
  <c r="AL30" i="69"/>
  <c r="AK30" i="69"/>
  <c r="AJ30" i="69"/>
  <c r="AI30" i="69"/>
  <c r="AH30" i="69"/>
  <c r="AG30" i="69"/>
  <c r="AF30" i="69"/>
  <c r="AE30" i="69"/>
  <c r="AD30" i="69"/>
  <c r="AC30" i="69"/>
  <c r="AB30" i="69"/>
  <c r="AA30" i="69"/>
  <c r="Z30" i="69"/>
  <c r="Y30" i="69"/>
  <c r="X30" i="69"/>
  <c r="W30" i="69"/>
  <c r="V30" i="69"/>
  <c r="U30" i="69"/>
  <c r="T30" i="69"/>
  <c r="S30" i="69"/>
  <c r="R30" i="69"/>
  <c r="Q30" i="69"/>
  <c r="P30" i="69"/>
  <c r="O30" i="69"/>
  <c r="N30" i="69"/>
  <c r="M30" i="69"/>
  <c r="K30" i="69"/>
  <c r="I26" i="69"/>
  <c r="L30" i="69" s="1"/>
  <c r="AL25" i="69"/>
  <c r="AL110" i="69" s="1"/>
  <c r="AK25" i="69"/>
  <c r="AK110" i="69" s="1"/>
  <c r="AJ25" i="69"/>
  <c r="AJ110" i="69" s="1"/>
  <c r="AI25" i="69"/>
  <c r="AI110" i="69" s="1"/>
  <c r="AH25" i="69"/>
  <c r="AH110" i="69" s="1"/>
  <c r="AG25" i="69"/>
  <c r="AG110" i="69" s="1"/>
  <c r="AF25" i="69"/>
  <c r="AF110" i="69" s="1"/>
  <c r="AE25" i="69"/>
  <c r="AE110" i="69" s="1"/>
  <c r="AD25" i="69"/>
  <c r="AD110" i="69" s="1"/>
  <c r="AC25" i="69"/>
  <c r="AC110" i="69" s="1"/>
  <c r="AB25" i="69"/>
  <c r="AB110" i="69" s="1"/>
  <c r="AA25" i="69"/>
  <c r="AA110" i="69" s="1"/>
  <c r="Z25" i="69"/>
  <c r="Z110" i="69" s="1"/>
  <c r="Y25" i="69"/>
  <c r="Y110" i="69" s="1"/>
  <c r="X25" i="69"/>
  <c r="X110" i="69" s="1"/>
  <c r="W25" i="69"/>
  <c r="W110" i="69" s="1"/>
  <c r="V25" i="69"/>
  <c r="V110" i="69" s="1"/>
  <c r="U25" i="69"/>
  <c r="U110" i="69" s="1"/>
  <c r="T25" i="69"/>
  <c r="T110" i="69" s="1"/>
  <c r="S25" i="69"/>
  <c r="S110" i="69" s="1"/>
  <c r="R25" i="69"/>
  <c r="R110" i="69" s="1"/>
  <c r="Q25" i="69"/>
  <c r="Q110" i="69" s="1"/>
  <c r="P25" i="69"/>
  <c r="P110" i="69" s="1"/>
  <c r="O25" i="69"/>
  <c r="O110" i="69" s="1"/>
  <c r="N25" i="69"/>
  <c r="N110" i="69" s="1"/>
  <c r="M25" i="69"/>
  <c r="M110" i="69" s="1"/>
  <c r="K25" i="69"/>
  <c r="K110" i="69" s="1"/>
  <c r="I24" i="69"/>
  <c r="L24" i="69" s="1"/>
  <c r="I23" i="69"/>
  <c r="L23" i="69" s="1"/>
  <c r="I22" i="69"/>
  <c r="L22" i="69" s="1"/>
  <c r="I21" i="69"/>
  <c r="L21" i="69" s="1"/>
  <c r="I20" i="69"/>
  <c r="L20" i="69" s="1"/>
  <c r="I19" i="69"/>
  <c r="L19" i="69" s="1"/>
  <c r="I18" i="69"/>
  <c r="L18" i="69" s="1"/>
  <c r="I17" i="69"/>
  <c r="I16" i="69"/>
  <c r="L16" i="69" s="1"/>
  <c r="I15" i="69"/>
  <c r="L15" i="69" s="1"/>
  <c r="I14" i="69"/>
  <c r="L14" i="69" s="1"/>
  <c r="I13" i="69"/>
  <c r="L13" i="69" s="1"/>
  <c r="I12" i="69"/>
  <c r="L12" i="69" s="1"/>
  <c r="I11" i="69"/>
  <c r="L11" i="69" s="1"/>
  <c r="I10" i="69"/>
  <c r="L10" i="69" s="1"/>
  <c r="I9" i="69"/>
  <c r="L9" i="69" s="1"/>
  <c r="I8" i="69"/>
  <c r="L8" i="69" s="1"/>
  <c r="I7" i="69"/>
  <c r="L7" i="69" s="1"/>
  <c r="I6" i="69"/>
  <c r="L6" i="69" s="1"/>
  <c r="L5" i="69"/>
  <c r="I4" i="69"/>
  <c r="L25" i="69" s="1"/>
  <c r="L110" i="69" s="1"/>
  <c r="L35" i="68"/>
  <c r="L36" i="68"/>
  <c r="K36" i="68"/>
  <c r="K35" i="68"/>
  <c r="K34" i="68"/>
  <c r="AH65" i="68"/>
  <c r="AI65" i="68"/>
  <c r="AJ65" i="68"/>
  <c r="AH64" i="68"/>
  <c r="AI64" i="68"/>
  <c r="AJ64" i="68"/>
  <c r="AH63" i="68"/>
  <c r="AI63" i="68"/>
  <c r="AJ63" i="68"/>
  <c r="AH62" i="68"/>
  <c r="AI62" i="68"/>
  <c r="AJ62" i="68"/>
  <c r="AH61" i="68"/>
  <c r="AI61" i="68"/>
  <c r="AJ61" i="68"/>
  <c r="AH60" i="68"/>
  <c r="AI60" i="68"/>
  <c r="AJ60" i="68"/>
  <c r="AH59" i="68"/>
  <c r="AI59" i="68"/>
  <c r="AJ59" i="68"/>
  <c r="AH58" i="68"/>
  <c r="AI58" i="68"/>
  <c r="AJ58" i="68"/>
  <c r="AG65" i="68"/>
  <c r="AG64" i="68"/>
  <c r="AG63" i="68"/>
  <c r="AG62" i="68"/>
  <c r="AG61" i="68"/>
  <c r="AG60" i="68"/>
  <c r="AG59" i="68"/>
  <c r="AG58" i="68"/>
  <c r="AH57" i="68"/>
  <c r="AI57" i="68"/>
  <c r="AJ57" i="68"/>
  <c r="AG57" i="68"/>
  <c r="AH56" i="68"/>
  <c r="AI56" i="68"/>
  <c r="AJ56" i="68"/>
  <c r="AG56" i="68"/>
  <c r="I35" i="68"/>
  <c r="K66" i="68"/>
  <c r="I60" i="68"/>
  <c r="L60" i="68" s="1"/>
  <c r="I61" i="68"/>
  <c r="L61" i="68" s="1"/>
  <c r="I62" i="68"/>
  <c r="L62" i="68" s="1"/>
  <c r="I63" i="68"/>
  <c r="L63" i="68" s="1"/>
  <c r="I64" i="68"/>
  <c r="L64" i="68" s="1"/>
  <c r="I65" i="68"/>
  <c r="L65" i="68" s="1"/>
  <c r="I66" i="68"/>
  <c r="K82" i="68"/>
  <c r="K27" i="68"/>
  <c r="K25" i="68"/>
  <c r="K24" i="68"/>
  <c r="K23" i="68"/>
  <c r="K22" i="68"/>
  <c r="K21" i="68"/>
  <c r="K18" i="68"/>
  <c r="K17" i="68"/>
  <c r="K16" i="68"/>
  <c r="K15" i="68"/>
  <c r="K14" i="68"/>
  <c r="K13" i="68"/>
  <c r="K12" i="68"/>
  <c r="K9" i="68"/>
  <c r="K8" i="68"/>
  <c r="K7" i="68"/>
  <c r="K6" i="68"/>
  <c r="K5" i="68"/>
  <c r="AL74" i="68"/>
  <c r="AK74" i="68"/>
  <c r="AJ74" i="68"/>
  <c r="AI74" i="68"/>
  <c r="AH74" i="68"/>
  <c r="AG74" i="68"/>
  <c r="AF74" i="68"/>
  <c r="AE74" i="68"/>
  <c r="AD74" i="68"/>
  <c r="AC74" i="68"/>
  <c r="AB74" i="68"/>
  <c r="AA74" i="68"/>
  <c r="Z74" i="68"/>
  <c r="Y74" i="68"/>
  <c r="X74" i="68"/>
  <c r="W74" i="68"/>
  <c r="V74" i="68"/>
  <c r="U74" i="68"/>
  <c r="T74" i="68"/>
  <c r="S74" i="68"/>
  <c r="R74" i="68"/>
  <c r="Q74" i="68"/>
  <c r="P74" i="68"/>
  <c r="O74" i="68"/>
  <c r="N74" i="68"/>
  <c r="M74" i="68"/>
  <c r="K74" i="68"/>
  <c r="I72" i="68"/>
  <c r="L72" i="68" s="1"/>
  <c r="I71" i="68"/>
  <c r="L71" i="68" s="1"/>
  <c r="I70" i="68"/>
  <c r="L70" i="68" s="1"/>
  <c r="I69" i="68"/>
  <c r="L69" i="68" s="1"/>
  <c r="I68" i="68"/>
  <c r="L68" i="68" s="1"/>
  <c r="I67" i="68"/>
  <c r="L67" i="68" s="1"/>
  <c r="L66" i="68"/>
  <c r="I59" i="68"/>
  <c r="L59" i="68" s="1"/>
  <c r="I58" i="68"/>
  <c r="L58" i="68" s="1"/>
  <c r="I57" i="68"/>
  <c r="L57" i="68" s="1"/>
  <c r="I56" i="68"/>
  <c r="L56" i="68" s="1"/>
  <c r="I55" i="68"/>
  <c r="L55" i="68" s="1"/>
  <c r="I54" i="68"/>
  <c r="L54" i="68" s="1"/>
  <c r="I53" i="68"/>
  <c r="L53" i="68" s="1"/>
  <c r="I52" i="68"/>
  <c r="L52" i="68" s="1"/>
  <c r="I51" i="68"/>
  <c r="L51" i="68" s="1"/>
  <c r="I50" i="68"/>
  <c r="L50" i="68" s="1"/>
  <c r="I49" i="68"/>
  <c r="L49" i="68" s="1"/>
  <c r="I48" i="68"/>
  <c r="L48" i="68" s="1"/>
  <c r="I47" i="68"/>
  <c r="L47" i="68" s="1"/>
  <c r="I46" i="68"/>
  <c r="L46" i="68" s="1"/>
  <c r="I45" i="68"/>
  <c r="L45" i="68" s="1"/>
  <c r="I44" i="68"/>
  <c r="L44" i="68" s="1"/>
  <c r="I43" i="68"/>
  <c r="L43" i="68" s="1"/>
  <c r="I42" i="68"/>
  <c r="L42" i="68" s="1"/>
  <c r="I41" i="68"/>
  <c r="L41" i="68" s="1"/>
  <c r="I40" i="68"/>
  <c r="L40" i="68" s="1"/>
  <c r="I39" i="68"/>
  <c r="L39" i="68" s="1"/>
  <c r="I38" i="68"/>
  <c r="L38" i="68" s="1"/>
  <c r="I37" i="68"/>
  <c r="L37" i="68" s="1"/>
  <c r="I36" i="68"/>
  <c r="I34" i="68"/>
  <c r="L34" i="68" s="1"/>
  <c r="I33" i="68"/>
  <c r="L33" i="68" s="1"/>
  <c r="L74" i="68" s="1"/>
  <c r="AL32" i="68"/>
  <c r="AK32" i="68"/>
  <c r="AJ32" i="68"/>
  <c r="AI32" i="68"/>
  <c r="AH32" i="68"/>
  <c r="AG32" i="68"/>
  <c r="AF32" i="68"/>
  <c r="AE32" i="68"/>
  <c r="AD32" i="68"/>
  <c r="AC32" i="68"/>
  <c r="AB32" i="68"/>
  <c r="AA32" i="68"/>
  <c r="Z32" i="68"/>
  <c r="Y32" i="68"/>
  <c r="X32" i="68"/>
  <c r="W32" i="68"/>
  <c r="V32" i="68"/>
  <c r="U32" i="68"/>
  <c r="T32" i="68"/>
  <c r="S32" i="68"/>
  <c r="R32" i="68"/>
  <c r="Q32" i="68"/>
  <c r="P32" i="68"/>
  <c r="O32" i="68"/>
  <c r="N32" i="68"/>
  <c r="M32" i="68"/>
  <c r="K32" i="68"/>
  <c r="I30" i="68"/>
  <c r="L30" i="68" s="1"/>
  <c r="L32" i="68" s="1"/>
  <c r="AL29" i="68"/>
  <c r="AL75" i="68" s="1"/>
  <c r="AK29" i="68"/>
  <c r="AK75" i="68" s="1"/>
  <c r="AJ29" i="68"/>
  <c r="AJ75" i="68" s="1"/>
  <c r="AI29" i="68"/>
  <c r="AI75" i="68" s="1"/>
  <c r="AH29" i="68"/>
  <c r="AH75" i="68" s="1"/>
  <c r="AG29" i="68"/>
  <c r="AG75" i="68" s="1"/>
  <c r="AF29" i="68"/>
  <c r="AF75" i="68" s="1"/>
  <c r="AE29" i="68"/>
  <c r="AE75" i="68" s="1"/>
  <c r="AD29" i="68"/>
  <c r="AD75" i="68" s="1"/>
  <c r="AC29" i="68"/>
  <c r="AC75" i="68" s="1"/>
  <c r="AB29" i="68"/>
  <c r="AB75" i="68" s="1"/>
  <c r="AA29" i="68"/>
  <c r="AA75" i="68" s="1"/>
  <c r="Z29" i="68"/>
  <c r="Z75" i="68" s="1"/>
  <c r="Y29" i="68"/>
  <c r="Y75" i="68" s="1"/>
  <c r="X29" i="68"/>
  <c r="X75" i="68" s="1"/>
  <c r="W29" i="68"/>
  <c r="W75" i="68" s="1"/>
  <c r="V29" i="68"/>
  <c r="V75" i="68" s="1"/>
  <c r="U29" i="68"/>
  <c r="U75" i="68" s="1"/>
  <c r="T29" i="68"/>
  <c r="T75" i="68" s="1"/>
  <c r="S29" i="68"/>
  <c r="S75" i="68" s="1"/>
  <c r="R29" i="68"/>
  <c r="R75" i="68" s="1"/>
  <c r="Q29" i="68"/>
  <c r="Q75" i="68" s="1"/>
  <c r="P29" i="68"/>
  <c r="P75" i="68" s="1"/>
  <c r="O29" i="68"/>
  <c r="O75" i="68" s="1"/>
  <c r="N29" i="68"/>
  <c r="N75" i="68" s="1"/>
  <c r="M29" i="68"/>
  <c r="M75" i="68" s="1"/>
  <c r="K29" i="68"/>
  <c r="K75" i="68" s="1"/>
  <c r="I28" i="68"/>
  <c r="L28" i="68" s="1"/>
  <c r="I27" i="68"/>
  <c r="L27" i="68" s="1"/>
  <c r="I26" i="68"/>
  <c r="L26" i="68" s="1"/>
  <c r="I25" i="68"/>
  <c r="L25" i="68" s="1"/>
  <c r="I24" i="68"/>
  <c r="L24" i="68" s="1"/>
  <c r="I23" i="68"/>
  <c r="L23" i="68" s="1"/>
  <c r="I22" i="68"/>
  <c r="L22" i="68" s="1"/>
  <c r="I21" i="68"/>
  <c r="L21" i="68" s="1"/>
  <c r="I20" i="68"/>
  <c r="L20" i="68" s="1"/>
  <c r="I19" i="68"/>
  <c r="L19" i="68" s="1"/>
  <c r="I18" i="68"/>
  <c r="L18" i="68" s="1"/>
  <c r="I17" i="68"/>
  <c r="L17" i="68" s="1"/>
  <c r="I16" i="68"/>
  <c r="L16" i="68" s="1"/>
  <c r="I15" i="68"/>
  <c r="L15" i="68" s="1"/>
  <c r="I14" i="68"/>
  <c r="L14" i="68" s="1"/>
  <c r="I13" i="68"/>
  <c r="L13" i="68" s="1"/>
  <c r="I12" i="68"/>
  <c r="L12" i="68" s="1"/>
  <c r="I11" i="68"/>
  <c r="L11" i="68" s="1"/>
  <c r="I10" i="68"/>
  <c r="L10" i="68" s="1"/>
  <c r="I9" i="68"/>
  <c r="L9" i="68" s="1"/>
  <c r="I8" i="68"/>
  <c r="L8" i="68" s="1"/>
  <c r="I7" i="68"/>
  <c r="L7" i="68" s="1"/>
  <c r="I6" i="68"/>
  <c r="L6" i="68" s="1"/>
  <c r="I5" i="68"/>
  <c r="L5" i="68" s="1"/>
  <c r="I4" i="68"/>
  <c r="L4" i="68" s="1"/>
  <c r="L29" i="68" s="1"/>
  <c r="L75" i="68" s="1"/>
  <c r="L48" i="66"/>
  <c r="I48" i="66"/>
  <c r="K103" i="66"/>
  <c r="K102" i="66"/>
  <c r="K28" i="66"/>
  <c r="K100" i="66"/>
  <c r="K101" i="66"/>
  <c r="K99" i="66"/>
  <c r="K97" i="66"/>
  <c r="K96" i="66"/>
  <c r="K95" i="66"/>
  <c r="K94" i="66"/>
  <c r="K93" i="66"/>
  <c r="K92" i="66"/>
  <c r="K91" i="66"/>
  <c r="K90" i="66"/>
  <c r="K89" i="66"/>
  <c r="K88" i="66"/>
  <c r="K87" i="66"/>
  <c r="K86" i="66"/>
  <c r="K85" i="66"/>
  <c r="K83" i="66"/>
  <c r="K84" i="66"/>
  <c r="K82" i="66"/>
  <c r="K81" i="66"/>
  <c r="K80" i="66"/>
  <c r="K26" i="66"/>
  <c r="I20" i="66"/>
  <c r="L20" i="66" s="1"/>
  <c r="I21" i="66"/>
  <c r="L21" i="66" s="1"/>
  <c r="I22" i="66"/>
  <c r="L22" i="66" s="1"/>
  <c r="I23" i="66"/>
  <c r="L23" i="66" s="1"/>
  <c r="I24" i="66"/>
  <c r="L24" i="66" s="1"/>
  <c r="I38" i="66"/>
  <c r="L38" i="66" s="1"/>
  <c r="I39" i="66"/>
  <c r="L39" i="66" s="1"/>
  <c r="I40" i="66"/>
  <c r="L40" i="66" s="1"/>
  <c r="I41" i="66"/>
  <c r="L41" i="66" s="1"/>
  <c r="I42" i="66"/>
  <c r="L42" i="66" s="1"/>
  <c r="I43" i="66"/>
  <c r="L43" i="66" s="1"/>
  <c r="I44" i="66"/>
  <c r="L44" i="66" s="1"/>
  <c r="I45" i="66"/>
  <c r="L45" i="66" s="1"/>
  <c r="I46" i="66"/>
  <c r="L46" i="66" s="1"/>
  <c r="I47" i="66"/>
  <c r="L47" i="66" s="1"/>
  <c r="I49" i="66"/>
  <c r="L49" i="66" s="1"/>
  <c r="I50" i="66"/>
  <c r="L50" i="66" s="1"/>
  <c r="I51" i="66"/>
  <c r="L51" i="66" s="1"/>
  <c r="I52" i="66"/>
  <c r="L52" i="66" s="1"/>
  <c r="I53" i="66"/>
  <c r="L53" i="66" s="1"/>
  <c r="I54" i="66"/>
  <c r="L54" i="66" s="1"/>
  <c r="I55" i="66"/>
  <c r="L55" i="66" s="1"/>
  <c r="I56" i="66"/>
  <c r="L56" i="66" s="1"/>
  <c r="I57" i="66"/>
  <c r="L57" i="66" s="1"/>
  <c r="I58" i="66"/>
  <c r="L58" i="66" s="1"/>
  <c r="I59" i="66"/>
  <c r="L59" i="66" s="1"/>
  <c r="I60" i="66"/>
  <c r="L60" i="66" s="1"/>
  <c r="I61" i="66"/>
  <c r="L61" i="66" s="1"/>
  <c r="I62" i="66"/>
  <c r="L62" i="66" s="1"/>
  <c r="I63" i="66"/>
  <c r="L63" i="66" s="1"/>
  <c r="I64" i="66"/>
  <c r="L64" i="66" s="1"/>
  <c r="I65" i="66"/>
  <c r="L65" i="66" s="1"/>
  <c r="I66" i="66"/>
  <c r="L66" i="66" s="1"/>
  <c r="I67" i="66"/>
  <c r="L67" i="66" s="1"/>
  <c r="I68" i="66"/>
  <c r="L68" i="66" s="1"/>
  <c r="I69" i="66"/>
  <c r="L69" i="66" s="1"/>
  <c r="I70" i="66"/>
  <c r="L70" i="66" s="1"/>
  <c r="I71" i="66"/>
  <c r="L71" i="66" s="1"/>
  <c r="I72" i="66"/>
  <c r="L72" i="66" s="1"/>
  <c r="I73" i="66"/>
  <c r="L73" i="66" s="1"/>
  <c r="I74" i="66"/>
  <c r="L74" i="66" s="1"/>
  <c r="I75" i="66"/>
  <c r="L75" i="66" s="1"/>
  <c r="I76" i="66"/>
  <c r="L76" i="66" s="1"/>
  <c r="I77" i="66"/>
  <c r="L77" i="66" s="1"/>
  <c r="I78" i="66"/>
  <c r="L78" i="66" s="1"/>
  <c r="I79" i="66"/>
  <c r="L79" i="66" s="1"/>
  <c r="I80" i="66"/>
  <c r="I81" i="66"/>
  <c r="I82" i="66"/>
  <c r="I83" i="66"/>
  <c r="I84" i="66"/>
  <c r="I85" i="66"/>
  <c r="I86" i="66"/>
  <c r="I87" i="66"/>
  <c r="I88" i="66"/>
  <c r="I89" i="66"/>
  <c r="I90" i="66"/>
  <c r="I91" i="66"/>
  <c r="I92" i="66"/>
  <c r="I93" i="66"/>
  <c r="I94" i="66"/>
  <c r="I95" i="66"/>
  <c r="I96" i="66"/>
  <c r="I97" i="66"/>
  <c r="I98" i="66"/>
  <c r="L98" i="66" s="1"/>
  <c r="I99" i="66"/>
  <c r="L99" i="66" s="1"/>
  <c r="I100" i="66"/>
  <c r="L100" i="66" s="1"/>
  <c r="I101" i="66"/>
  <c r="L101" i="66" s="1"/>
  <c r="I102" i="66"/>
  <c r="L102" i="66" s="1"/>
  <c r="I103" i="66"/>
  <c r="L103" i="66" s="1"/>
  <c r="I104" i="66"/>
  <c r="L104" i="66" s="1"/>
  <c r="AL105" i="66"/>
  <c r="AK105" i="66"/>
  <c r="AJ105" i="66"/>
  <c r="AI105" i="66"/>
  <c r="AH105" i="66"/>
  <c r="AG105" i="66"/>
  <c r="AF105" i="66"/>
  <c r="AE105" i="66"/>
  <c r="AD105" i="66"/>
  <c r="AC105" i="66"/>
  <c r="AB105" i="66"/>
  <c r="AA105" i="66"/>
  <c r="Z105" i="66"/>
  <c r="Y105" i="66"/>
  <c r="X105" i="66"/>
  <c r="W105" i="66"/>
  <c r="V105" i="66"/>
  <c r="U105" i="66"/>
  <c r="T105" i="66"/>
  <c r="S105" i="66"/>
  <c r="R105" i="66"/>
  <c r="Q105" i="66"/>
  <c r="P105" i="66"/>
  <c r="O105" i="66"/>
  <c r="N105" i="66"/>
  <c r="M105" i="66"/>
  <c r="I37" i="66"/>
  <c r="L37" i="66" s="1"/>
  <c r="I36" i="66"/>
  <c r="L36" i="66" s="1"/>
  <c r="I35" i="66"/>
  <c r="L35" i="66" s="1"/>
  <c r="I34" i="66"/>
  <c r="L34" i="66" s="1"/>
  <c r="AL33" i="66"/>
  <c r="AK33" i="66"/>
  <c r="AJ33" i="66"/>
  <c r="AI33" i="66"/>
  <c r="AH33" i="66"/>
  <c r="AG33" i="66"/>
  <c r="AF33" i="66"/>
  <c r="AE33" i="66"/>
  <c r="AD33" i="66"/>
  <c r="AC33" i="66"/>
  <c r="AB33" i="66"/>
  <c r="AA33" i="66"/>
  <c r="Z33" i="66"/>
  <c r="Y33" i="66"/>
  <c r="X33" i="66"/>
  <c r="W33" i="66"/>
  <c r="V33" i="66"/>
  <c r="U33" i="66"/>
  <c r="T33" i="66"/>
  <c r="S33" i="66"/>
  <c r="R33" i="66"/>
  <c r="Q33" i="66"/>
  <c r="P33" i="66"/>
  <c r="O33" i="66"/>
  <c r="N33" i="66"/>
  <c r="M33" i="66"/>
  <c r="I32" i="66"/>
  <c r="L32" i="66" s="1"/>
  <c r="I31" i="66"/>
  <c r="I30" i="66"/>
  <c r="L30" i="66" s="1"/>
  <c r="I29" i="66"/>
  <c r="I28" i="66"/>
  <c r="I27" i="66"/>
  <c r="L27" i="66" s="1"/>
  <c r="AL26" i="66"/>
  <c r="AK26" i="66"/>
  <c r="AJ26" i="66"/>
  <c r="AI26" i="66"/>
  <c r="AH26" i="66"/>
  <c r="AG26" i="66"/>
  <c r="AF26" i="66"/>
  <c r="AE26" i="66"/>
  <c r="AD26" i="66"/>
  <c r="AC26" i="66"/>
  <c r="AB26" i="66"/>
  <c r="AA26" i="66"/>
  <c r="Z26" i="66"/>
  <c r="Y26" i="66"/>
  <c r="X26" i="66"/>
  <c r="W26" i="66"/>
  <c r="V26" i="66"/>
  <c r="U26" i="66"/>
  <c r="T26" i="66"/>
  <c r="S26" i="66"/>
  <c r="R26" i="66"/>
  <c r="Q26" i="66"/>
  <c r="P26" i="66"/>
  <c r="O26" i="66"/>
  <c r="N26" i="66"/>
  <c r="M26" i="66"/>
  <c r="I25" i="66"/>
  <c r="L25" i="66" s="1"/>
  <c r="I19" i="66"/>
  <c r="L19" i="66" s="1"/>
  <c r="I18" i="66"/>
  <c r="L18" i="66" s="1"/>
  <c r="I17" i="66"/>
  <c r="L17" i="66" s="1"/>
  <c r="I16" i="66"/>
  <c r="L16" i="66" s="1"/>
  <c r="I15" i="66"/>
  <c r="L15" i="66" s="1"/>
  <c r="I14" i="66"/>
  <c r="L14" i="66" s="1"/>
  <c r="I13" i="66"/>
  <c r="L13" i="66" s="1"/>
  <c r="I12" i="66"/>
  <c r="L12" i="66" s="1"/>
  <c r="I11" i="66"/>
  <c r="L11" i="66" s="1"/>
  <c r="I10" i="66"/>
  <c r="L10" i="66" s="1"/>
  <c r="I9" i="66"/>
  <c r="L9" i="66" s="1"/>
  <c r="I8" i="66"/>
  <c r="L8" i="66" s="1"/>
  <c r="I7" i="66"/>
  <c r="L7" i="66" s="1"/>
  <c r="I6" i="66"/>
  <c r="L6" i="66" s="1"/>
  <c r="I5" i="66"/>
  <c r="L5" i="66" s="1"/>
  <c r="I4" i="66"/>
  <c r="L4" i="66" s="1"/>
  <c r="L59" i="65"/>
  <c r="L60" i="65"/>
  <c r="L61" i="65"/>
  <c r="I59" i="65"/>
  <c r="I60" i="65"/>
  <c r="I61" i="65"/>
  <c r="K55" i="65"/>
  <c r="I69" i="65"/>
  <c r="L69" i="65" s="1"/>
  <c r="I70" i="65"/>
  <c r="L70" i="65" s="1"/>
  <c r="I71" i="65"/>
  <c r="L71" i="65" s="1"/>
  <c r="I72" i="65"/>
  <c r="L72" i="65" s="1"/>
  <c r="I73" i="65"/>
  <c r="L73" i="65" s="1"/>
  <c r="I74" i="65"/>
  <c r="L74" i="65" s="1"/>
  <c r="I85" i="65"/>
  <c r="L85" i="65" s="1"/>
  <c r="Y81" i="65"/>
  <c r="X81" i="65"/>
  <c r="Z80" i="65"/>
  <c r="AA80" i="65"/>
  <c r="Y79" i="65"/>
  <c r="X79" i="65"/>
  <c r="Z78" i="65"/>
  <c r="AA78" i="65"/>
  <c r="X77" i="65"/>
  <c r="Y77" i="65"/>
  <c r="Z76" i="65"/>
  <c r="AA76" i="65"/>
  <c r="Y75" i="65"/>
  <c r="X75" i="65"/>
  <c r="I49" i="65"/>
  <c r="L49" i="65" s="1"/>
  <c r="I36" i="65"/>
  <c r="L36" i="65" s="1"/>
  <c r="I37" i="65"/>
  <c r="L37" i="65" s="1"/>
  <c r="I81" i="65"/>
  <c r="L81" i="65" s="1"/>
  <c r="K94" i="65"/>
  <c r="I63" i="65"/>
  <c r="I7" i="65"/>
  <c r="L7" i="65" s="1"/>
  <c r="I8" i="65"/>
  <c r="L8" i="65" s="1"/>
  <c r="I14" i="65"/>
  <c r="L14" i="65" s="1"/>
  <c r="I15" i="65"/>
  <c r="L15" i="65" s="1"/>
  <c r="I16" i="65"/>
  <c r="L16" i="65" s="1"/>
  <c r="I23" i="65"/>
  <c r="L23" i="65" s="1"/>
  <c r="I24" i="65"/>
  <c r="L24" i="65" s="1"/>
  <c r="I25" i="65"/>
  <c r="L25" i="65" s="1"/>
  <c r="I26" i="65"/>
  <c r="L26" i="65" s="1"/>
  <c r="I27" i="65"/>
  <c r="L27" i="65" s="1"/>
  <c r="I28" i="65"/>
  <c r="L28" i="65" s="1"/>
  <c r="I29" i="65"/>
  <c r="L29" i="65" s="1"/>
  <c r="I30" i="65"/>
  <c r="L30" i="65" s="1"/>
  <c r="I31" i="65"/>
  <c r="L31" i="65" s="1"/>
  <c r="I6" i="65"/>
  <c r="I5" i="65"/>
  <c r="AH45" i="65"/>
  <c r="AI45" i="65"/>
  <c r="AJ45" i="65"/>
  <c r="AG45" i="65"/>
  <c r="AH54" i="65"/>
  <c r="AI54" i="65"/>
  <c r="AJ54" i="65"/>
  <c r="AG54" i="65"/>
  <c r="AH52" i="65"/>
  <c r="AI52" i="65"/>
  <c r="AJ52" i="65"/>
  <c r="AH53" i="65"/>
  <c r="AI53" i="65"/>
  <c r="AJ53" i="65"/>
  <c r="AG53" i="65"/>
  <c r="AG52" i="65"/>
  <c r="AH51" i="65"/>
  <c r="AI51" i="65"/>
  <c r="AJ51" i="65"/>
  <c r="AG51" i="65"/>
  <c r="I79" i="65"/>
  <c r="L79" i="65" s="1"/>
  <c r="AL86" i="65"/>
  <c r="AK86" i="65"/>
  <c r="AJ86" i="65"/>
  <c r="AI86" i="65"/>
  <c r="AH86" i="65"/>
  <c r="AG86" i="65"/>
  <c r="AF86" i="65"/>
  <c r="AE86" i="65"/>
  <c r="AD86" i="65"/>
  <c r="AC86" i="65"/>
  <c r="AB86" i="65"/>
  <c r="AA86" i="65"/>
  <c r="Z86" i="65"/>
  <c r="Y86" i="65"/>
  <c r="X86" i="65"/>
  <c r="W86" i="65"/>
  <c r="V86" i="65"/>
  <c r="U86" i="65"/>
  <c r="T86" i="65"/>
  <c r="S86" i="65"/>
  <c r="R86" i="65"/>
  <c r="Q86" i="65"/>
  <c r="P86" i="65"/>
  <c r="O86" i="65"/>
  <c r="N86" i="65"/>
  <c r="M86" i="65"/>
  <c r="I84" i="65"/>
  <c r="L84" i="65" s="1"/>
  <c r="I82" i="65"/>
  <c r="L82" i="65" s="1"/>
  <c r="I80" i="65"/>
  <c r="L80" i="65" s="1"/>
  <c r="I78" i="65"/>
  <c r="L78" i="65" s="1"/>
  <c r="I77" i="65"/>
  <c r="L77" i="65" s="1"/>
  <c r="I76" i="65"/>
  <c r="L76" i="65" s="1"/>
  <c r="I75" i="65"/>
  <c r="L75" i="65" s="1"/>
  <c r="I68" i="65"/>
  <c r="L68" i="65" s="1"/>
  <c r="I67" i="65"/>
  <c r="L67" i="65" s="1"/>
  <c r="I66" i="65"/>
  <c r="L66" i="65" s="1"/>
  <c r="I65" i="65"/>
  <c r="L65" i="65" s="1"/>
  <c r="I64" i="65"/>
  <c r="L64" i="65" s="1"/>
  <c r="L63" i="65"/>
  <c r="I58" i="65"/>
  <c r="L58" i="65" s="1"/>
  <c r="I57" i="65"/>
  <c r="L57" i="65" s="1"/>
  <c r="I56" i="65"/>
  <c r="L56" i="65" s="1"/>
  <c r="I55" i="65"/>
  <c r="L55" i="65" s="1"/>
  <c r="I54" i="65"/>
  <c r="L54" i="65" s="1"/>
  <c r="I53" i="65"/>
  <c r="L53" i="65" s="1"/>
  <c r="I52" i="65"/>
  <c r="L52" i="65" s="1"/>
  <c r="I51" i="65"/>
  <c r="L51" i="65" s="1"/>
  <c r="I50" i="65"/>
  <c r="L50" i="65" s="1"/>
  <c r="I48" i="65"/>
  <c r="L48" i="65" s="1"/>
  <c r="I47" i="65"/>
  <c r="L47" i="65" s="1"/>
  <c r="I46" i="65"/>
  <c r="L46" i="65" s="1"/>
  <c r="I45" i="65"/>
  <c r="L45" i="65" s="1"/>
  <c r="I44" i="65"/>
  <c r="L44" i="65" s="1"/>
  <c r="I43" i="65"/>
  <c r="L43" i="65" s="1"/>
  <c r="I42" i="65"/>
  <c r="L42" i="65" s="1"/>
  <c r="L86" i="65" s="1"/>
  <c r="AL41" i="65"/>
  <c r="AK41" i="65"/>
  <c r="AJ41" i="65"/>
  <c r="AI41" i="65"/>
  <c r="AH41" i="65"/>
  <c r="AG41" i="65"/>
  <c r="AF41" i="65"/>
  <c r="AE41" i="65"/>
  <c r="AD41" i="65"/>
  <c r="AC41" i="65"/>
  <c r="AB41" i="65"/>
  <c r="AA41" i="65"/>
  <c r="Z41" i="65"/>
  <c r="Y41" i="65"/>
  <c r="X41" i="65"/>
  <c r="W41" i="65"/>
  <c r="V41" i="65"/>
  <c r="U41" i="65"/>
  <c r="T41" i="65"/>
  <c r="S41" i="65"/>
  <c r="R41" i="65"/>
  <c r="Q41" i="65"/>
  <c r="P41" i="65"/>
  <c r="O41" i="65"/>
  <c r="N41" i="65"/>
  <c r="M41" i="65"/>
  <c r="K41" i="65"/>
  <c r="I39" i="65"/>
  <c r="L39" i="65" s="1"/>
  <c r="L41" i="65" s="1"/>
  <c r="AL38" i="65"/>
  <c r="AL87" i="65" s="1"/>
  <c r="AK38" i="65"/>
  <c r="AK87" i="65" s="1"/>
  <c r="AJ38" i="65"/>
  <c r="AJ87" i="65" s="1"/>
  <c r="AI38" i="65"/>
  <c r="AI87" i="65" s="1"/>
  <c r="AH38" i="65"/>
  <c r="AH87" i="65" s="1"/>
  <c r="AG38" i="65"/>
  <c r="AG87" i="65" s="1"/>
  <c r="AF38" i="65"/>
  <c r="AF87" i="65" s="1"/>
  <c r="AE38" i="65"/>
  <c r="AE87" i="65" s="1"/>
  <c r="AD38" i="65"/>
  <c r="AD87" i="65" s="1"/>
  <c r="AC38" i="65"/>
  <c r="AC87" i="65" s="1"/>
  <c r="AB38" i="65"/>
  <c r="AB87" i="65" s="1"/>
  <c r="AA38" i="65"/>
  <c r="AA87" i="65" s="1"/>
  <c r="Z38" i="65"/>
  <c r="Z87" i="65" s="1"/>
  <c r="Y38" i="65"/>
  <c r="Y87" i="65" s="1"/>
  <c r="X38" i="65"/>
  <c r="X87" i="65" s="1"/>
  <c r="W38" i="65"/>
  <c r="W87" i="65" s="1"/>
  <c r="V38" i="65"/>
  <c r="V87" i="65" s="1"/>
  <c r="U38" i="65"/>
  <c r="U87" i="65" s="1"/>
  <c r="T38" i="65"/>
  <c r="T87" i="65" s="1"/>
  <c r="S38" i="65"/>
  <c r="S87" i="65" s="1"/>
  <c r="R38" i="65"/>
  <c r="R87" i="65" s="1"/>
  <c r="Q38" i="65"/>
  <c r="Q87" i="65" s="1"/>
  <c r="P38" i="65"/>
  <c r="P87" i="65" s="1"/>
  <c r="O38" i="65"/>
  <c r="O87" i="65" s="1"/>
  <c r="N38" i="65"/>
  <c r="N87" i="65" s="1"/>
  <c r="M38" i="65"/>
  <c r="M87" i="65" s="1"/>
  <c r="K38" i="65"/>
  <c r="I35" i="65"/>
  <c r="L35" i="65" s="1"/>
  <c r="I34" i="65"/>
  <c r="L34" i="65" s="1"/>
  <c r="I33" i="65"/>
  <c r="L33" i="65" s="1"/>
  <c r="I32" i="65"/>
  <c r="L32" i="65" s="1"/>
  <c r="I22" i="65"/>
  <c r="L22" i="65" s="1"/>
  <c r="I21" i="65"/>
  <c r="L21" i="65" s="1"/>
  <c r="I20" i="65"/>
  <c r="L20" i="65" s="1"/>
  <c r="I19" i="65"/>
  <c r="L19" i="65" s="1"/>
  <c r="I18" i="65"/>
  <c r="L18" i="65" s="1"/>
  <c r="I17" i="65"/>
  <c r="L17" i="65" s="1"/>
  <c r="I13" i="65"/>
  <c r="L13" i="65" s="1"/>
  <c r="I12" i="65"/>
  <c r="L12" i="65" s="1"/>
  <c r="I11" i="65"/>
  <c r="L11" i="65" s="1"/>
  <c r="I10" i="65"/>
  <c r="L10" i="65" s="1"/>
  <c r="I9" i="65"/>
  <c r="L9" i="65" s="1"/>
  <c r="L6" i="65"/>
  <c r="L5" i="65"/>
  <c r="I4" i="65"/>
  <c r="L4" i="65" s="1"/>
  <c r="L38" i="65" s="1"/>
  <c r="L87" i="65" s="1"/>
  <c r="I128" i="64"/>
  <c r="L128" i="64" s="1"/>
  <c r="I129" i="64"/>
  <c r="L129" i="64" s="1"/>
  <c r="I130" i="64"/>
  <c r="L130" i="64" s="1"/>
  <c r="I127" i="64"/>
  <c r="L127" i="64" s="1"/>
  <c r="I55" i="64"/>
  <c r="L55" i="64" s="1"/>
  <c r="I56" i="64"/>
  <c r="L56" i="64" s="1"/>
  <c r="K108" i="64"/>
  <c r="K109" i="64"/>
  <c r="K110" i="64"/>
  <c r="K111" i="64"/>
  <c r="K112" i="64"/>
  <c r="K113" i="64"/>
  <c r="K114" i="64"/>
  <c r="K115" i="64"/>
  <c r="K116" i="64"/>
  <c r="K117" i="64"/>
  <c r="K118" i="64"/>
  <c r="K119" i="64"/>
  <c r="K120" i="64"/>
  <c r="I14" i="64"/>
  <c r="L14" i="64" s="1"/>
  <c r="I15" i="64"/>
  <c r="L15" i="64" s="1"/>
  <c r="I16" i="64"/>
  <c r="L16" i="64"/>
  <c r="I17" i="64"/>
  <c r="L17" i="64" s="1"/>
  <c r="K26" i="64"/>
  <c r="K24" i="64"/>
  <c r="K23" i="64"/>
  <c r="S128" i="73" l="1"/>
  <c r="AE128" i="73"/>
  <c r="T128" i="73"/>
  <c r="AF128" i="73"/>
  <c r="AG128" i="73"/>
  <c r="U128" i="73"/>
  <c r="V128" i="73"/>
  <c r="AH128" i="73"/>
  <c r="R128" i="73"/>
  <c r="AD128" i="73"/>
  <c r="AI128" i="73"/>
  <c r="X128" i="73"/>
  <c r="AJ128" i="73"/>
  <c r="W128" i="73"/>
  <c r="M128" i="73"/>
  <c r="Y128" i="73"/>
  <c r="AK128" i="73"/>
  <c r="N128" i="73"/>
  <c r="Z128" i="73"/>
  <c r="AL128" i="73"/>
  <c r="O128" i="73"/>
  <c r="AA128" i="73"/>
  <c r="P128" i="73"/>
  <c r="AB128" i="73"/>
  <c r="Q128" i="73"/>
  <c r="AC128" i="73"/>
  <c r="K128" i="73"/>
  <c r="L36" i="73"/>
  <c r="L30" i="73"/>
  <c r="L127" i="73"/>
  <c r="L13" i="72"/>
  <c r="L32" i="72" s="1"/>
  <c r="L99" i="72" s="1"/>
  <c r="AG115" i="71"/>
  <c r="AF115" i="71"/>
  <c r="R115" i="71"/>
  <c r="M115" i="71"/>
  <c r="Q115" i="71"/>
  <c r="T115" i="71"/>
  <c r="U115" i="71"/>
  <c r="V115" i="71"/>
  <c r="W115" i="71"/>
  <c r="X115" i="71"/>
  <c r="Y115" i="71"/>
  <c r="Z115" i="71"/>
  <c r="AA115" i="71"/>
  <c r="AE115" i="71"/>
  <c r="AH115" i="71"/>
  <c r="N115" i="71"/>
  <c r="AB115" i="71"/>
  <c r="S115" i="71"/>
  <c r="K115" i="71"/>
  <c r="L28" i="71"/>
  <c r="L114" i="71"/>
  <c r="K87" i="65"/>
  <c r="L97" i="66"/>
  <c r="L92" i="66"/>
  <c r="L96" i="66"/>
  <c r="L83" i="66"/>
  <c r="L85" i="66"/>
  <c r="L94" i="66"/>
  <c r="L82" i="66"/>
  <c r="L81" i="66"/>
  <c r="L80" i="66"/>
  <c r="L93" i="66"/>
  <c r="K105" i="66"/>
  <c r="L89" i="66"/>
  <c r="L88" i="66"/>
  <c r="L87" i="66"/>
  <c r="L91" i="66"/>
  <c r="L86" i="66"/>
  <c r="L90" i="66"/>
  <c r="L95" i="66"/>
  <c r="L84" i="66"/>
  <c r="X106" i="66"/>
  <c r="W106" i="66"/>
  <c r="M106" i="66"/>
  <c r="Z106" i="66"/>
  <c r="Y106" i="66"/>
  <c r="N106" i="66"/>
  <c r="AL106" i="66"/>
  <c r="AI106" i="66"/>
  <c r="O106" i="66"/>
  <c r="AA106" i="66"/>
  <c r="AK106" i="66"/>
  <c r="P106" i="66"/>
  <c r="AF106" i="66"/>
  <c r="V106" i="66"/>
  <c r="AH106" i="66"/>
  <c r="AJ106" i="66"/>
  <c r="AB106" i="66"/>
  <c r="T106" i="66"/>
  <c r="AG106" i="66"/>
  <c r="R106" i="66"/>
  <c r="AD106" i="66"/>
  <c r="AE106" i="66"/>
  <c r="Q106" i="66"/>
  <c r="AC106" i="66"/>
  <c r="L29" i="66"/>
  <c r="L28" i="66"/>
  <c r="L31" i="66"/>
  <c r="U106" i="66"/>
  <c r="S106" i="66"/>
  <c r="L26" i="66"/>
  <c r="K33" i="66"/>
  <c r="I125" i="64"/>
  <c r="L125" i="64" s="1"/>
  <c r="I131" i="64"/>
  <c r="L131" i="64" s="1"/>
  <c r="I132" i="64"/>
  <c r="L132" i="64"/>
  <c r="I123" i="64"/>
  <c r="L123" i="64" s="1"/>
  <c r="I124" i="64"/>
  <c r="L124" i="64" s="1"/>
  <c r="K107" i="64"/>
  <c r="K91" i="64"/>
  <c r="K90" i="64"/>
  <c r="K88" i="64"/>
  <c r="K87" i="64"/>
  <c r="K85" i="64"/>
  <c r="K84" i="64"/>
  <c r="K79" i="64"/>
  <c r="K78" i="64"/>
  <c r="K76" i="64"/>
  <c r="K75" i="64"/>
  <c r="K73" i="64"/>
  <c r="K72" i="64"/>
  <c r="K68" i="64"/>
  <c r="K67" i="64"/>
  <c r="K66" i="64"/>
  <c r="K64" i="64"/>
  <c r="K63" i="64"/>
  <c r="K61" i="64"/>
  <c r="K60" i="64"/>
  <c r="K59" i="64"/>
  <c r="K62" i="64"/>
  <c r="K65" i="64"/>
  <c r="K69" i="64"/>
  <c r="K70" i="64"/>
  <c r="K71" i="64"/>
  <c r="K74" i="64"/>
  <c r="K77" i="64"/>
  <c r="K80" i="64"/>
  <c r="K81" i="64"/>
  <c r="K82" i="64"/>
  <c r="K83" i="64"/>
  <c r="K86" i="64"/>
  <c r="K89" i="64"/>
  <c r="K92" i="64"/>
  <c r="K93" i="64"/>
  <c r="K58" i="64"/>
  <c r="I65" i="64"/>
  <c r="I66" i="64"/>
  <c r="I67" i="64"/>
  <c r="I68" i="64"/>
  <c r="I69" i="64"/>
  <c r="I70" i="64"/>
  <c r="I71" i="64"/>
  <c r="I72" i="64"/>
  <c r="I73" i="64"/>
  <c r="I74" i="64"/>
  <c r="I75" i="64"/>
  <c r="I76" i="64"/>
  <c r="I77" i="64"/>
  <c r="I78" i="64"/>
  <c r="I79" i="64"/>
  <c r="I80" i="64"/>
  <c r="L80" i="64" s="1"/>
  <c r="I81" i="64"/>
  <c r="L81" i="64" s="1"/>
  <c r="I82" i="64"/>
  <c r="I83" i="64"/>
  <c r="L83" i="64" s="1"/>
  <c r="I84" i="64"/>
  <c r="I85" i="64"/>
  <c r="I86" i="64"/>
  <c r="I87" i="64"/>
  <c r="I88" i="64"/>
  <c r="I89" i="64"/>
  <c r="I90" i="64"/>
  <c r="I91" i="64"/>
  <c r="I92" i="64"/>
  <c r="I93" i="64"/>
  <c r="I94" i="64"/>
  <c r="L94" i="64" s="1"/>
  <c r="I95" i="64"/>
  <c r="L95" i="64" s="1"/>
  <c r="I96" i="64"/>
  <c r="L96" i="64" s="1"/>
  <c r="I97" i="64"/>
  <c r="L97" i="64" s="1"/>
  <c r="I98" i="64"/>
  <c r="L98" i="64" s="1"/>
  <c r="I99" i="64"/>
  <c r="L99" i="64" s="1"/>
  <c r="I100" i="64"/>
  <c r="L100" i="64" s="1"/>
  <c r="I101" i="64"/>
  <c r="L101" i="64" s="1"/>
  <c r="I102" i="64"/>
  <c r="L102" i="64" s="1"/>
  <c r="I103" i="64"/>
  <c r="L103" i="64" s="1"/>
  <c r="I104" i="64"/>
  <c r="L104" i="64" s="1"/>
  <c r="I105" i="64"/>
  <c r="L105" i="64"/>
  <c r="I107" i="64"/>
  <c r="I108" i="64"/>
  <c r="I109" i="64"/>
  <c r="I110" i="64"/>
  <c r="L110" i="64" s="1"/>
  <c r="I111" i="64"/>
  <c r="L111" i="64" s="1"/>
  <c r="I112" i="64"/>
  <c r="L112" i="64" s="1"/>
  <c r="I113" i="64"/>
  <c r="L113" i="64" s="1"/>
  <c r="I114" i="64"/>
  <c r="L114" i="64" s="1"/>
  <c r="I115" i="64"/>
  <c r="L115" i="64" s="1"/>
  <c r="I116" i="64"/>
  <c r="L116" i="64" s="1"/>
  <c r="I117" i="64"/>
  <c r="L117" i="64"/>
  <c r="I118" i="64"/>
  <c r="L118" i="64" s="1"/>
  <c r="I119" i="64"/>
  <c r="L119" i="64" s="1"/>
  <c r="I120" i="64"/>
  <c r="L120" i="64" s="1"/>
  <c r="I121" i="64"/>
  <c r="L121" i="64" s="1"/>
  <c r="AL133" i="64"/>
  <c r="AK133" i="64"/>
  <c r="AJ133" i="64"/>
  <c r="AI133" i="64"/>
  <c r="AH133" i="64"/>
  <c r="AG133" i="64"/>
  <c r="AF133" i="64"/>
  <c r="AE133" i="64"/>
  <c r="AD133" i="64"/>
  <c r="AC133" i="64"/>
  <c r="AB133" i="64"/>
  <c r="AA133" i="64"/>
  <c r="Z133" i="64"/>
  <c r="Y133" i="64"/>
  <c r="X133" i="64"/>
  <c r="W133" i="64"/>
  <c r="V133" i="64"/>
  <c r="U133" i="64"/>
  <c r="T133" i="64"/>
  <c r="S133" i="64"/>
  <c r="R133" i="64"/>
  <c r="Q133" i="64"/>
  <c r="P133" i="64"/>
  <c r="O133" i="64"/>
  <c r="N133" i="64"/>
  <c r="M133" i="64"/>
  <c r="I64" i="64"/>
  <c r="I63" i="64"/>
  <c r="I62" i="64"/>
  <c r="I61" i="64"/>
  <c r="I60" i="64"/>
  <c r="I59" i="64"/>
  <c r="I58" i="64"/>
  <c r="I54" i="64"/>
  <c r="I53" i="64"/>
  <c r="L53" i="64" s="1"/>
  <c r="I52" i="64"/>
  <c r="I51" i="64"/>
  <c r="L51" i="64" s="1"/>
  <c r="I50" i="64"/>
  <c r="I49" i="64"/>
  <c r="L49" i="64" s="1"/>
  <c r="I48" i="64"/>
  <c r="L48" i="64" s="1"/>
  <c r="I47" i="64"/>
  <c r="L47" i="64" s="1"/>
  <c r="I46" i="64"/>
  <c r="L46" i="64" s="1"/>
  <c r="I45" i="64"/>
  <c r="L45" i="64" s="1"/>
  <c r="I44" i="64"/>
  <c r="L44" i="64" s="1"/>
  <c r="I43" i="64"/>
  <c r="L43" i="64" s="1"/>
  <c r="I42" i="64"/>
  <c r="I41" i="64"/>
  <c r="L41" i="64" s="1"/>
  <c r="I40" i="64"/>
  <c r="L40" i="64" s="1"/>
  <c r="I39" i="64"/>
  <c r="L39" i="64" s="1"/>
  <c r="I38" i="64"/>
  <c r="I37" i="64"/>
  <c r="I36" i="64"/>
  <c r="I35" i="64"/>
  <c r="I34" i="64"/>
  <c r="I33" i="64"/>
  <c r="I32" i="64"/>
  <c r="I31" i="64"/>
  <c r="I30" i="64"/>
  <c r="I29" i="64"/>
  <c r="AL28" i="64"/>
  <c r="AK28" i="64"/>
  <c r="AJ28" i="64"/>
  <c r="AI28" i="64"/>
  <c r="AH28" i="64"/>
  <c r="AG28" i="64"/>
  <c r="AF28" i="64"/>
  <c r="AE28" i="64"/>
  <c r="AD28" i="64"/>
  <c r="AC28" i="64"/>
  <c r="AB28" i="64"/>
  <c r="AA28" i="64"/>
  <c r="Z28" i="64"/>
  <c r="Y28" i="64"/>
  <c r="X28" i="64"/>
  <c r="W28" i="64"/>
  <c r="V28" i="64"/>
  <c r="U28" i="64"/>
  <c r="T28" i="64"/>
  <c r="S28" i="64"/>
  <c r="R28" i="64"/>
  <c r="Q28" i="64"/>
  <c r="P28" i="64"/>
  <c r="O28" i="64"/>
  <c r="N28" i="64"/>
  <c r="M28" i="64"/>
  <c r="K28" i="64"/>
  <c r="I27" i="64"/>
  <c r="L27" i="64" s="1"/>
  <c r="I26" i="64"/>
  <c r="L26" i="64" s="1"/>
  <c r="I25" i="64"/>
  <c r="I24" i="64"/>
  <c r="L24" i="64" s="1"/>
  <c r="I23" i="64"/>
  <c r="I22" i="64"/>
  <c r="L22" i="64" s="1"/>
  <c r="AL21" i="64"/>
  <c r="AK21" i="64"/>
  <c r="AJ21" i="64"/>
  <c r="AI21" i="64"/>
  <c r="AH21" i="64"/>
  <c r="AG21" i="64"/>
  <c r="AF21" i="64"/>
  <c r="AE21" i="64"/>
  <c r="AD21" i="64"/>
  <c r="AC21" i="64"/>
  <c r="AB21" i="64"/>
  <c r="AA21" i="64"/>
  <c r="Z21" i="64"/>
  <c r="Y21" i="64"/>
  <c r="X21" i="64"/>
  <c r="W21" i="64"/>
  <c r="V21" i="64"/>
  <c r="U21" i="64"/>
  <c r="T21" i="64"/>
  <c r="S21" i="64"/>
  <c r="R21" i="64"/>
  <c r="Q21" i="64"/>
  <c r="P21" i="64"/>
  <c r="O21" i="64"/>
  <c r="N21" i="64"/>
  <c r="M21" i="64"/>
  <c r="I20" i="64"/>
  <c r="L20" i="64" s="1"/>
  <c r="I19" i="64"/>
  <c r="L19" i="64" s="1"/>
  <c r="I18" i="64"/>
  <c r="L18" i="64" s="1"/>
  <c r="I13" i="64"/>
  <c r="L13" i="64" s="1"/>
  <c r="I12" i="64"/>
  <c r="L12" i="64" s="1"/>
  <c r="I11" i="64"/>
  <c r="L11" i="64" s="1"/>
  <c r="I10" i="64"/>
  <c r="L10" i="64" s="1"/>
  <c r="K21" i="64"/>
  <c r="I9" i="64"/>
  <c r="I8" i="64"/>
  <c r="L8" i="64" s="1"/>
  <c r="I7" i="64"/>
  <c r="L7" i="64" s="1"/>
  <c r="I6" i="64"/>
  <c r="L6" i="64" s="1"/>
  <c r="I5" i="64"/>
  <c r="L5" i="64" s="1"/>
  <c r="I4" i="64"/>
  <c r="L4" i="64" s="1"/>
  <c r="L88" i="63"/>
  <c r="AH37" i="63"/>
  <c r="AI37" i="63"/>
  <c r="AJ37" i="63"/>
  <c r="AG37" i="63"/>
  <c r="AH36" i="63"/>
  <c r="AI36" i="63"/>
  <c r="AJ36" i="63"/>
  <c r="AG36" i="63"/>
  <c r="AH35" i="63"/>
  <c r="AI35" i="63"/>
  <c r="AJ35" i="63"/>
  <c r="AG35" i="63"/>
  <c r="AH34" i="63"/>
  <c r="AI34" i="63"/>
  <c r="AJ34" i="63"/>
  <c r="AG34" i="63"/>
  <c r="AH33" i="63"/>
  <c r="AI33" i="63"/>
  <c r="AJ33" i="63"/>
  <c r="AG33" i="63"/>
  <c r="AH32" i="63"/>
  <c r="AI32" i="63"/>
  <c r="AJ32" i="63"/>
  <c r="AG32" i="63"/>
  <c r="AH31" i="63"/>
  <c r="AI31" i="63"/>
  <c r="AJ31" i="63"/>
  <c r="AG31" i="63"/>
  <c r="I88" i="63"/>
  <c r="I74" i="63"/>
  <c r="L74" i="63" s="1"/>
  <c r="I75" i="63"/>
  <c r="L75" i="63" s="1"/>
  <c r="I76" i="63"/>
  <c r="L76" i="63" s="1"/>
  <c r="I77" i="63"/>
  <c r="L77" i="63" s="1"/>
  <c r="I78" i="63"/>
  <c r="I79" i="63"/>
  <c r="I98" i="63"/>
  <c r="K14" i="63"/>
  <c r="K15" i="63"/>
  <c r="I61" i="63"/>
  <c r="L61" i="63" s="1"/>
  <c r="I32" i="63"/>
  <c r="L32" i="63" s="1"/>
  <c r="I33" i="63"/>
  <c r="L33" i="63" s="1"/>
  <c r="I34" i="63"/>
  <c r="L34" i="63" s="1"/>
  <c r="I35" i="63"/>
  <c r="L35" i="63" s="1"/>
  <c r="I36" i="63"/>
  <c r="L36" i="63" s="1"/>
  <c r="I37" i="63"/>
  <c r="L37" i="63" s="1"/>
  <c r="K21" i="63"/>
  <c r="K20" i="63"/>
  <c r="K19" i="63"/>
  <c r="K23" i="63"/>
  <c r="K13" i="63"/>
  <c r="K9" i="63"/>
  <c r="K8" i="63"/>
  <c r="K7" i="63"/>
  <c r="K5" i="63"/>
  <c r="AL100" i="63"/>
  <c r="AK100" i="63"/>
  <c r="AJ100" i="63"/>
  <c r="AI100" i="63"/>
  <c r="AH100" i="63"/>
  <c r="AG100" i="63"/>
  <c r="AF100" i="63"/>
  <c r="AE100" i="63"/>
  <c r="AD100" i="63"/>
  <c r="AC100" i="63"/>
  <c r="AB100" i="63"/>
  <c r="AA100" i="63"/>
  <c r="Z100" i="63"/>
  <c r="Y100" i="63"/>
  <c r="X100" i="63"/>
  <c r="W100" i="63"/>
  <c r="V100" i="63"/>
  <c r="U100" i="63"/>
  <c r="T100" i="63"/>
  <c r="S100" i="63"/>
  <c r="R100" i="63"/>
  <c r="Q100" i="63"/>
  <c r="P100" i="63"/>
  <c r="O100" i="63"/>
  <c r="N100" i="63"/>
  <c r="M100" i="63"/>
  <c r="K100" i="63"/>
  <c r="L99" i="63"/>
  <c r="L98" i="63"/>
  <c r="I96" i="63"/>
  <c r="L96" i="63" s="1"/>
  <c r="I95" i="63"/>
  <c r="L95" i="63" s="1"/>
  <c r="I94" i="63"/>
  <c r="L94" i="63" s="1"/>
  <c r="I93" i="63"/>
  <c r="L93" i="63" s="1"/>
  <c r="I92" i="63"/>
  <c r="L92" i="63" s="1"/>
  <c r="I91" i="63"/>
  <c r="L91" i="63" s="1"/>
  <c r="I90" i="63"/>
  <c r="L90" i="63" s="1"/>
  <c r="I89" i="63"/>
  <c r="L89" i="63" s="1"/>
  <c r="I87" i="63"/>
  <c r="L87" i="63" s="1"/>
  <c r="I86" i="63"/>
  <c r="L86" i="63" s="1"/>
  <c r="I85" i="63"/>
  <c r="L85" i="63" s="1"/>
  <c r="I84" i="63"/>
  <c r="L84" i="63" s="1"/>
  <c r="I83" i="63"/>
  <c r="L83" i="63" s="1"/>
  <c r="I82" i="63"/>
  <c r="L82" i="63" s="1"/>
  <c r="I81" i="63"/>
  <c r="L81" i="63" s="1"/>
  <c r="I80" i="63"/>
  <c r="L80" i="63" s="1"/>
  <c r="L79" i="63"/>
  <c r="L78" i="63"/>
  <c r="I73" i="63"/>
  <c r="L73" i="63" s="1"/>
  <c r="I72" i="63"/>
  <c r="L72" i="63" s="1"/>
  <c r="I71" i="63"/>
  <c r="L71" i="63" s="1"/>
  <c r="I70" i="63"/>
  <c r="L70" i="63" s="1"/>
  <c r="I69" i="63"/>
  <c r="L69" i="63" s="1"/>
  <c r="I68" i="63"/>
  <c r="L68" i="63" s="1"/>
  <c r="I67" i="63"/>
  <c r="L67" i="63" s="1"/>
  <c r="I66" i="63"/>
  <c r="L66" i="63" s="1"/>
  <c r="I65" i="63"/>
  <c r="L65" i="63" s="1"/>
  <c r="I64" i="63"/>
  <c r="L64" i="63" s="1"/>
  <c r="I63" i="63"/>
  <c r="L63" i="63" s="1"/>
  <c r="I62" i="63"/>
  <c r="L62" i="63" s="1"/>
  <c r="I60" i="63"/>
  <c r="L60" i="63" s="1"/>
  <c r="I59" i="63"/>
  <c r="L59" i="63" s="1"/>
  <c r="I58" i="63"/>
  <c r="L58" i="63" s="1"/>
  <c r="I57" i="63"/>
  <c r="L57" i="63" s="1"/>
  <c r="I56" i="63"/>
  <c r="L56" i="63" s="1"/>
  <c r="I55" i="63"/>
  <c r="L55" i="63" s="1"/>
  <c r="I54" i="63"/>
  <c r="L54" i="63" s="1"/>
  <c r="I53" i="63"/>
  <c r="L53" i="63" s="1"/>
  <c r="I52" i="63"/>
  <c r="L52" i="63" s="1"/>
  <c r="I51" i="63"/>
  <c r="L51" i="63" s="1"/>
  <c r="I50" i="63"/>
  <c r="L50" i="63" s="1"/>
  <c r="I49" i="63"/>
  <c r="L49" i="63" s="1"/>
  <c r="I48" i="63"/>
  <c r="L48" i="63" s="1"/>
  <c r="I47" i="63"/>
  <c r="L47" i="63" s="1"/>
  <c r="I46" i="63"/>
  <c r="L46" i="63" s="1"/>
  <c r="I45" i="63"/>
  <c r="L45" i="63" s="1"/>
  <c r="I44" i="63"/>
  <c r="L44" i="63" s="1"/>
  <c r="I43" i="63"/>
  <c r="L43" i="63" s="1"/>
  <c r="I42" i="63"/>
  <c r="L42" i="63" s="1"/>
  <c r="I41" i="63"/>
  <c r="L41" i="63" s="1"/>
  <c r="I40" i="63"/>
  <c r="L40" i="63" s="1"/>
  <c r="I39" i="63"/>
  <c r="L39" i="63" s="1"/>
  <c r="I38" i="63"/>
  <c r="L38" i="63" s="1"/>
  <c r="I31" i="63"/>
  <c r="L31" i="63" s="1"/>
  <c r="I30" i="63"/>
  <c r="L30" i="63" s="1"/>
  <c r="I29" i="63"/>
  <c r="L29" i="63" s="1"/>
  <c r="L100" i="63" s="1"/>
  <c r="AL28" i="63"/>
  <c r="AK28" i="63"/>
  <c r="AJ28" i="63"/>
  <c r="AI28" i="63"/>
  <c r="AH28" i="63"/>
  <c r="AG28" i="63"/>
  <c r="AF28" i="63"/>
  <c r="AE28" i="63"/>
  <c r="AD28" i="63"/>
  <c r="AC28" i="63"/>
  <c r="AB28" i="63"/>
  <c r="AA28" i="63"/>
  <c r="Z28" i="63"/>
  <c r="Y28" i="63"/>
  <c r="X28" i="63"/>
  <c r="W28" i="63"/>
  <c r="V28" i="63"/>
  <c r="U28" i="63"/>
  <c r="T28" i="63"/>
  <c r="S28" i="63"/>
  <c r="R28" i="63"/>
  <c r="Q28" i="63"/>
  <c r="P28" i="63"/>
  <c r="O28" i="63"/>
  <c r="N28" i="63"/>
  <c r="M28" i="63"/>
  <c r="K28" i="63"/>
  <c r="I26" i="63"/>
  <c r="L26" i="63" s="1"/>
  <c r="L28" i="63" s="1"/>
  <c r="AL25" i="63"/>
  <c r="AL101" i="63" s="1"/>
  <c r="AK25" i="63"/>
  <c r="AK101" i="63" s="1"/>
  <c r="AJ25" i="63"/>
  <c r="AJ101" i="63" s="1"/>
  <c r="AI25" i="63"/>
  <c r="AI101" i="63" s="1"/>
  <c r="AH25" i="63"/>
  <c r="AH101" i="63" s="1"/>
  <c r="AG25" i="63"/>
  <c r="AG101" i="63" s="1"/>
  <c r="AF25" i="63"/>
  <c r="AF101" i="63" s="1"/>
  <c r="AE25" i="63"/>
  <c r="AE101" i="63" s="1"/>
  <c r="AD25" i="63"/>
  <c r="AD101" i="63" s="1"/>
  <c r="AC25" i="63"/>
  <c r="AC101" i="63" s="1"/>
  <c r="AB25" i="63"/>
  <c r="AB101" i="63" s="1"/>
  <c r="AA25" i="63"/>
  <c r="AA101" i="63" s="1"/>
  <c r="Z25" i="63"/>
  <c r="Z101" i="63" s="1"/>
  <c r="Y25" i="63"/>
  <c r="Y101" i="63" s="1"/>
  <c r="X25" i="63"/>
  <c r="X101" i="63" s="1"/>
  <c r="W25" i="63"/>
  <c r="W101" i="63" s="1"/>
  <c r="V25" i="63"/>
  <c r="V101" i="63" s="1"/>
  <c r="U25" i="63"/>
  <c r="U101" i="63" s="1"/>
  <c r="T25" i="63"/>
  <c r="T101" i="63" s="1"/>
  <c r="S25" i="63"/>
  <c r="S101" i="63" s="1"/>
  <c r="R25" i="63"/>
  <c r="R101" i="63" s="1"/>
  <c r="Q25" i="63"/>
  <c r="Q101" i="63" s="1"/>
  <c r="P25" i="63"/>
  <c r="P101" i="63" s="1"/>
  <c r="O25" i="63"/>
  <c r="O101" i="63" s="1"/>
  <c r="N25" i="63"/>
  <c r="N101" i="63" s="1"/>
  <c r="M25" i="63"/>
  <c r="M101" i="63" s="1"/>
  <c r="K25" i="63"/>
  <c r="K101" i="63" s="1"/>
  <c r="I24" i="63"/>
  <c r="L24" i="63" s="1"/>
  <c r="I23" i="63"/>
  <c r="L23" i="63" s="1"/>
  <c r="I22" i="63"/>
  <c r="L22" i="63" s="1"/>
  <c r="I21" i="63"/>
  <c r="L21" i="63" s="1"/>
  <c r="I20" i="63"/>
  <c r="L20" i="63" s="1"/>
  <c r="I19" i="63"/>
  <c r="L19" i="63" s="1"/>
  <c r="I18" i="63"/>
  <c r="L18" i="63" s="1"/>
  <c r="I17" i="63"/>
  <c r="L17" i="63" s="1"/>
  <c r="I16" i="63"/>
  <c r="L16" i="63" s="1"/>
  <c r="I15" i="63"/>
  <c r="L15" i="63" s="1"/>
  <c r="I14" i="63"/>
  <c r="L14" i="63" s="1"/>
  <c r="I13" i="63"/>
  <c r="L13" i="63" s="1"/>
  <c r="I12" i="63"/>
  <c r="L12" i="63" s="1"/>
  <c r="I11" i="63"/>
  <c r="L11" i="63" s="1"/>
  <c r="I10" i="63"/>
  <c r="L10" i="63" s="1"/>
  <c r="I9" i="63"/>
  <c r="L9" i="63" s="1"/>
  <c r="I8" i="63"/>
  <c r="L8" i="63" s="1"/>
  <c r="I7" i="63"/>
  <c r="L7" i="63" s="1"/>
  <c r="I6" i="63"/>
  <c r="L6" i="63" s="1"/>
  <c r="I5" i="63"/>
  <c r="L5" i="63" s="1"/>
  <c r="I4" i="63"/>
  <c r="L4" i="63" s="1"/>
  <c r="L25" i="63" s="1"/>
  <c r="L101" i="63" s="1"/>
  <c r="K115" i="62"/>
  <c r="K116" i="62"/>
  <c r="K117" i="62"/>
  <c r="K118" i="62"/>
  <c r="I119" i="62"/>
  <c r="L119" i="62" s="1"/>
  <c r="K114" i="62"/>
  <c r="K106" i="62"/>
  <c r="K107" i="62"/>
  <c r="K108" i="62"/>
  <c r="K109" i="62"/>
  <c r="K110" i="62"/>
  <c r="K111" i="62"/>
  <c r="K112" i="62"/>
  <c r="K113" i="62"/>
  <c r="K100" i="62"/>
  <c r="K101" i="62"/>
  <c r="K102" i="62"/>
  <c r="K103" i="62"/>
  <c r="K104" i="62"/>
  <c r="K105" i="62"/>
  <c r="K93" i="62"/>
  <c r="K94" i="62"/>
  <c r="K95" i="62"/>
  <c r="K96" i="62"/>
  <c r="K97" i="62"/>
  <c r="K98" i="62"/>
  <c r="K99" i="62"/>
  <c r="K92" i="62"/>
  <c r="K59" i="62"/>
  <c r="K60" i="62"/>
  <c r="K57" i="62"/>
  <c r="K56" i="62"/>
  <c r="K54" i="62"/>
  <c r="K53" i="62"/>
  <c r="K49" i="62"/>
  <c r="K48" i="62"/>
  <c r="K47" i="62"/>
  <c r="K45" i="62"/>
  <c r="K44" i="62"/>
  <c r="K42" i="62"/>
  <c r="K41" i="62"/>
  <c r="K40" i="62"/>
  <c r="K43" i="62"/>
  <c r="K46" i="62"/>
  <c r="K50" i="62"/>
  <c r="K51" i="62"/>
  <c r="K52" i="62"/>
  <c r="K55" i="62"/>
  <c r="K58" i="62"/>
  <c r="K61" i="62"/>
  <c r="K62" i="62"/>
  <c r="K39" i="62"/>
  <c r="K22" i="62"/>
  <c r="K20" i="62"/>
  <c r="K9" i="62"/>
  <c r="I17" i="62"/>
  <c r="L17" i="62" s="1"/>
  <c r="L128" i="73" l="1"/>
  <c r="L115" i="71"/>
  <c r="K106" i="66"/>
  <c r="L105" i="66"/>
  <c r="L33" i="66"/>
  <c r="L87" i="64"/>
  <c r="L107" i="64"/>
  <c r="L88" i="64"/>
  <c r="L109" i="64"/>
  <c r="L75" i="64"/>
  <c r="L86" i="64"/>
  <c r="L73" i="64"/>
  <c r="L71" i="64"/>
  <c r="L72" i="64"/>
  <c r="L84" i="64"/>
  <c r="L59" i="64"/>
  <c r="L63" i="64"/>
  <c r="L93" i="64"/>
  <c r="L90" i="64"/>
  <c r="L61" i="64"/>
  <c r="AE134" i="64"/>
  <c r="L78" i="64"/>
  <c r="L76" i="64"/>
  <c r="AK134" i="64"/>
  <c r="AL134" i="64"/>
  <c r="L85" i="64"/>
  <c r="L74" i="64"/>
  <c r="L92" i="64"/>
  <c r="S134" i="64"/>
  <c r="M134" i="64"/>
  <c r="N134" i="64"/>
  <c r="L108" i="64"/>
  <c r="X134" i="64"/>
  <c r="L82" i="64"/>
  <c r="Z134" i="64"/>
  <c r="Y134" i="64"/>
  <c r="L79" i="64"/>
  <c r="L77" i="64"/>
  <c r="L69" i="64"/>
  <c r="L91" i="64"/>
  <c r="L68" i="64"/>
  <c r="L70" i="64"/>
  <c r="L66" i="64"/>
  <c r="L67" i="64"/>
  <c r="L89" i="64"/>
  <c r="L65" i="64"/>
  <c r="AJ134" i="64"/>
  <c r="T134" i="64"/>
  <c r="U134" i="64"/>
  <c r="AG134" i="64"/>
  <c r="V134" i="64"/>
  <c r="AH134" i="64"/>
  <c r="AF134" i="64"/>
  <c r="W134" i="64"/>
  <c r="AI134" i="64"/>
  <c r="O134" i="64"/>
  <c r="AA134" i="64"/>
  <c r="P134" i="64"/>
  <c r="AB134" i="64"/>
  <c r="Q134" i="64"/>
  <c r="AC134" i="64"/>
  <c r="R134" i="64"/>
  <c r="AD134" i="64"/>
  <c r="L52" i="64"/>
  <c r="L64" i="64"/>
  <c r="L58" i="64"/>
  <c r="L60" i="64"/>
  <c r="L42" i="64"/>
  <c r="L54" i="64"/>
  <c r="L50" i="64"/>
  <c r="L62" i="64"/>
  <c r="L25" i="64"/>
  <c r="L23" i="64"/>
  <c r="L9" i="64"/>
  <c r="L21" i="64" s="1"/>
  <c r="K133" i="64"/>
  <c r="K134" i="64" s="1"/>
  <c r="I30" i="62"/>
  <c r="L30" i="62" s="1"/>
  <c r="I31" i="62"/>
  <c r="L31" i="62" s="1"/>
  <c r="I32" i="62"/>
  <c r="L32" i="62" s="1"/>
  <c r="I33" i="62"/>
  <c r="L33" i="62" s="1"/>
  <c r="I34" i="62"/>
  <c r="L34" i="62" s="1"/>
  <c r="I35" i="62"/>
  <c r="L35" i="62"/>
  <c r="I36" i="62"/>
  <c r="L36" i="62" s="1"/>
  <c r="I37" i="62"/>
  <c r="L37" i="62" s="1"/>
  <c r="I38" i="62"/>
  <c r="L38" i="62" s="1"/>
  <c r="I39" i="62"/>
  <c r="L39" i="62"/>
  <c r="I40" i="62"/>
  <c r="L40" i="62" s="1"/>
  <c r="I41" i="62"/>
  <c r="L41" i="62" s="1"/>
  <c r="I42" i="62"/>
  <c r="L42" i="62" s="1"/>
  <c r="I43" i="62"/>
  <c r="L43" i="62"/>
  <c r="I44" i="62"/>
  <c r="L44" i="62" s="1"/>
  <c r="I45" i="62"/>
  <c r="L45" i="62" s="1"/>
  <c r="I46" i="62"/>
  <c r="L46" i="62" s="1"/>
  <c r="I47" i="62"/>
  <c r="L47" i="62" s="1"/>
  <c r="I48" i="62"/>
  <c r="L48" i="62" s="1"/>
  <c r="I49" i="62"/>
  <c r="L49" i="62" s="1"/>
  <c r="I50" i="62"/>
  <c r="L50" i="62" s="1"/>
  <c r="I51" i="62"/>
  <c r="L51" i="62" s="1"/>
  <c r="I52" i="62"/>
  <c r="L52" i="62" s="1"/>
  <c r="I53" i="62"/>
  <c r="L53" i="62" s="1"/>
  <c r="I54" i="62"/>
  <c r="L54" i="62" s="1"/>
  <c r="I55" i="62"/>
  <c r="L55" i="62" s="1"/>
  <c r="I56" i="62"/>
  <c r="L56" i="62" s="1"/>
  <c r="I57" i="62"/>
  <c r="L57" i="62" s="1"/>
  <c r="I58" i="62"/>
  <c r="L58" i="62" s="1"/>
  <c r="I59" i="62"/>
  <c r="L59" i="62"/>
  <c r="I60" i="62"/>
  <c r="L60" i="62" s="1"/>
  <c r="I61" i="62"/>
  <c r="L61" i="62" s="1"/>
  <c r="I62" i="62"/>
  <c r="L62" i="62" s="1"/>
  <c r="I64" i="62"/>
  <c r="L64" i="62" s="1"/>
  <c r="I65" i="62"/>
  <c r="L65" i="62" s="1"/>
  <c r="I66" i="62"/>
  <c r="L66" i="62" s="1"/>
  <c r="I67" i="62"/>
  <c r="L67" i="62" s="1"/>
  <c r="I68" i="62"/>
  <c r="L68" i="62" s="1"/>
  <c r="I69" i="62"/>
  <c r="L69" i="62" s="1"/>
  <c r="I70" i="62"/>
  <c r="L70" i="62" s="1"/>
  <c r="I71" i="62"/>
  <c r="L71" i="62"/>
  <c r="I72" i="62"/>
  <c r="L72" i="62" s="1"/>
  <c r="I73" i="62"/>
  <c r="L73" i="62" s="1"/>
  <c r="I74" i="62"/>
  <c r="L74" i="62" s="1"/>
  <c r="I75" i="62"/>
  <c r="L75" i="62" s="1"/>
  <c r="I76" i="62"/>
  <c r="L76" i="62" s="1"/>
  <c r="I77" i="62"/>
  <c r="L77" i="62" s="1"/>
  <c r="I78" i="62"/>
  <c r="L78" i="62" s="1"/>
  <c r="I79" i="62"/>
  <c r="L79" i="62" s="1"/>
  <c r="I80" i="62"/>
  <c r="L80" i="62" s="1"/>
  <c r="I81" i="62"/>
  <c r="L81" i="62" s="1"/>
  <c r="I82" i="62"/>
  <c r="L82" i="62" s="1"/>
  <c r="I83" i="62"/>
  <c r="L83" i="62" s="1"/>
  <c r="I84" i="62"/>
  <c r="L84" i="62" s="1"/>
  <c r="I85" i="62"/>
  <c r="L85" i="62" s="1"/>
  <c r="I86" i="62"/>
  <c r="L86" i="62" s="1"/>
  <c r="I87" i="62"/>
  <c r="L87" i="62" s="1"/>
  <c r="I88" i="62"/>
  <c r="L88" i="62"/>
  <c r="I89" i="62"/>
  <c r="L89" i="62" s="1"/>
  <c r="I90" i="62"/>
  <c r="L90" i="62" s="1"/>
  <c r="I91" i="62"/>
  <c r="L91" i="62"/>
  <c r="I92" i="62"/>
  <c r="L92" i="62" s="1"/>
  <c r="I93" i="62"/>
  <c r="L93" i="62" s="1"/>
  <c r="I94" i="62"/>
  <c r="L94" i="62" s="1"/>
  <c r="I95" i="62"/>
  <c r="L95" i="62" s="1"/>
  <c r="I96" i="62"/>
  <c r="L96" i="62" s="1"/>
  <c r="I97" i="62"/>
  <c r="L97" i="62"/>
  <c r="I98" i="62"/>
  <c r="L98" i="62" s="1"/>
  <c r="I99" i="62"/>
  <c r="L99" i="62" s="1"/>
  <c r="I100" i="62"/>
  <c r="L100" i="62" s="1"/>
  <c r="I101" i="62"/>
  <c r="L101" i="62" s="1"/>
  <c r="I102" i="62"/>
  <c r="L102" i="62" s="1"/>
  <c r="I103" i="62"/>
  <c r="L103" i="62" s="1"/>
  <c r="I104" i="62"/>
  <c r="L104" i="62" s="1"/>
  <c r="I105" i="62"/>
  <c r="L105" i="62" s="1"/>
  <c r="I106" i="62"/>
  <c r="L106" i="62" s="1"/>
  <c r="I107" i="62"/>
  <c r="L107" i="62" s="1"/>
  <c r="I108" i="62"/>
  <c r="L108" i="62" s="1"/>
  <c r="I109" i="62"/>
  <c r="L109" i="62" s="1"/>
  <c r="I110" i="62"/>
  <c r="L110" i="62" s="1"/>
  <c r="I111" i="62"/>
  <c r="L111" i="62" s="1"/>
  <c r="I112" i="62"/>
  <c r="L112" i="62" s="1"/>
  <c r="I113" i="62"/>
  <c r="L113" i="62" s="1"/>
  <c r="I114" i="62"/>
  <c r="L114" i="62" s="1"/>
  <c r="I115" i="62"/>
  <c r="L115" i="62" s="1"/>
  <c r="I116" i="62"/>
  <c r="L116" i="62" s="1"/>
  <c r="I117" i="62"/>
  <c r="L117" i="62" s="1"/>
  <c r="I118" i="62"/>
  <c r="L118" i="62" s="1"/>
  <c r="I120" i="62"/>
  <c r="L120" i="62" s="1"/>
  <c r="AL121" i="62"/>
  <c r="AK121" i="62"/>
  <c r="AJ121" i="62"/>
  <c r="AI121" i="62"/>
  <c r="AH121" i="62"/>
  <c r="AG121" i="62"/>
  <c r="AF121" i="62"/>
  <c r="AE121" i="62"/>
  <c r="AD121" i="62"/>
  <c r="AC121" i="62"/>
  <c r="AB121" i="62"/>
  <c r="AA121" i="62"/>
  <c r="Z121" i="62"/>
  <c r="Y121" i="62"/>
  <c r="X121" i="62"/>
  <c r="W121" i="62"/>
  <c r="V121" i="62"/>
  <c r="U121" i="62"/>
  <c r="T121" i="62"/>
  <c r="S121" i="62"/>
  <c r="R121" i="62"/>
  <c r="Q121" i="62"/>
  <c r="P121" i="62"/>
  <c r="O121" i="62"/>
  <c r="N121" i="62"/>
  <c r="M121" i="62"/>
  <c r="K121" i="62"/>
  <c r="I29" i="62"/>
  <c r="L29" i="62" s="1"/>
  <c r="I28" i="62"/>
  <c r="L28" i="62" s="1"/>
  <c r="I27" i="62"/>
  <c r="L27" i="62" s="1"/>
  <c r="I26" i="62"/>
  <c r="AL25" i="62"/>
  <c r="AK25" i="62"/>
  <c r="AJ25" i="62"/>
  <c r="AI25" i="62"/>
  <c r="AH25" i="62"/>
  <c r="AG25" i="62"/>
  <c r="AF25" i="62"/>
  <c r="AE25" i="62"/>
  <c r="AD25" i="62"/>
  <c r="AC25" i="62"/>
  <c r="AB25" i="62"/>
  <c r="AA25" i="62"/>
  <c r="Z25" i="62"/>
  <c r="Y25" i="62"/>
  <c r="X25" i="62"/>
  <c r="W25" i="62"/>
  <c r="V25" i="62"/>
  <c r="U25" i="62"/>
  <c r="T25" i="62"/>
  <c r="S25" i="62"/>
  <c r="R25" i="62"/>
  <c r="Q25" i="62"/>
  <c r="P25" i="62"/>
  <c r="O25" i="62"/>
  <c r="N25" i="62"/>
  <c r="M25" i="62"/>
  <c r="I24" i="62"/>
  <c r="L24" i="62" s="1"/>
  <c r="I23" i="62"/>
  <c r="L23" i="62" s="1"/>
  <c r="I22" i="62"/>
  <c r="I21" i="62"/>
  <c r="L21" i="62" s="1"/>
  <c r="I20" i="62"/>
  <c r="I19" i="62"/>
  <c r="L19" i="62" s="1"/>
  <c r="AL18" i="62"/>
  <c r="AK18" i="62"/>
  <c r="AJ18" i="62"/>
  <c r="AI18" i="62"/>
  <c r="AH18" i="62"/>
  <c r="AG18" i="62"/>
  <c r="AF18" i="62"/>
  <c r="AE18" i="62"/>
  <c r="AD18" i="62"/>
  <c r="AC18" i="62"/>
  <c r="AB18" i="62"/>
  <c r="AA18" i="62"/>
  <c r="Z18" i="62"/>
  <c r="Y18" i="62"/>
  <c r="X18" i="62"/>
  <c r="W18" i="62"/>
  <c r="V18" i="62"/>
  <c r="U18" i="62"/>
  <c r="T18" i="62"/>
  <c r="S18" i="62"/>
  <c r="R18" i="62"/>
  <c r="Q18" i="62"/>
  <c r="P18" i="62"/>
  <c r="O18" i="62"/>
  <c r="N18" i="62"/>
  <c r="M18" i="62"/>
  <c r="K18" i="62"/>
  <c r="I16" i="62"/>
  <c r="L16" i="62" s="1"/>
  <c r="I15" i="62"/>
  <c r="L15" i="62" s="1"/>
  <c r="I14" i="62"/>
  <c r="L14" i="62" s="1"/>
  <c r="I13" i="62"/>
  <c r="L13" i="62" s="1"/>
  <c r="I12" i="62"/>
  <c r="L12" i="62" s="1"/>
  <c r="I11" i="62"/>
  <c r="L11" i="62" s="1"/>
  <c r="I10" i="62"/>
  <c r="L10" i="62" s="1"/>
  <c r="I9" i="62"/>
  <c r="L9" i="62" s="1"/>
  <c r="I8" i="62"/>
  <c r="L8" i="62" s="1"/>
  <c r="I7" i="62"/>
  <c r="L7" i="62" s="1"/>
  <c r="I6" i="62"/>
  <c r="L6" i="62" s="1"/>
  <c r="I5" i="62"/>
  <c r="L5" i="62" s="1"/>
  <c r="I4" i="62"/>
  <c r="L4" i="62" s="1"/>
  <c r="K98" i="61"/>
  <c r="I27" i="61"/>
  <c r="L27" i="61" s="1"/>
  <c r="I28" i="61"/>
  <c r="L28" i="61" s="1"/>
  <c r="I29" i="61"/>
  <c r="L29" i="61" s="1"/>
  <c r="I30" i="61"/>
  <c r="L30" i="61" s="1"/>
  <c r="I31" i="61"/>
  <c r="L31" i="61" s="1"/>
  <c r="L32" i="61"/>
  <c r="L33" i="61"/>
  <c r="L34" i="61"/>
  <c r="L35" i="61"/>
  <c r="L36" i="61"/>
  <c r="L37" i="61"/>
  <c r="I38" i="61"/>
  <c r="L38" i="61" s="1"/>
  <c r="I39" i="61"/>
  <c r="L39" i="61"/>
  <c r="I25" i="61"/>
  <c r="L25" i="61" s="1"/>
  <c r="I26" i="61"/>
  <c r="L26" i="61" s="1"/>
  <c r="I40" i="61"/>
  <c r="L40" i="61" s="1"/>
  <c r="I41" i="61"/>
  <c r="L41" i="61" s="1"/>
  <c r="I42" i="61"/>
  <c r="L42" i="61" s="1"/>
  <c r="I43" i="61"/>
  <c r="L43" i="61" s="1"/>
  <c r="I44" i="61"/>
  <c r="L44" i="61" s="1"/>
  <c r="I45" i="61"/>
  <c r="L45" i="61" s="1"/>
  <c r="I46" i="61"/>
  <c r="L46" i="61" s="1"/>
  <c r="I47" i="61"/>
  <c r="L47" i="61" s="1"/>
  <c r="I48" i="61"/>
  <c r="L48" i="61" s="1"/>
  <c r="I49" i="61"/>
  <c r="L49" i="61" s="1"/>
  <c r="I50" i="61"/>
  <c r="L50" i="61" s="1"/>
  <c r="I51" i="61"/>
  <c r="L51" i="61" s="1"/>
  <c r="I52" i="61"/>
  <c r="L52" i="61" s="1"/>
  <c r="I53" i="61"/>
  <c r="L53" i="61" s="1"/>
  <c r="I54" i="61"/>
  <c r="L54" i="61" s="1"/>
  <c r="I55" i="61"/>
  <c r="L55" i="61" s="1"/>
  <c r="I56" i="61"/>
  <c r="L56" i="61" s="1"/>
  <c r="I57" i="61"/>
  <c r="L57" i="61" s="1"/>
  <c r="I58" i="61"/>
  <c r="L58" i="61" s="1"/>
  <c r="I59" i="61"/>
  <c r="L59" i="61" s="1"/>
  <c r="I60" i="61"/>
  <c r="L60" i="61" s="1"/>
  <c r="I61" i="61"/>
  <c r="L61" i="61" s="1"/>
  <c r="I62" i="61"/>
  <c r="L62" i="61" s="1"/>
  <c r="I63" i="61"/>
  <c r="L63" i="61" s="1"/>
  <c r="I64" i="61"/>
  <c r="L64" i="61" s="1"/>
  <c r="I65" i="61"/>
  <c r="L65" i="61" s="1"/>
  <c r="I66" i="61"/>
  <c r="L66" i="61" s="1"/>
  <c r="I67" i="61"/>
  <c r="L67" i="61" s="1"/>
  <c r="I68" i="61"/>
  <c r="L68" i="61" s="1"/>
  <c r="I69" i="61"/>
  <c r="L69" i="61" s="1"/>
  <c r="I70" i="61"/>
  <c r="L70" i="61" s="1"/>
  <c r="I71" i="61"/>
  <c r="L71" i="61" s="1"/>
  <c r="I72" i="61"/>
  <c r="L72" i="61" s="1"/>
  <c r="I73" i="61"/>
  <c r="L73" i="61" s="1"/>
  <c r="I74" i="61"/>
  <c r="L74" i="61" s="1"/>
  <c r="I75" i="61"/>
  <c r="L75" i="61" s="1"/>
  <c r="I76" i="61"/>
  <c r="L76" i="61" s="1"/>
  <c r="I77" i="61"/>
  <c r="L77" i="61" s="1"/>
  <c r="I78" i="61"/>
  <c r="L78" i="61" s="1"/>
  <c r="I79" i="61"/>
  <c r="L79" i="61" s="1"/>
  <c r="I80" i="61"/>
  <c r="L80" i="61" s="1"/>
  <c r="I81" i="61"/>
  <c r="L81" i="61" s="1"/>
  <c r="I82" i="61"/>
  <c r="L82" i="61" s="1"/>
  <c r="I83" i="61"/>
  <c r="L83" i="61" s="1"/>
  <c r="I84" i="61"/>
  <c r="L84" i="61" s="1"/>
  <c r="I85" i="61"/>
  <c r="L85" i="61" s="1"/>
  <c r="I86" i="61"/>
  <c r="L86" i="61" s="1"/>
  <c r="I87" i="61"/>
  <c r="L87" i="61" s="1"/>
  <c r="I88" i="61"/>
  <c r="L88" i="61" s="1"/>
  <c r="I89" i="61"/>
  <c r="L89" i="61" s="1"/>
  <c r="I90" i="61"/>
  <c r="L90" i="61" s="1"/>
  <c r="I91" i="61"/>
  <c r="L91" i="61" s="1"/>
  <c r="I92" i="61"/>
  <c r="L92" i="61" s="1"/>
  <c r="I93" i="61"/>
  <c r="L93" i="61" s="1"/>
  <c r="I94" i="61"/>
  <c r="L94" i="61" s="1"/>
  <c r="I95" i="61"/>
  <c r="L95" i="61" s="1"/>
  <c r="I96" i="61"/>
  <c r="L96" i="61" s="1"/>
  <c r="I97" i="61"/>
  <c r="L97" i="61" s="1"/>
  <c r="I98" i="61"/>
  <c r="L98" i="61" s="1"/>
  <c r="I99" i="61"/>
  <c r="L99" i="61" s="1"/>
  <c r="I100" i="61"/>
  <c r="L100" i="61" s="1"/>
  <c r="L101" i="61"/>
  <c r="I102" i="61"/>
  <c r="L102" i="61" s="1"/>
  <c r="I103" i="61"/>
  <c r="L103" i="61" s="1"/>
  <c r="I104" i="61"/>
  <c r="L104" i="61" s="1"/>
  <c r="I105" i="61"/>
  <c r="L105" i="61" s="1"/>
  <c r="I106" i="61"/>
  <c r="L106" i="61" s="1"/>
  <c r="I107" i="61"/>
  <c r="L107" i="61" s="1"/>
  <c r="K16" i="61"/>
  <c r="K15" i="61"/>
  <c r="K14" i="61"/>
  <c r="K13" i="61"/>
  <c r="K12" i="61"/>
  <c r="K10" i="61"/>
  <c r="K9" i="61"/>
  <c r="K5" i="61"/>
  <c r="K7" i="61"/>
  <c r="AL108" i="61"/>
  <c r="AK108" i="61"/>
  <c r="AJ108" i="61"/>
  <c r="AI108" i="61"/>
  <c r="AH108" i="61"/>
  <c r="AG108" i="61"/>
  <c r="AF108" i="61"/>
  <c r="AE108" i="61"/>
  <c r="AD108" i="61"/>
  <c r="AC108" i="61"/>
  <c r="AB108" i="61"/>
  <c r="AA108" i="61"/>
  <c r="Z108" i="61"/>
  <c r="Y108" i="61"/>
  <c r="X108" i="61"/>
  <c r="W108" i="61"/>
  <c r="V108" i="61"/>
  <c r="U108" i="61"/>
  <c r="T108" i="61"/>
  <c r="S108" i="61"/>
  <c r="R108" i="61"/>
  <c r="Q108" i="61"/>
  <c r="P108" i="61"/>
  <c r="O108" i="61"/>
  <c r="N108" i="61"/>
  <c r="M108" i="61"/>
  <c r="K108" i="61"/>
  <c r="I24" i="61"/>
  <c r="L24" i="61" s="1"/>
  <c r="AL23" i="61"/>
  <c r="AK23" i="61"/>
  <c r="AJ23" i="61"/>
  <c r="AI23" i="61"/>
  <c r="AH23" i="61"/>
  <c r="AG23" i="61"/>
  <c r="AF23" i="61"/>
  <c r="AE23" i="61"/>
  <c r="AD23" i="61"/>
  <c r="AC23" i="61"/>
  <c r="AB23" i="61"/>
  <c r="AA23" i="61"/>
  <c r="Z23" i="61"/>
  <c r="Y23" i="61"/>
  <c r="X23" i="61"/>
  <c r="W23" i="61"/>
  <c r="V23" i="61"/>
  <c r="U23" i="61"/>
  <c r="T23" i="61"/>
  <c r="S23" i="61"/>
  <c r="R23" i="61"/>
  <c r="Q23" i="61"/>
  <c r="P23" i="61"/>
  <c r="O23" i="61"/>
  <c r="N23" i="61"/>
  <c r="M23" i="61"/>
  <c r="K23" i="61"/>
  <c r="I21" i="61"/>
  <c r="L21" i="61" s="1"/>
  <c r="L23" i="61" s="1"/>
  <c r="AL20" i="61"/>
  <c r="AL109" i="61" s="1"/>
  <c r="AK20" i="61"/>
  <c r="AJ20" i="61"/>
  <c r="AI20" i="61"/>
  <c r="AH20" i="61"/>
  <c r="AG20" i="61"/>
  <c r="AF20" i="61"/>
  <c r="AE20" i="61"/>
  <c r="AD20" i="61"/>
  <c r="AC20" i="61"/>
  <c r="AB20" i="61"/>
  <c r="AA20" i="61"/>
  <c r="AA109" i="61" s="1"/>
  <c r="Z20" i="61"/>
  <c r="Z109" i="61" s="1"/>
  <c r="Y20" i="61"/>
  <c r="X20" i="61"/>
  <c r="W20" i="61"/>
  <c r="V20" i="61"/>
  <c r="U20" i="61"/>
  <c r="T20" i="61"/>
  <c r="S20" i="61"/>
  <c r="R20" i="61"/>
  <c r="Q20" i="61"/>
  <c r="P20" i="61"/>
  <c r="O20" i="61"/>
  <c r="O109" i="61" s="1"/>
  <c r="N20" i="61"/>
  <c r="N109" i="61" s="1"/>
  <c r="M20" i="61"/>
  <c r="I19" i="61"/>
  <c r="L19" i="61" s="1"/>
  <c r="I18" i="61"/>
  <c r="L18" i="61" s="1"/>
  <c r="I17" i="61"/>
  <c r="L17" i="61" s="1"/>
  <c r="I16" i="61"/>
  <c r="I15" i="61"/>
  <c r="I14" i="61"/>
  <c r="I13" i="61"/>
  <c r="I12" i="61"/>
  <c r="I11" i="61"/>
  <c r="L11" i="61" s="1"/>
  <c r="I10" i="61"/>
  <c r="L10" i="61" s="1"/>
  <c r="I9" i="61"/>
  <c r="L9" i="61" s="1"/>
  <c r="I8" i="61"/>
  <c r="L8" i="61" s="1"/>
  <c r="I7" i="61"/>
  <c r="I6" i="61"/>
  <c r="L6" i="61" s="1"/>
  <c r="I5" i="61"/>
  <c r="L5" i="61" s="1"/>
  <c r="I4" i="61"/>
  <c r="L4" i="61" s="1"/>
  <c r="I23" i="60"/>
  <c r="L25" i="60" s="1"/>
  <c r="I24" i="60"/>
  <c r="L26" i="60" s="1"/>
  <c r="I25" i="60"/>
  <c r="I26" i="60"/>
  <c r="L27" i="60"/>
  <c r="I27" i="60"/>
  <c r="I137" i="60"/>
  <c r="L137" i="60" s="1"/>
  <c r="I138" i="60"/>
  <c r="L138" i="60" s="1"/>
  <c r="I139" i="60"/>
  <c r="L139" i="60" s="1"/>
  <c r="I140" i="60"/>
  <c r="L140" i="60" s="1"/>
  <c r="I141" i="60"/>
  <c r="L141" i="60" s="1"/>
  <c r="I142" i="60"/>
  <c r="L142" i="60" s="1"/>
  <c r="I82" i="60"/>
  <c r="L82" i="60" s="1"/>
  <c r="I83" i="60"/>
  <c r="L83" i="60" s="1"/>
  <c r="I55" i="60"/>
  <c r="L55" i="60" s="1"/>
  <c r="I56" i="60"/>
  <c r="L56" i="60" s="1"/>
  <c r="I57" i="60"/>
  <c r="L57" i="60" s="1"/>
  <c r="I58" i="60"/>
  <c r="L58" i="60" s="1"/>
  <c r="I59" i="60"/>
  <c r="L59" i="60" s="1"/>
  <c r="I60" i="60"/>
  <c r="L60" i="60" s="1"/>
  <c r="I61" i="60"/>
  <c r="L61" i="60" s="1"/>
  <c r="I62" i="60"/>
  <c r="L62" i="60" s="1"/>
  <c r="I63" i="60"/>
  <c r="L63" i="60" s="1"/>
  <c r="I64" i="60"/>
  <c r="L64" i="60" s="1"/>
  <c r="I65" i="60"/>
  <c r="L65" i="60" s="1"/>
  <c r="I66" i="60"/>
  <c r="L66" i="60" s="1"/>
  <c r="I67" i="60"/>
  <c r="L67" i="60" s="1"/>
  <c r="I68" i="60"/>
  <c r="L68" i="60" s="1"/>
  <c r="I69" i="60"/>
  <c r="L69" i="60" s="1"/>
  <c r="I70" i="60"/>
  <c r="L70" i="60" s="1"/>
  <c r="I71" i="60"/>
  <c r="L71" i="60" s="1"/>
  <c r="I72" i="60"/>
  <c r="L72" i="60" s="1"/>
  <c r="I73" i="60"/>
  <c r="L73" i="60" s="1"/>
  <c r="I74" i="60"/>
  <c r="L74" i="60" s="1"/>
  <c r="I75" i="60"/>
  <c r="L75" i="60" s="1"/>
  <c r="I76" i="60"/>
  <c r="L76" i="60" s="1"/>
  <c r="I77" i="60"/>
  <c r="L77" i="60" s="1"/>
  <c r="I78" i="60"/>
  <c r="L78" i="60" s="1"/>
  <c r="I79" i="60"/>
  <c r="L79" i="60" s="1"/>
  <c r="I80" i="60"/>
  <c r="L80" i="60" s="1"/>
  <c r="I81" i="60"/>
  <c r="L81" i="60" s="1"/>
  <c r="I85" i="60"/>
  <c r="L85" i="60" s="1"/>
  <c r="I86" i="60"/>
  <c r="L86" i="60" s="1"/>
  <c r="I87" i="60"/>
  <c r="L87" i="60" s="1"/>
  <c r="I88" i="60"/>
  <c r="L88" i="60" s="1"/>
  <c r="I89" i="60"/>
  <c r="L89" i="60" s="1"/>
  <c r="I90" i="60"/>
  <c r="L90" i="60" s="1"/>
  <c r="I91" i="60"/>
  <c r="L91" i="60" s="1"/>
  <c r="I92" i="60"/>
  <c r="L92" i="60" s="1"/>
  <c r="I93" i="60"/>
  <c r="L93" i="60" s="1"/>
  <c r="I94" i="60"/>
  <c r="L94" i="60" s="1"/>
  <c r="I95" i="60"/>
  <c r="L95" i="60" s="1"/>
  <c r="I96" i="60"/>
  <c r="L96" i="60" s="1"/>
  <c r="I97" i="60"/>
  <c r="L97" i="60" s="1"/>
  <c r="I98" i="60"/>
  <c r="L98" i="60" s="1"/>
  <c r="I99" i="60"/>
  <c r="L99" i="60" s="1"/>
  <c r="I100" i="60"/>
  <c r="L100" i="60" s="1"/>
  <c r="I101" i="60"/>
  <c r="L101" i="60" s="1"/>
  <c r="I102" i="60"/>
  <c r="L102" i="60" s="1"/>
  <c r="I103" i="60"/>
  <c r="L103" i="60" s="1"/>
  <c r="I104" i="60"/>
  <c r="L104" i="60" s="1"/>
  <c r="I105" i="60"/>
  <c r="L105" i="60" s="1"/>
  <c r="I106" i="60"/>
  <c r="L106" i="60" s="1"/>
  <c r="I107" i="60"/>
  <c r="L107" i="60" s="1"/>
  <c r="I108" i="60"/>
  <c r="L108" i="60" s="1"/>
  <c r="I109" i="60"/>
  <c r="L109" i="60" s="1"/>
  <c r="I110" i="60"/>
  <c r="L110" i="60" s="1"/>
  <c r="I111" i="60"/>
  <c r="L111" i="60" s="1"/>
  <c r="I112" i="60"/>
  <c r="L112" i="60" s="1"/>
  <c r="I113" i="60"/>
  <c r="L113" i="60" s="1"/>
  <c r="I114" i="60"/>
  <c r="L114" i="60" s="1"/>
  <c r="I115" i="60"/>
  <c r="L115" i="60" s="1"/>
  <c r="I116" i="60"/>
  <c r="L116" i="60" s="1"/>
  <c r="I117" i="60"/>
  <c r="L117" i="60" s="1"/>
  <c r="I118" i="60"/>
  <c r="L118" i="60" s="1"/>
  <c r="I119" i="60"/>
  <c r="L119" i="60" s="1"/>
  <c r="I120" i="60"/>
  <c r="L120" i="60" s="1"/>
  <c r="I121" i="60"/>
  <c r="L121" i="60" s="1"/>
  <c r="I122" i="60"/>
  <c r="L122" i="60" s="1"/>
  <c r="I123" i="60"/>
  <c r="L123" i="60" s="1"/>
  <c r="I125" i="60"/>
  <c r="L125" i="60" s="1"/>
  <c r="I126" i="60"/>
  <c r="L126" i="60" s="1"/>
  <c r="I128" i="60"/>
  <c r="I129" i="60"/>
  <c r="I130" i="60"/>
  <c r="I131" i="60"/>
  <c r="I132" i="60"/>
  <c r="L132" i="60" s="1"/>
  <c r="I133" i="60"/>
  <c r="L133" i="60" s="1"/>
  <c r="I134" i="60"/>
  <c r="L134" i="60" s="1"/>
  <c r="I135" i="60"/>
  <c r="L135" i="60" s="1"/>
  <c r="I12" i="60"/>
  <c r="L12" i="60" s="1"/>
  <c r="AL144" i="60"/>
  <c r="AK144" i="60"/>
  <c r="AJ144" i="60"/>
  <c r="AI144" i="60"/>
  <c r="AH144" i="60"/>
  <c r="AG144" i="60"/>
  <c r="AF144" i="60"/>
  <c r="AE144" i="60"/>
  <c r="AD144" i="60"/>
  <c r="AC144" i="60"/>
  <c r="AB144" i="60"/>
  <c r="AA144" i="60"/>
  <c r="Z144" i="60"/>
  <c r="Y144" i="60"/>
  <c r="X144" i="60"/>
  <c r="W144" i="60"/>
  <c r="V144" i="60"/>
  <c r="U144" i="60"/>
  <c r="T144" i="60"/>
  <c r="S144" i="60"/>
  <c r="R144" i="60"/>
  <c r="Q144" i="60"/>
  <c r="P144" i="60"/>
  <c r="O144" i="60"/>
  <c r="N144" i="60"/>
  <c r="M144" i="60"/>
  <c r="K144" i="60"/>
  <c r="I54" i="60"/>
  <c r="L54" i="60" s="1"/>
  <c r="I53" i="60"/>
  <c r="L53" i="60" s="1"/>
  <c r="I52" i="60"/>
  <c r="L52" i="60" s="1"/>
  <c r="I51" i="60"/>
  <c r="L51" i="60" s="1"/>
  <c r="I50" i="60"/>
  <c r="L50" i="60" s="1"/>
  <c r="I49" i="60"/>
  <c r="L49" i="60" s="1"/>
  <c r="I48" i="60"/>
  <c r="L48" i="60" s="1"/>
  <c r="I47" i="60"/>
  <c r="L47" i="60" s="1"/>
  <c r="I46" i="60"/>
  <c r="L46" i="60" s="1"/>
  <c r="I45" i="60"/>
  <c r="L45" i="60" s="1"/>
  <c r="I44" i="60"/>
  <c r="L44" i="60" s="1"/>
  <c r="I42" i="60"/>
  <c r="L42" i="60" s="1"/>
  <c r="I41" i="60"/>
  <c r="L41" i="60" s="1"/>
  <c r="I40" i="60"/>
  <c r="L40" i="60" s="1"/>
  <c r="I39" i="60"/>
  <c r="L39" i="60" s="1"/>
  <c r="I38" i="60"/>
  <c r="L38" i="60" s="1"/>
  <c r="I37" i="60"/>
  <c r="L37" i="60" s="1"/>
  <c r="I36" i="60"/>
  <c r="L36" i="60" s="1"/>
  <c r="I35" i="60"/>
  <c r="L35" i="60" s="1"/>
  <c r="I34" i="60"/>
  <c r="L34" i="60" s="1"/>
  <c r="I33" i="60"/>
  <c r="L33" i="60" s="1"/>
  <c r="I32" i="60"/>
  <c r="L32" i="60" s="1"/>
  <c r="I31" i="60"/>
  <c r="L31" i="60" s="1"/>
  <c r="I30" i="60"/>
  <c r="L30" i="60" s="1"/>
  <c r="I29" i="60"/>
  <c r="AL28" i="60"/>
  <c r="AK28" i="60"/>
  <c r="AJ28" i="60"/>
  <c r="AI28" i="60"/>
  <c r="AH28" i="60"/>
  <c r="AG28" i="60"/>
  <c r="AF28" i="60"/>
  <c r="AE28" i="60"/>
  <c r="AD28" i="60"/>
  <c r="AC28" i="60"/>
  <c r="AB28" i="60"/>
  <c r="AA28" i="60"/>
  <c r="Z28" i="60"/>
  <c r="Y28" i="60"/>
  <c r="X28" i="60"/>
  <c r="W28" i="60"/>
  <c r="V28" i="60"/>
  <c r="U28" i="60"/>
  <c r="T28" i="60"/>
  <c r="S28" i="60"/>
  <c r="R28" i="60"/>
  <c r="Q28" i="60"/>
  <c r="P28" i="60"/>
  <c r="O28" i="60"/>
  <c r="N28" i="60"/>
  <c r="M28" i="60"/>
  <c r="K28" i="60"/>
  <c r="I22" i="60"/>
  <c r="L24" i="60" s="1"/>
  <c r="AL21" i="60"/>
  <c r="AK21" i="60"/>
  <c r="AJ21" i="60"/>
  <c r="AI21" i="60"/>
  <c r="AH21" i="60"/>
  <c r="AG21" i="60"/>
  <c r="AF21" i="60"/>
  <c r="AE21" i="60"/>
  <c r="AD21" i="60"/>
  <c r="AC21" i="60"/>
  <c r="AB21" i="60"/>
  <c r="AA21" i="60"/>
  <c r="Z21" i="60"/>
  <c r="Y21" i="60"/>
  <c r="X21" i="60"/>
  <c r="W21" i="60"/>
  <c r="V21" i="60"/>
  <c r="U21" i="60"/>
  <c r="T21" i="60"/>
  <c r="S21" i="60"/>
  <c r="R21" i="60"/>
  <c r="Q21" i="60"/>
  <c r="P21" i="60"/>
  <c r="O21" i="60"/>
  <c r="N21" i="60"/>
  <c r="M21" i="60"/>
  <c r="K21" i="60"/>
  <c r="L23" i="60" s="1"/>
  <c r="I20" i="60"/>
  <c r="L20" i="60" s="1"/>
  <c r="I19" i="60"/>
  <c r="L19" i="60" s="1"/>
  <c r="I18" i="60"/>
  <c r="L18" i="60" s="1"/>
  <c r="I17" i="60"/>
  <c r="I16" i="60"/>
  <c r="I15" i="60"/>
  <c r="L15" i="60" s="1"/>
  <c r="I14" i="60"/>
  <c r="L14" i="60" s="1"/>
  <c r="I13" i="60"/>
  <c r="L13" i="60" s="1"/>
  <c r="I11" i="60"/>
  <c r="L11" i="60" s="1"/>
  <c r="I10" i="60"/>
  <c r="L10" i="60" s="1"/>
  <c r="I9" i="60"/>
  <c r="L9" i="60" s="1"/>
  <c r="I8" i="60"/>
  <c r="L8" i="60" s="1"/>
  <c r="I7" i="60"/>
  <c r="L7" i="60" s="1"/>
  <c r="I6" i="60"/>
  <c r="L6" i="60" s="1"/>
  <c r="I5" i="60"/>
  <c r="L5" i="60" s="1"/>
  <c r="I4" i="60"/>
  <c r="AH71" i="59"/>
  <c r="AI71" i="59"/>
  <c r="AJ71" i="59"/>
  <c r="AG71" i="59"/>
  <c r="AH70" i="59"/>
  <c r="AI70" i="59"/>
  <c r="AJ70" i="59"/>
  <c r="AG70" i="59"/>
  <c r="AH69" i="59"/>
  <c r="AI69" i="59"/>
  <c r="AJ69" i="59"/>
  <c r="AG69" i="59"/>
  <c r="AH68" i="59"/>
  <c r="AI68" i="59"/>
  <c r="AJ68" i="59"/>
  <c r="AG68" i="59"/>
  <c r="I43" i="59"/>
  <c r="I70" i="59"/>
  <c r="I14" i="59"/>
  <c r="L14" i="59" s="1"/>
  <c r="I59" i="59"/>
  <c r="L59" i="59"/>
  <c r="I55" i="59"/>
  <c r="L55" i="59" s="1"/>
  <c r="I56" i="59"/>
  <c r="L56" i="59" s="1"/>
  <c r="I57" i="59"/>
  <c r="L57" i="59" s="1"/>
  <c r="I53" i="59"/>
  <c r="L53" i="59" s="1"/>
  <c r="I48" i="59"/>
  <c r="L48" i="59" s="1"/>
  <c r="K28" i="59"/>
  <c r="K27" i="59"/>
  <c r="I28" i="59"/>
  <c r="L28" i="59" s="1"/>
  <c r="K16" i="59"/>
  <c r="K20" i="59"/>
  <c r="K19" i="59"/>
  <c r="I16" i="59"/>
  <c r="L16" i="59" s="1"/>
  <c r="I17" i="59"/>
  <c r="L17" i="59" s="1"/>
  <c r="K18" i="59"/>
  <c r="K13" i="59"/>
  <c r="K15" i="59"/>
  <c r="K12" i="59"/>
  <c r="K11" i="59"/>
  <c r="K9" i="59"/>
  <c r="K8" i="59"/>
  <c r="K7" i="59"/>
  <c r="K6" i="59"/>
  <c r="K5" i="59"/>
  <c r="AL73" i="59"/>
  <c r="AK73" i="59"/>
  <c r="AJ73" i="59"/>
  <c r="AI73" i="59"/>
  <c r="AH73" i="59"/>
  <c r="AG73" i="59"/>
  <c r="AF73" i="59"/>
  <c r="AE73" i="59"/>
  <c r="AD73" i="59"/>
  <c r="AC73" i="59"/>
  <c r="AB73" i="59"/>
  <c r="AA73" i="59"/>
  <c r="Z73" i="59"/>
  <c r="Y73" i="59"/>
  <c r="X73" i="59"/>
  <c r="W73" i="59"/>
  <c r="V73" i="59"/>
  <c r="U73" i="59"/>
  <c r="T73" i="59"/>
  <c r="S73" i="59"/>
  <c r="R73" i="59"/>
  <c r="Q73" i="59"/>
  <c r="P73" i="59"/>
  <c r="O73" i="59"/>
  <c r="N73" i="59"/>
  <c r="M73" i="59"/>
  <c r="K73" i="59"/>
  <c r="I71" i="59"/>
  <c r="L71" i="59" s="1"/>
  <c r="L70" i="59"/>
  <c r="I69" i="59"/>
  <c r="L69" i="59" s="1"/>
  <c r="I68" i="59"/>
  <c r="L68" i="59" s="1"/>
  <c r="I66" i="59"/>
  <c r="L66" i="59" s="1"/>
  <c r="I65" i="59"/>
  <c r="L65" i="59" s="1"/>
  <c r="I64" i="59"/>
  <c r="L64" i="59" s="1"/>
  <c r="I63" i="59"/>
  <c r="L63" i="59" s="1"/>
  <c r="I62" i="59"/>
  <c r="L62" i="59" s="1"/>
  <c r="I58" i="59"/>
  <c r="L58" i="59" s="1"/>
  <c r="I54" i="59"/>
  <c r="L54" i="59" s="1"/>
  <c r="I52" i="59"/>
  <c r="L52" i="59" s="1"/>
  <c r="I51" i="59"/>
  <c r="L51" i="59" s="1"/>
  <c r="I50" i="59"/>
  <c r="L50" i="59" s="1"/>
  <c r="I47" i="59"/>
  <c r="L47" i="59" s="1"/>
  <c r="I46" i="59"/>
  <c r="L46" i="59" s="1"/>
  <c r="I45" i="59"/>
  <c r="L45" i="59" s="1"/>
  <c r="L43" i="59"/>
  <c r="I42" i="59"/>
  <c r="L42" i="59" s="1"/>
  <c r="I41" i="59"/>
  <c r="L41" i="59" s="1"/>
  <c r="I40" i="59"/>
  <c r="L40" i="59" s="1"/>
  <c r="I39" i="59"/>
  <c r="L39" i="59" s="1"/>
  <c r="I38" i="59"/>
  <c r="L38" i="59" s="1"/>
  <c r="I37" i="59"/>
  <c r="L37" i="59" s="1"/>
  <c r="I36" i="59"/>
  <c r="L36" i="59" s="1"/>
  <c r="I35" i="59"/>
  <c r="L35" i="59" s="1"/>
  <c r="I34" i="59"/>
  <c r="L34" i="59" s="1"/>
  <c r="I33" i="59"/>
  <c r="L33" i="59" s="1"/>
  <c r="I32" i="59"/>
  <c r="L32" i="59" s="1"/>
  <c r="I31" i="59"/>
  <c r="L31" i="59" s="1"/>
  <c r="I30" i="59"/>
  <c r="L30" i="59" s="1"/>
  <c r="I29" i="59"/>
  <c r="L29" i="59" s="1"/>
  <c r="I27" i="59"/>
  <c r="L27" i="59" s="1"/>
  <c r="I26" i="59"/>
  <c r="L26" i="59" s="1"/>
  <c r="AL25" i="59"/>
  <c r="AK25" i="59"/>
  <c r="AJ25" i="59"/>
  <c r="AI25" i="59"/>
  <c r="AH25" i="59"/>
  <c r="AG25" i="59"/>
  <c r="AF25" i="59"/>
  <c r="AE25" i="59"/>
  <c r="AD25" i="59"/>
  <c r="AC25" i="59"/>
  <c r="AB25" i="59"/>
  <c r="AA25" i="59"/>
  <c r="Z25" i="59"/>
  <c r="Y25" i="59"/>
  <c r="X25" i="59"/>
  <c r="W25" i="59"/>
  <c r="V25" i="59"/>
  <c r="U25" i="59"/>
  <c r="T25" i="59"/>
  <c r="S25" i="59"/>
  <c r="R25" i="59"/>
  <c r="Q25" i="59"/>
  <c r="P25" i="59"/>
  <c r="O25" i="59"/>
  <c r="N25" i="59"/>
  <c r="M25" i="59"/>
  <c r="K25" i="59"/>
  <c r="I23" i="59"/>
  <c r="L23" i="59" s="1"/>
  <c r="L25" i="59" s="1"/>
  <c r="AL22" i="59"/>
  <c r="AL74" i="59" s="1"/>
  <c r="AK22" i="59"/>
  <c r="AK74" i="59" s="1"/>
  <c r="AJ22" i="59"/>
  <c r="AJ74" i="59" s="1"/>
  <c r="AI22" i="59"/>
  <c r="AI74" i="59" s="1"/>
  <c r="AH22" i="59"/>
  <c r="AH74" i="59" s="1"/>
  <c r="AG22" i="59"/>
  <c r="AG74" i="59" s="1"/>
  <c r="AF22" i="59"/>
  <c r="AF74" i="59" s="1"/>
  <c r="AE22" i="59"/>
  <c r="AE74" i="59" s="1"/>
  <c r="AD22" i="59"/>
  <c r="AD74" i="59" s="1"/>
  <c r="AC22" i="59"/>
  <c r="AC74" i="59" s="1"/>
  <c r="AB22" i="59"/>
  <c r="AB74" i="59" s="1"/>
  <c r="AA22" i="59"/>
  <c r="AA74" i="59" s="1"/>
  <c r="Z22" i="59"/>
  <c r="Z74" i="59" s="1"/>
  <c r="Y22" i="59"/>
  <c r="Y74" i="59" s="1"/>
  <c r="X22" i="59"/>
  <c r="X74" i="59" s="1"/>
  <c r="W22" i="59"/>
  <c r="W74" i="59" s="1"/>
  <c r="V22" i="59"/>
  <c r="V74" i="59" s="1"/>
  <c r="U22" i="59"/>
  <c r="U74" i="59" s="1"/>
  <c r="T22" i="59"/>
  <c r="T74" i="59" s="1"/>
  <c r="S22" i="59"/>
  <c r="S74" i="59" s="1"/>
  <c r="R22" i="59"/>
  <c r="R74" i="59" s="1"/>
  <c r="Q22" i="59"/>
  <c r="Q74" i="59" s="1"/>
  <c r="P22" i="59"/>
  <c r="P74" i="59" s="1"/>
  <c r="O22" i="59"/>
  <c r="O74" i="59" s="1"/>
  <c r="N22" i="59"/>
  <c r="N74" i="59" s="1"/>
  <c r="M22" i="59"/>
  <c r="M74" i="59" s="1"/>
  <c r="K22" i="59"/>
  <c r="K74" i="59" s="1"/>
  <c r="I21" i="59"/>
  <c r="L21" i="59" s="1"/>
  <c r="I20" i="59"/>
  <c r="L20" i="59" s="1"/>
  <c r="I19" i="59"/>
  <c r="L19" i="59" s="1"/>
  <c r="I18" i="59"/>
  <c r="I15" i="59"/>
  <c r="L15" i="59" s="1"/>
  <c r="I13" i="59"/>
  <c r="L13" i="59" s="1"/>
  <c r="I12" i="59"/>
  <c r="L12" i="59" s="1"/>
  <c r="I11" i="59"/>
  <c r="L11" i="59" s="1"/>
  <c r="I10" i="59"/>
  <c r="L10" i="59" s="1"/>
  <c r="I9" i="59"/>
  <c r="L9" i="59" s="1"/>
  <c r="I8" i="59"/>
  <c r="L8" i="59" s="1"/>
  <c r="I7" i="59"/>
  <c r="L7" i="59" s="1"/>
  <c r="I6" i="59"/>
  <c r="L6" i="59" s="1"/>
  <c r="I5" i="59"/>
  <c r="L5" i="59" s="1"/>
  <c r="I4" i="59"/>
  <c r="L4" i="59" s="1"/>
  <c r="I96" i="58"/>
  <c r="L96" i="58" s="1"/>
  <c r="I97" i="58"/>
  <c r="L97" i="58" s="1"/>
  <c r="I98" i="58"/>
  <c r="L98" i="58" s="1"/>
  <c r="I99" i="58"/>
  <c r="I100" i="58"/>
  <c r="I101" i="58"/>
  <c r="K152" i="58"/>
  <c r="K153" i="58"/>
  <c r="K154" i="58"/>
  <c r="K155" i="58"/>
  <c r="K156" i="58"/>
  <c r="K157" i="58"/>
  <c r="K158" i="58"/>
  <c r="I126" i="58"/>
  <c r="I127" i="58"/>
  <c r="I128" i="58"/>
  <c r="I129" i="58"/>
  <c r="I130" i="58"/>
  <c r="I131" i="58"/>
  <c r="I125" i="58"/>
  <c r="I124" i="58"/>
  <c r="I132" i="58"/>
  <c r="L132" i="58" s="1"/>
  <c r="I133" i="58"/>
  <c r="K134" i="58"/>
  <c r="K135" i="58"/>
  <c r="K136" i="58"/>
  <c r="K137" i="58"/>
  <c r="K138" i="58"/>
  <c r="K139" i="58"/>
  <c r="K140" i="58"/>
  <c r="K141" i="58"/>
  <c r="K142" i="58"/>
  <c r="K143" i="58"/>
  <c r="K144" i="58"/>
  <c r="K145" i="58"/>
  <c r="K146" i="58"/>
  <c r="K147" i="58"/>
  <c r="K148" i="58"/>
  <c r="K149" i="58"/>
  <c r="K150" i="58"/>
  <c r="K151" i="58"/>
  <c r="K133" i="58"/>
  <c r="I157" i="58"/>
  <c r="I158" i="58"/>
  <c r="I159" i="58"/>
  <c r="L159" i="58" s="1"/>
  <c r="I160" i="58"/>
  <c r="L160" i="58" s="1"/>
  <c r="I136" i="58"/>
  <c r="I137" i="58"/>
  <c r="I138" i="58"/>
  <c r="I139" i="58"/>
  <c r="I140" i="58"/>
  <c r="I141" i="58"/>
  <c r="I142" i="58"/>
  <c r="I143" i="58"/>
  <c r="I144" i="58"/>
  <c r="I145" i="58"/>
  <c r="I146" i="58"/>
  <c r="I147" i="58"/>
  <c r="I148" i="58"/>
  <c r="I149" i="58"/>
  <c r="I150" i="58"/>
  <c r="I110" i="58"/>
  <c r="L110" i="58" s="1"/>
  <c r="I111" i="58"/>
  <c r="L111" i="58" s="1"/>
  <c r="I112" i="58"/>
  <c r="L112" i="58" s="1"/>
  <c r="I113" i="58"/>
  <c r="L113" i="58" s="1"/>
  <c r="I114" i="58"/>
  <c r="L114" i="58" s="1"/>
  <c r="I115" i="58"/>
  <c r="L115" i="58" s="1"/>
  <c r="I116" i="58"/>
  <c r="L116" i="58" s="1"/>
  <c r="I117" i="58"/>
  <c r="L117" i="58" s="1"/>
  <c r="I118" i="58"/>
  <c r="L118" i="58" s="1"/>
  <c r="I119" i="58"/>
  <c r="L119" i="58" s="1"/>
  <c r="I120" i="58"/>
  <c r="L120" i="58" s="1"/>
  <c r="I121" i="58"/>
  <c r="L121" i="58" s="1"/>
  <c r="I122" i="58"/>
  <c r="L122" i="58" s="1"/>
  <c r="I123" i="58"/>
  <c r="L123" i="58" s="1"/>
  <c r="I134" i="58"/>
  <c r="I135" i="58"/>
  <c r="I151" i="58"/>
  <c r="I152" i="58"/>
  <c r="I153" i="58"/>
  <c r="I154" i="58"/>
  <c r="L154" i="58" s="1"/>
  <c r="I155" i="58"/>
  <c r="I156" i="58"/>
  <c r="L156" i="58" s="1"/>
  <c r="K100" i="58"/>
  <c r="L100" i="58" s="1"/>
  <c r="K101" i="58"/>
  <c r="L101" i="58" s="1"/>
  <c r="K102" i="58"/>
  <c r="K99" i="58"/>
  <c r="L99" i="58" s="1"/>
  <c r="I102" i="58"/>
  <c r="K91" i="58"/>
  <c r="K88" i="58"/>
  <c r="K87" i="58"/>
  <c r="K89" i="58"/>
  <c r="K90" i="58"/>
  <c r="K86" i="58"/>
  <c r="I60" i="58"/>
  <c r="L60" i="58" s="1"/>
  <c r="I62" i="58"/>
  <c r="L62" i="58" s="1"/>
  <c r="I63" i="58"/>
  <c r="L63" i="58" s="1"/>
  <c r="I64" i="58"/>
  <c r="L64" i="58" s="1"/>
  <c r="I65" i="58"/>
  <c r="L65" i="58" s="1"/>
  <c r="L106" i="66" l="1"/>
  <c r="L28" i="64"/>
  <c r="L133" i="64"/>
  <c r="X122" i="62"/>
  <c r="AJ122" i="62"/>
  <c r="AK122" i="62"/>
  <c r="M122" i="62"/>
  <c r="R122" i="62"/>
  <c r="AD122" i="62"/>
  <c r="Y122" i="62"/>
  <c r="AL122" i="62"/>
  <c r="W122" i="62"/>
  <c r="AI122" i="62"/>
  <c r="V122" i="62"/>
  <c r="S122" i="62"/>
  <c r="AE122" i="62"/>
  <c r="AH122" i="62"/>
  <c r="T122" i="62"/>
  <c r="AF122" i="62"/>
  <c r="U122" i="62"/>
  <c r="AG122" i="62"/>
  <c r="N122" i="62"/>
  <c r="Z122" i="62"/>
  <c r="O122" i="62"/>
  <c r="AA122" i="62"/>
  <c r="P122" i="62"/>
  <c r="AB122" i="62"/>
  <c r="Q122" i="62"/>
  <c r="AC122" i="62"/>
  <c r="L20" i="62"/>
  <c r="L22" i="62"/>
  <c r="L18" i="62"/>
  <c r="K25" i="62"/>
  <c r="K122" i="62" s="1"/>
  <c r="W109" i="61"/>
  <c r="L16" i="61"/>
  <c r="R109" i="61"/>
  <c r="L14" i="61"/>
  <c r="S109" i="61"/>
  <c r="AE109" i="61"/>
  <c r="L15" i="61"/>
  <c r="AD109" i="61"/>
  <c r="AI109" i="61"/>
  <c r="X109" i="61"/>
  <c r="AJ109" i="61"/>
  <c r="L12" i="61"/>
  <c r="M109" i="61"/>
  <c r="Y109" i="61"/>
  <c r="AK109" i="61"/>
  <c r="L13" i="61"/>
  <c r="L7" i="61"/>
  <c r="T109" i="61"/>
  <c r="AF109" i="61"/>
  <c r="U109" i="61"/>
  <c r="AG109" i="61"/>
  <c r="V109" i="61"/>
  <c r="AH109" i="61"/>
  <c r="P109" i="61"/>
  <c r="AB109" i="61"/>
  <c r="Q109" i="61"/>
  <c r="AC109" i="61"/>
  <c r="K20" i="61"/>
  <c r="K109" i="61" s="1"/>
  <c r="L108" i="61"/>
  <c r="L28" i="60"/>
  <c r="U145" i="60"/>
  <c r="AG145" i="60"/>
  <c r="V145" i="60"/>
  <c r="AH145" i="60"/>
  <c r="M145" i="60"/>
  <c r="Y145" i="60"/>
  <c r="AK145" i="60"/>
  <c r="W145" i="60"/>
  <c r="AI145" i="60"/>
  <c r="S145" i="60"/>
  <c r="T145" i="60"/>
  <c r="AF145" i="60"/>
  <c r="R145" i="60"/>
  <c r="AD145" i="60"/>
  <c r="Q145" i="60"/>
  <c r="P145" i="60"/>
  <c r="AB145" i="60"/>
  <c r="AE145" i="60"/>
  <c r="K145" i="60"/>
  <c r="X145" i="60"/>
  <c r="AJ145" i="60"/>
  <c r="N145" i="60"/>
  <c r="Z145" i="60"/>
  <c r="AL145" i="60"/>
  <c r="O145" i="60"/>
  <c r="AA145" i="60"/>
  <c r="AC145" i="60"/>
  <c r="L144" i="60"/>
  <c r="L21" i="60"/>
  <c r="L73" i="59"/>
  <c r="L18" i="59"/>
  <c r="L22" i="59" s="1"/>
  <c r="L74" i="59" s="1"/>
  <c r="L102" i="58"/>
  <c r="L129" i="58"/>
  <c r="L155" i="58"/>
  <c r="L158" i="58"/>
  <c r="L128" i="58"/>
  <c r="L125" i="58"/>
  <c r="L131" i="58"/>
  <c r="L157" i="58"/>
  <c r="L130" i="58"/>
  <c r="L127" i="58"/>
  <c r="L126" i="58"/>
  <c r="L124" i="58"/>
  <c r="L152" i="58"/>
  <c r="L153" i="58"/>
  <c r="L133" i="58"/>
  <c r="L139" i="58"/>
  <c r="L134" i="58"/>
  <c r="L146" i="58"/>
  <c r="L150" i="58"/>
  <c r="L148" i="58"/>
  <c r="L141" i="58"/>
  <c r="L142" i="58"/>
  <c r="L140" i="58"/>
  <c r="L138" i="58"/>
  <c r="L136" i="58"/>
  <c r="L149" i="58"/>
  <c r="L137" i="58"/>
  <c r="L147" i="58"/>
  <c r="L135" i="58"/>
  <c r="L151" i="58"/>
  <c r="L145" i="58"/>
  <c r="L144" i="58"/>
  <c r="L143" i="58"/>
  <c r="K31" i="58"/>
  <c r="K29" i="58"/>
  <c r="I29" i="58"/>
  <c r="I30" i="58"/>
  <c r="L30" i="58" s="1"/>
  <c r="I31" i="58"/>
  <c r="I32" i="58"/>
  <c r="L32" i="58" s="1"/>
  <c r="I33" i="58"/>
  <c r="L33" i="58" s="1"/>
  <c r="I89" i="58"/>
  <c r="L89" i="58" s="1"/>
  <c r="I90" i="58"/>
  <c r="L90" i="58" s="1"/>
  <c r="I91" i="58"/>
  <c r="L91" i="58" s="1"/>
  <c r="I75" i="58"/>
  <c r="L75" i="58" s="1"/>
  <c r="I76" i="58"/>
  <c r="L76" i="58" s="1"/>
  <c r="AL161" i="58"/>
  <c r="AK161" i="58"/>
  <c r="AJ161" i="58"/>
  <c r="AI161" i="58"/>
  <c r="AH161" i="58"/>
  <c r="AG161" i="58"/>
  <c r="AF161" i="58"/>
  <c r="AE161" i="58"/>
  <c r="AD161" i="58"/>
  <c r="AC161" i="58"/>
  <c r="AB161" i="58"/>
  <c r="AA161" i="58"/>
  <c r="Z161" i="58"/>
  <c r="Y161" i="58"/>
  <c r="X161" i="58"/>
  <c r="W161" i="58"/>
  <c r="V161" i="58"/>
  <c r="U161" i="58"/>
  <c r="T161" i="58"/>
  <c r="S161" i="58"/>
  <c r="R161" i="58"/>
  <c r="Q161" i="58"/>
  <c r="P161" i="58"/>
  <c r="O161" i="58"/>
  <c r="N161" i="58"/>
  <c r="M161" i="58"/>
  <c r="K161" i="58"/>
  <c r="I109" i="58"/>
  <c r="L109" i="58" s="1"/>
  <c r="I108" i="58"/>
  <c r="L108" i="58" s="1"/>
  <c r="I107" i="58"/>
  <c r="L107" i="58" s="1"/>
  <c r="I106" i="58"/>
  <c r="L106" i="58" s="1"/>
  <c r="I105" i="58"/>
  <c r="L105" i="58" s="1"/>
  <c r="I104" i="58"/>
  <c r="L104" i="58" s="1"/>
  <c r="I103" i="58"/>
  <c r="L103" i="58" s="1"/>
  <c r="I95" i="58"/>
  <c r="L95" i="58" s="1"/>
  <c r="I94" i="58"/>
  <c r="L94" i="58" s="1"/>
  <c r="I93" i="58"/>
  <c r="L93" i="58" s="1"/>
  <c r="I92" i="58"/>
  <c r="L92" i="58" s="1"/>
  <c r="I88" i="58"/>
  <c r="L88" i="58" s="1"/>
  <c r="I87" i="58"/>
  <c r="L87" i="58" s="1"/>
  <c r="I86" i="58"/>
  <c r="L86" i="58" s="1"/>
  <c r="I85" i="58"/>
  <c r="L85" i="58" s="1"/>
  <c r="I84" i="58"/>
  <c r="L84" i="58" s="1"/>
  <c r="I83" i="58"/>
  <c r="L83" i="58" s="1"/>
  <c r="I82" i="58"/>
  <c r="L82" i="58" s="1"/>
  <c r="I81" i="58"/>
  <c r="L81" i="58" s="1"/>
  <c r="I80" i="58"/>
  <c r="L80" i="58" s="1"/>
  <c r="I79" i="58"/>
  <c r="L79" i="58" s="1"/>
  <c r="I78" i="58"/>
  <c r="L78" i="58" s="1"/>
  <c r="I77" i="58"/>
  <c r="L77" i="58" s="1"/>
  <c r="I74" i="58"/>
  <c r="L74" i="58" s="1"/>
  <c r="I73" i="58"/>
  <c r="L73" i="58" s="1"/>
  <c r="I72" i="58"/>
  <c r="L72" i="58" s="1"/>
  <c r="I71" i="58"/>
  <c r="L71" i="58" s="1"/>
  <c r="I70" i="58"/>
  <c r="L70" i="58" s="1"/>
  <c r="I69" i="58"/>
  <c r="L69" i="58" s="1"/>
  <c r="I68" i="58"/>
  <c r="L68" i="58" s="1"/>
  <c r="I67" i="58"/>
  <c r="L67" i="58" s="1"/>
  <c r="I66" i="58"/>
  <c r="L66" i="58" s="1"/>
  <c r="I59" i="58"/>
  <c r="L59" i="58" s="1"/>
  <c r="I58" i="58"/>
  <c r="L58" i="58" s="1"/>
  <c r="I57" i="58"/>
  <c r="L57" i="58" s="1"/>
  <c r="I56" i="58"/>
  <c r="L56" i="58" s="1"/>
  <c r="I55" i="58"/>
  <c r="L55" i="58" s="1"/>
  <c r="I54" i="58"/>
  <c r="L54" i="58" s="1"/>
  <c r="I53" i="58"/>
  <c r="L53" i="58" s="1"/>
  <c r="I52" i="58"/>
  <c r="L52" i="58" s="1"/>
  <c r="I51" i="58"/>
  <c r="L51" i="58" s="1"/>
  <c r="I50" i="58"/>
  <c r="L50" i="58" s="1"/>
  <c r="I49" i="58"/>
  <c r="L49" i="58" s="1"/>
  <c r="I48" i="58"/>
  <c r="L48" i="58" s="1"/>
  <c r="I47" i="58"/>
  <c r="L47" i="58" s="1"/>
  <c r="I46" i="58"/>
  <c r="L46" i="58" s="1"/>
  <c r="I45" i="58"/>
  <c r="L45" i="58" s="1"/>
  <c r="I44" i="58"/>
  <c r="L44" i="58" s="1"/>
  <c r="I43" i="58"/>
  <c r="L43" i="58" s="1"/>
  <c r="I42" i="58"/>
  <c r="L42" i="58" s="1"/>
  <c r="I41" i="58"/>
  <c r="L41" i="58" s="1"/>
  <c r="I40" i="58"/>
  <c r="L40" i="58" s="1"/>
  <c r="I39" i="58"/>
  <c r="L39" i="58" s="1"/>
  <c r="I38" i="58"/>
  <c r="L38" i="58" s="1"/>
  <c r="I37" i="58"/>
  <c r="L37" i="58" s="1"/>
  <c r="I36" i="58"/>
  <c r="L36" i="58" s="1"/>
  <c r="I35" i="58"/>
  <c r="AL34" i="58"/>
  <c r="AK34" i="58"/>
  <c r="AJ34" i="58"/>
  <c r="AI34" i="58"/>
  <c r="AH34" i="58"/>
  <c r="AG34" i="58"/>
  <c r="AF34" i="58"/>
  <c r="AE34" i="58"/>
  <c r="AD34" i="58"/>
  <c r="AC34" i="58"/>
  <c r="AB34" i="58"/>
  <c r="AA34" i="58"/>
  <c r="Z34" i="58"/>
  <c r="Y34" i="58"/>
  <c r="X34" i="58"/>
  <c r="W34" i="58"/>
  <c r="V34" i="58"/>
  <c r="U34" i="58"/>
  <c r="T34" i="58"/>
  <c r="S34" i="58"/>
  <c r="R34" i="58"/>
  <c r="Q34" i="58"/>
  <c r="P34" i="58"/>
  <c r="O34" i="58"/>
  <c r="N34" i="58"/>
  <c r="M34" i="58"/>
  <c r="I28" i="58"/>
  <c r="L28" i="58" s="1"/>
  <c r="AL27" i="58"/>
  <c r="AK27" i="58"/>
  <c r="AJ27" i="58"/>
  <c r="AI27" i="58"/>
  <c r="AH27" i="58"/>
  <c r="AG27" i="58"/>
  <c r="AF27" i="58"/>
  <c r="AE27" i="58"/>
  <c r="AD27" i="58"/>
  <c r="AC27" i="58"/>
  <c r="AB27" i="58"/>
  <c r="AA27" i="58"/>
  <c r="Z27" i="58"/>
  <c r="Y27" i="58"/>
  <c r="X27" i="58"/>
  <c r="W27" i="58"/>
  <c r="V27" i="58"/>
  <c r="U27" i="58"/>
  <c r="T27" i="58"/>
  <c r="S27" i="58"/>
  <c r="R27" i="58"/>
  <c r="Q27" i="58"/>
  <c r="P27" i="58"/>
  <c r="O27" i="58"/>
  <c r="N27" i="58"/>
  <c r="M27" i="58"/>
  <c r="K27" i="58"/>
  <c r="I26" i="58"/>
  <c r="L26" i="58" s="1"/>
  <c r="I25" i="58"/>
  <c r="L25" i="58" s="1"/>
  <c r="I24" i="58"/>
  <c r="L24" i="58" s="1"/>
  <c r="I23" i="58"/>
  <c r="L23" i="58" s="1"/>
  <c r="I22" i="58"/>
  <c r="L22" i="58" s="1"/>
  <c r="I21" i="58"/>
  <c r="L21" i="58" s="1"/>
  <c r="I20" i="58"/>
  <c r="L20" i="58" s="1"/>
  <c r="I19" i="58"/>
  <c r="L19" i="58" s="1"/>
  <c r="I18" i="58"/>
  <c r="L18" i="58" s="1"/>
  <c r="I17" i="58"/>
  <c r="L17" i="58" s="1"/>
  <c r="I16" i="58"/>
  <c r="L16" i="58" s="1"/>
  <c r="I15" i="58"/>
  <c r="L15" i="58" s="1"/>
  <c r="I14" i="58"/>
  <c r="L14" i="58" s="1"/>
  <c r="I13" i="58"/>
  <c r="L13" i="58" s="1"/>
  <c r="I12" i="58"/>
  <c r="L12" i="58" s="1"/>
  <c r="I11" i="58"/>
  <c r="L11" i="58" s="1"/>
  <c r="I10" i="58"/>
  <c r="L10" i="58" s="1"/>
  <c r="I9" i="58"/>
  <c r="L9" i="58" s="1"/>
  <c r="I8" i="58"/>
  <c r="L8" i="58" s="1"/>
  <c r="I7" i="58"/>
  <c r="L7" i="58" s="1"/>
  <c r="I6" i="58"/>
  <c r="L6" i="58" s="1"/>
  <c r="I5" i="58"/>
  <c r="L5" i="58" s="1"/>
  <c r="I4" i="58"/>
  <c r="L4" i="58" s="1"/>
  <c r="AH68" i="57"/>
  <c r="AI68" i="57"/>
  <c r="AJ68" i="57"/>
  <c r="AH67" i="57"/>
  <c r="AI67" i="57"/>
  <c r="AJ67" i="57"/>
  <c r="AG68" i="57"/>
  <c r="AG67" i="57"/>
  <c r="AH66" i="57"/>
  <c r="AI66" i="57"/>
  <c r="AJ66" i="57"/>
  <c r="AG66" i="57"/>
  <c r="AH65" i="57"/>
  <c r="AI65" i="57"/>
  <c r="AJ65" i="57"/>
  <c r="AG65" i="57"/>
  <c r="AH47" i="57"/>
  <c r="AI47" i="57"/>
  <c r="AJ47" i="57"/>
  <c r="AG47" i="57"/>
  <c r="AH46" i="57"/>
  <c r="AI46" i="57"/>
  <c r="AJ46" i="57"/>
  <c r="AG46" i="57"/>
  <c r="I65" i="57"/>
  <c r="K33" i="57"/>
  <c r="K32" i="57"/>
  <c r="I34" i="57"/>
  <c r="L34" i="57" s="1"/>
  <c r="K57" i="57"/>
  <c r="K56" i="57"/>
  <c r="K25" i="57"/>
  <c r="K24" i="57"/>
  <c r="K22" i="57"/>
  <c r="K21" i="57"/>
  <c r="K20" i="57"/>
  <c r="K19" i="57"/>
  <c r="K16" i="57"/>
  <c r="K17" i="57"/>
  <c r="K14" i="57"/>
  <c r="K13" i="57"/>
  <c r="K12" i="57"/>
  <c r="K11" i="57"/>
  <c r="I14" i="57"/>
  <c r="L14" i="57" s="1"/>
  <c r="I15" i="57"/>
  <c r="L15" i="57" s="1"/>
  <c r="K10" i="57"/>
  <c r="K9" i="57"/>
  <c r="K8" i="57"/>
  <c r="K7" i="57"/>
  <c r="K6" i="57"/>
  <c r="K5" i="57"/>
  <c r="I58" i="57"/>
  <c r="L58" i="57" s="1"/>
  <c r="AL71" i="57"/>
  <c r="AK71" i="57"/>
  <c r="AJ71" i="57"/>
  <c r="AI71" i="57"/>
  <c r="AH71" i="57"/>
  <c r="AG71" i="57"/>
  <c r="AF71" i="57"/>
  <c r="AE71" i="57"/>
  <c r="AD71" i="57"/>
  <c r="AC71" i="57"/>
  <c r="AB71" i="57"/>
  <c r="AA71" i="57"/>
  <c r="Z71" i="57"/>
  <c r="Y71" i="57"/>
  <c r="X71" i="57"/>
  <c r="W71" i="57"/>
  <c r="V71" i="57"/>
  <c r="U71" i="57"/>
  <c r="T71" i="57"/>
  <c r="S71" i="57"/>
  <c r="R71" i="57"/>
  <c r="Q71" i="57"/>
  <c r="P71" i="57"/>
  <c r="O71" i="57"/>
  <c r="N71" i="57"/>
  <c r="M71" i="57"/>
  <c r="K71" i="57"/>
  <c r="I70" i="57"/>
  <c r="L70" i="57" s="1"/>
  <c r="I69" i="57"/>
  <c r="L69" i="57" s="1"/>
  <c r="I68" i="57"/>
  <c r="L68" i="57" s="1"/>
  <c r="I67" i="57"/>
  <c r="L67" i="57" s="1"/>
  <c r="I66" i="57"/>
  <c r="L66" i="57" s="1"/>
  <c r="L65" i="57"/>
  <c r="I63" i="57"/>
  <c r="L63" i="57" s="1"/>
  <c r="I62" i="57"/>
  <c r="L62" i="57" s="1"/>
  <c r="I61" i="57"/>
  <c r="L61" i="57" s="1"/>
  <c r="I60" i="57"/>
  <c r="L60" i="57" s="1"/>
  <c r="I59" i="57"/>
  <c r="L59" i="57" s="1"/>
  <c r="I57" i="57"/>
  <c r="L57" i="57" s="1"/>
  <c r="I56" i="57"/>
  <c r="L56" i="57" s="1"/>
  <c r="I55" i="57"/>
  <c r="L55" i="57" s="1"/>
  <c r="I54" i="57"/>
  <c r="L54" i="57" s="1"/>
  <c r="I53" i="57"/>
  <c r="L53" i="57" s="1"/>
  <c r="I52" i="57"/>
  <c r="L52" i="57" s="1"/>
  <c r="I51" i="57"/>
  <c r="L51" i="57" s="1"/>
  <c r="I50" i="57"/>
  <c r="L50" i="57" s="1"/>
  <c r="I49" i="57"/>
  <c r="L49" i="57" s="1"/>
  <c r="I48" i="57"/>
  <c r="L48" i="57" s="1"/>
  <c r="I47" i="57"/>
  <c r="L47" i="57" s="1"/>
  <c r="I46" i="57"/>
  <c r="L46" i="57" s="1"/>
  <c r="I44" i="57"/>
  <c r="L44" i="57" s="1"/>
  <c r="I43" i="57"/>
  <c r="L43" i="57" s="1"/>
  <c r="I42" i="57"/>
  <c r="L42" i="57" s="1"/>
  <c r="I41" i="57"/>
  <c r="L41" i="57" s="1"/>
  <c r="I40" i="57"/>
  <c r="L40" i="57" s="1"/>
  <c r="I39" i="57"/>
  <c r="L39" i="57" s="1"/>
  <c r="I38" i="57"/>
  <c r="L38" i="57" s="1"/>
  <c r="I37" i="57"/>
  <c r="L37" i="57" s="1"/>
  <c r="I36" i="57"/>
  <c r="L36" i="57" s="1"/>
  <c r="I35" i="57"/>
  <c r="L35" i="57" s="1"/>
  <c r="I33" i="57"/>
  <c r="L33" i="57" s="1"/>
  <c r="I32" i="57"/>
  <c r="L32" i="57" s="1"/>
  <c r="I31" i="57"/>
  <c r="L31" i="57" s="1"/>
  <c r="L71" i="57" s="1"/>
  <c r="AL30" i="57"/>
  <c r="AK30" i="57"/>
  <c r="AJ30" i="57"/>
  <c r="AI30" i="57"/>
  <c r="AH30" i="57"/>
  <c r="AG30" i="57"/>
  <c r="AF30" i="57"/>
  <c r="AE30" i="57"/>
  <c r="AD30" i="57"/>
  <c r="AC30" i="57"/>
  <c r="AB30" i="57"/>
  <c r="AA30" i="57"/>
  <c r="Z30" i="57"/>
  <c r="Y30" i="57"/>
  <c r="X30" i="57"/>
  <c r="W30" i="57"/>
  <c r="V30" i="57"/>
  <c r="U30" i="57"/>
  <c r="T30" i="57"/>
  <c r="S30" i="57"/>
  <c r="R30" i="57"/>
  <c r="Q30" i="57"/>
  <c r="P30" i="57"/>
  <c r="O30" i="57"/>
  <c r="N30" i="57"/>
  <c r="M30" i="57"/>
  <c r="K30" i="57"/>
  <c r="I28" i="57"/>
  <c r="L28" i="57" s="1"/>
  <c r="L30" i="57" s="1"/>
  <c r="AL27" i="57"/>
  <c r="AL72" i="57" s="1"/>
  <c r="AK27" i="57"/>
  <c r="AK72" i="57" s="1"/>
  <c r="AJ27" i="57"/>
  <c r="AJ72" i="57" s="1"/>
  <c r="AI27" i="57"/>
  <c r="AI72" i="57" s="1"/>
  <c r="AH27" i="57"/>
  <c r="AH72" i="57" s="1"/>
  <c r="AG27" i="57"/>
  <c r="AG72" i="57" s="1"/>
  <c r="AF27" i="57"/>
  <c r="AF72" i="57" s="1"/>
  <c r="AE27" i="57"/>
  <c r="AE72" i="57" s="1"/>
  <c r="AD27" i="57"/>
  <c r="AD72" i="57" s="1"/>
  <c r="AC27" i="57"/>
  <c r="AC72" i="57" s="1"/>
  <c r="AB27" i="57"/>
  <c r="AB72" i="57" s="1"/>
  <c r="AA27" i="57"/>
  <c r="AA72" i="57" s="1"/>
  <c r="Z27" i="57"/>
  <c r="Z72" i="57" s="1"/>
  <c r="Y27" i="57"/>
  <c r="Y72" i="57" s="1"/>
  <c r="X27" i="57"/>
  <c r="X72" i="57" s="1"/>
  <c r="W27" i="57"/>
  <c r="W72" i="57" s="1"/>
  <c r="V27" i="57"/>
  <c r="V72" i="57" s="1"/>
  <c r="U27" i="57"/>
  <c r="U72" i="57" s="1"/>
  <c r="T27" i="57"/>
  <c r="T72" i="57" s="1"/>
  <c r="S27" i="57"/>
  <c r="S72" i="57" s="1"/>
  <c r="R27" i="57"/>
  <c r="R72" i="57" s="1"/>
  <c r="Q27" i="57"/>
  <c r="Q72" i="57" s="1"/>
  <c r="P27" i="57"/>
  <c r="P72" i="57" s="1"/>
  <c r="O27" i="57"/>
  <c r="O72" i="57" s="1"/>
  <c r="N27" i="57"/>
  <c r="N72" i="57" s="1"/>
  <c r="M27" i="57"/>
  <c r="M72" i="57" s="1"/>
  <c r="K27" i="57"/>
  <c r="K72" i="57" s="1"/>
  <c r="I26" i="57"/>
  <c r="L26" i="57" s="1"/>
  <c r="I25" i="57"/>
  <c r="L25" i="57" s="1"/>
  <c r="I24" i="57"/>
  <c r="L24" i="57" s="1"/>
  <c r="I23" i="57"/>
  <c r="L23" i="57" s="1"/>
  <c r="I22" i="57"/>
  <c r="L22" i="57" s="1"/>
  <c r="I21" i="57"/>
  <c r="L21" i="57" s="1"/>
  <c r="I20" i="57"/>
  <c r="L20" i="57" s="1"/>
  <c r="I19" i="57"/>
  <c r="L19" i="57" s="1"/>
  <c r="I18" i="57"/>
  <c r="L18" i="57" s="1"/>
  <c r="I17" i="57"/>
  <c r="L17" i="57" s="1"/>
  <c r="I16" i="57"/>
  <c r="L16" i="57" s="1"/>
  <c r="I13" i="57"/>
  <c r="L13" i="57" s="1"/>
  <c r="I12" i="57"/>
  <c r="L12" i="57" s="1"/>
  <c r="I11" i="57"/>
  <c r="L11" i="57" s="1"/>
  <c r="I10" i="57"/>
  <c r="L10" i="57" s="1"/>
  <c r="I9" i="57"/>
  <c r="L9" i="57" s="1"/>
  <c r="I8" i="57"/>
  <c r="L8" i="57" s="1"/>
  <c r="I7" i="57"/>
  <c r="L7" i="57" s="1"/>
  <c r="I6" i="57"/>
  <c r="L6" i="57" s="1"/>
  <c r="I5" i="57"/>
  <c r="L5" i="57" s="1"/>
  <c r="I4" i="57"/>
  <c r="L4" i="57" s="1"/>
  <c r="L27" i="57" s="1"/>
  <c r="L72" i="57" s="1"/>
  <c r="I118" i="56"/>
  <c r="L118" i="56" s="1"/>
  <c r="I121" i="56"/>
  <c r="L121" i="56" s="1"/>
  <c r="I122" i="56"/>
  <c r="L122" i="56" s="1"/>
  <c r="I123" i="56"/>
  <c r="L123" i="56" s="1"/>
  <c r="I124" i="56"/>
  <c r="L124" i="56" s="1"/>
  <c r="I125" i="56"/>
  <c r="L125" i="56" s="1"/>
  <c r="I112" i="56"/>
  <c r="L112" i="56" s="1"/>
  <c r="I113" i="56"/>
  <c r="I114" i="56"/>
  <c r="I120" i="56"/>
  <c r="L120" i="56" s="1"/>
  <c r="I126" i="56"/>
  <c r="L126" i="56" s="1"/>
  <c r="I127" i="56"/>
  <c r="I98" i="56"/>
  <c r="L98" i="56" s="1"/>
  <c r="K30" i="56"/>
  <c r="K31" i="56"/>
  <c r="K28" i="56"/>
  <c r="I88" i="56"/>
  <c r="L88" i="56" s="1"/>
  <c r="K16" i="56"/>
  <c r="I74" i="56"/>
  <c r="L74" i="56" s="1"/>
  <c r="L134" i="64" l="1"/>
  <c r="L25" i="62"/>
  <c r="L121" i="62"/>
  <c r="L20" i="61"/>
  <c r="L109" i="61" s="1"/>
  <c r="L145" i="60"/>
  <c r="K34" i="58"/>
  <c r="K162" i="58" s="1"/>
  <c r="L31" i="58"/>
  <c r="L29" i="58"/>
  <c r="AJ162" i="58"/>
  <c r="R162" i="58"/>
  <c r="AD162" i="58"/>
  <c r="Q162" i="58"/>
  <c r="T162" i="58"/>
  <c r="AF162" i="58"/>
  <c r="AC162" i="58"/>
  <c r="L161" i="58"/>
  <c r="U162" i="58"/>
  <c r="S162" i="58"/>
  <c r="L27" i="58"/>
  <c r="AE162" i="58"/>
  <c r="AG162" i="58"/>
  <c r="M162" i="58"/>
  <c r="Y162" i="58"/>
  <c r="AK162" i="58"/>
  <c r="V162" i="58"/>
  <c r="AI162" i="58"/>
  <c r="X162" i="58"/>
  <c r="N162" i="58"/>
  <c r="Z162" i="58"/>
  <c r="AL162" i="58"/>
  <c r="AH162" i="58"/>
  <c r="W162" i="58"/>
  <c r="O162" i="58"/>
  <c r="AA162" i="58"/>
  <c r="P162" i="58"/>
  <c r="AB162" i="58"/>
  <c r="I61" i="56"/>
  <c r="L61" i="56" s="1"/>
  <c r="I28" i="56"/>
  <c r="L28" i="56" s="1"/>
  <c r="I29" i="56"/>
  <c r="L29" i="56" s="1"/>
  <c r="I30" i="56"/>
  <c r="L30" i="56" s="1"/>
  <c r="I31" i="56"/>
  <c r="L31" i="56" s="1"/>
  <c r="I32" i="56"/>
  <c r="L32" i="56" s="1"/>
  <c r="I33" i="56"/>
  <c r="L33" i="56" s="1"/>
  <c r="AL128" i="56"/>
  <c r="AK128" i="56"/>
  <c r="AJ128" i="56"/>
  <c r="AI128" i="56"/>
  <c r="AH128" i="56"/>
  <c r="AG128" i="56"/>
  <c r="AF128" i="56"/>
  <c r="AE128" i="56"/>
  <c r="AD128" i="56"/>
  <c r="AC128" i="56"/>
  <c r="AB128" i="56"/>
  <c r="AA128" i="56"/>
  <c r="Z128" i="56"/>
  <c r="Y128" i="56"/>
  <c r="X128" i="56"/>
  <c r="W128" i="56"/>
  <c r="V128" i="56"/>
  <c r="U128" i="56"/>
  <c r="T128" i="56"/>
  <c r="S128" i="56"/>
  <c r="R128" i="56"/>
  <c r="Q128" i="56"/>
  <c r="P128" i="56"/>
  <c r="O128" i="56"/>
  <c r="N128" i="56"/>
  <c r="M128" i="56"/>
  <c r="K128" i="56"/>
  <c r="L127" i="56"/>
  <c r="I117" i="56"/>
  <c r="L117" i="56" s="1"/>
  <c r="I116" i="56"/>
  <c r="L116" i="56" s="1"/>
  <c r="I115" i="56"/>
  <c r="L115" i="56" s="1"/>
  <c r="L114" i="56"/>
  <c r="L113" i="56"/>
  <c r="I111" i="56"/>
  <c r="L111" i="56" s="1"/>
  <c r="I110" i="56"/>
  <c r="L110" i="56" s="1"/>
  <c r="I109" i="56"/>
  <c r="L109" i="56" s="1"/>
  <c r="I107" i="56"/>
  <c r="L107" i="56" s="1"/>
  <c r="I106" i="56"/>
  <c r="L106" i="56" s="1"/>
  <c r="I105" i="56"/>
  <c r="L105" i="56" s="1"/>
  <c r="I104" i="56"/>
  <c r="L104" i="56" s="1"/>
  <c r="I103" i="56"/>
  <c r="L103" i="56" s="1"/>
  <c r="I102" i="56"/>
  <c r="L102" i="56" s="1"/>
  <c r="I101" i="56"/>
  <c r="L101" i="56" s="1"/>
  <c r="I100" i="56"/>
  <c r="L100" i="56" s="1"/>
  <c r="I99" i="56"/>
  <c r="L99" i="56" s="1"/>
  <c r="I97" i="56"/>
  <c r="L97" i="56" s="1"/>
  <c r="I96" i="56"/>
  <c r="L96" i="56" s="1"/>
  <c r="I95" i="56"/>
  <c r="L95" i="56" s="1"/>
  <c r="I94" i="56"/>
  <c r="L94" i="56" s="1"/>
  <c r="I93" i="56"/>
  <c r="L93" i="56" s="1"/>
  <c r="I92" i="56"/>
  <c r="L92" i="56" s="1"/>
  <c r="I91" i="56"/>
  <c r="L91" i="56" s="1"/>
  <c r="I90" i="56"/>
  <c r="L90" i="56" s="1"/>
  <c r="I89" i="56"/>
  <c r="L89" i="56" s="1"/>
  <c r="I87" i="56"/>
  <c r="L87" i="56" s="1"/>
  <c r="I86" i="56"/>
  <c r="L86" i="56" s="1"/>
  <c r="I85" i="56"/>
  <c r="L85" i="56" s="1"/>
  <c r="I84" i="56"/>
  <c r="L84" i="56" s="1"/>
  <c r="I83" i="56"/>
  <c r="L83" i="56" s="1"/>
  <c r="I82" i="56"/>
  <c r="L82" i="56" s="1"/>
  <c r="I81" i="56"/>
  <c r="L81" i="56" s="1"/>
  <c r="I80" i="56"/>
  <c r="L80" i="56" s="1"/>
  <c r="I79" i="56"/>
  <c r="L79" i="56" s="1"/>
  <c r="I78" i="56"/>
  <c r="L78" i="56" s="1"/>
  <c r="I77" i="56"/>
  <c r="L77" i="56" s="1"/>
  <c r="I76" i="56"/>
  <c r="L76" i="56" s="1"/>
  <c r="I75" i="56"/>
  <c r="L75" i="56" s="1"/>
  <c r="I73" i="56"/>
  <c r="L73" i="56" s="1"/>
  <c r="I72" i="56"/>
  <c r="L72" i="56" s="1"/>
  <c r="I71" i="56"/>
  <c r="L71" i="56" s="1"/>
  <c r="I70" i="56"/>
  <c r="L70" i="56" s="1"/>
  <c r="I69" i="56"/>
  <c r="L69" i="56" s="1"/>
  <c r="I68" i="56"/>
  <c r="L68" i="56" s="1"/>
  <c r="I67" i="56"/>
  <c r="L67" i="56" s="1"/>
  <c r="I66" i="56"/>
  <c r="L66" i="56" s="1"/>
  <c r="I65" i="56"/>
  <c r="L65" i="56" s="1"/>
  <c r="I63" i="56"/>
  <c r="L63" i="56" s="1"/>
  <c r="I62" i="56"/>
  <c r="L62" i="56" s="1"/>
  <c r="I60" i="56"/>
  <c r="L60" i="56" s="1"/>
  <c r="I59" i="56"/>
  <c r="L59" i="56" s="1"/>
  <c r="I58" i="56"/>
  <c r="L58" i="56" s="1"/>
  <c r="I57" i="56"/>
  <c r="L57" i="56" s="1"/>
  <c r="I56" i="56"/>
  <c r="L56" i="56" s="1"/>
  <c r="I55" i="56"/>
  <c r="L55" i="56" s="1"/>
  <c r="I54" i="56"/>
  <c r="L54" i="56" s="1"/>
  <c r="I53" i="56"/>
  <c r="L53" i="56" s="1"/>
  <c r="I52" i="56"/>
  <c r="L52" i="56" s="1"/>
  <c r="I51" i="56"/>
  <c r="L51" i="56" s="1"/>
  <c r="I50" i="56"/>
  <c r="L50" i="56" s="1"/>
  <c r="I49" i="56"/>
  <c r="L49" i="56" s="1"/>
  <c r="I48" i="56"/>
  <c r="L48" i="56" s="1"/>
  <c r="I47" i="56"/>
  <c r="L47" i="56" s="1"/>
  <c r="I46" i="56"/>
  <c r="L46" i="56" s="1"/>
  <c r="I45" i="56"/>
  <c r="L45" i="56" s="1"/>
  <c r="I44" i="56"/>
  <c r="L44" i="56" s="1"/>
  <c r="I43" i="56"/>
  <c r="L43" i="56" s="1"/>
  <c r="I42" i="56"/>
  <c r="L42" i="56" s="1"/>
  <c r="I41" i="56"/>
  <c r="L41" i="56" s="1"/>
  <c r="I40" i="56"/>
  <c r="L40" i="56" s="1"/>
  <c r="I39" i="56"/>
  <c r="L39" i="56" s="1"/>
  <c r="I38" i="56"/>
  <c r="L38" i="56" s="1"/>
  <c r="I37" i="56"/>
  <c r="L37" i="56" s="1"/>
  <c r="I36" i="56"/>
  <c r="L36" i="56" s="1"/>
  <c r="I35" i="56"/>
  <c r="AL34" i="56"/>
  <c r="AK34" i="56"/>
  <c r="AJ34" i="56"/>
  <c r="AI34" i="56"/>
  <c r="AH34" i="56"/>
  <c r="AG34" i="56"/>
  <c r="AF34" i="56"/>
  <c r="AE34" i="56"/>
  <c r="AD34" i="56"/>
  <c r="AC34" i="56"/>
  <c r="AB34" i="56"/>
  <c r="AA34" i="56"/>
  <c r="Z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K34" i="56"/>
  <c r="I27" i="56"/>
  <c r="L27" i="56" s="1"/>
  <c r="AL26" i="56"/>
  <c r="AL129" i="56" s="1"/>
  <c r="AK26" i="56"/>
  <c r="AJ26" i="56"/>
  <c r="AI26" i="56"/>
  <c r="AH26" i="56"/>
  <c r="AG26" i="56"/>
  <c r="AF26" i="56"/>
  <c r="AE26" i="56"/>
  <c r="AD26" i="56"/>
  <c r="AC26" i="56"/>
  <c r="AB26" i="56"/>
  <c r="AA26" i="56"/>
  <c r="Z26" i="56"/>
  <c r="Z129" i="56" s="1"/>
  <c r="Y26" i="56"/>
  <c r="X26" i="56"/>
  <c r="W26" i="56"/>
  <c r="V26" i="56"/>
  <c r="U26" i="56"/>
  <c r="T26" i="56"/>
  <c r="S26" i="56"/>
  <c r="R26" i="56"/>
  <c r="Q26" i="56"/>
  <c r="P26" i="56"/>
  <c r="O26" i="56"/>
  <c r="N26" i="56"/>
  <c r="N129" i="56" s="1"/>
  <c r="M26" i="56"/>
  <c r="K26" i="56"/>
  <c r="I25" i="56"/>
  <c r="L25" i="56" s="1"/>
  <c r="I24" i="56"/>
  <c r="L24" i="56" s="1"/>
  <c r="I23" i="56"/>
  <c r="L23" i="56" s="1"/>
  <c r="I22" i="56"/>
  <c r="L22" i="56" s="1"/>
  <c r="I21" i="56"/>
  <c r="L21" i="56" s="1"/>
  <c r="I20" i="56"/>
  <c r="L20" i="56" s="1"/>
  <c r="I19" i="56"/>
  <c r="L19" i="56" s="1"/>
  <c r="I18" i="56"/>
  <c r="L18" i="56" s="1"/>
  <c r="I17" i="56"/>
  <c r="L17" i="56" s="1"/>
  <c r="I16" i="56"/>
  <c r="L16" i="56" s="1"/>
  <c r="I15" i="56"/>
  <c r="L15" i="56" s="1"/>
  <c r="I14" i="56"/>
  <c r="L14" i="56" s="1"/>
  <c r="I13" i="56"/>
  <c r="L13" i="56" s="1"/>
  <c r="I12" i="56"/>
  <c r="L12" i="56" s="1"/>
  <c r="I11" i="56"/>
  <c r="L11" i="56" s="1"/>
  <c r="I10" i="56"/>
  <c r="L10" i="56" s="1"/>
  <c r="I9" i="56"/>
  <c r="L9" i="56" s="1"/>
  <c r="I8" i="56"/>
  <c r="L8" i="56" s="1"/>
  <c r="I7" i="56"/>
  <c r="L7" i="56" s="1"/>
  <c r="I6" i="56"/>
  <c r="L6" i="56" s="1"/>
  <c r="I5" i="56"/>
  <c r="L5" i="56" s="1"/>
  <c r="I4" i="56"/>
  <c r="L4" i="56" s="1"/>
  <c r="AJ123" i="38"/>
  <c r="AJ94" i="55"/>
  <c r="AJ30" i="55"/>
  <c r="AJ33" i="38"/>
  <c r="AJ36" i="38"/>
  <c r="AI122" i="38"/>
  <c r="AJ122" i="38"/>
  <c r="AJ93" i="55"/>
  <c r="K46" i="55"/>
  <c r="K88" i="55"/>
  <c r="K86" i="55"/>
  <c r="K81" i="55"/>
  <c r="K79" i="55"/>
  <c r="K75" i="55"/>
  <c r="K74" i="55"/>
  <c r="K10" i="55"/>
  <c r="K9" i="55"/>
  <c r="K64" i="55"/>
  <c r="K63" i="55"/>
  <c r="AH54" i="55"/>
  <c r="AI54" i="55"/>
  <c r="AJ54" i="55"/>
  <c r="AG54" i="55"/>
  <c r="AH53" i="55"/>
  <c r="AI53" i="55"/>
  <c r="AJ53" i="55"/>
  <c r="AG53" i="55"/>
  <c r="AH52" i="55"/>
  <c r="AI52" i="55"/>
  <c r="AJ52" i="55"/>
  <c r="AG52" i="55"/>
  <c r="I47" i="55"/>
  <c r="L47" i="55"/>
  <c r="I75" i="55"/>
  <c r="L75" i="55" s="1"/>
  <c r="AH51" i="55"/>
  <c r="AI51" i="55"/>
  <c r="AJ51" i="55"/>
  <c r="AG51" i="55"/>
  <c r="AH49" i="55"/>
  <c r="AI49" i="55"/>
  <c r="AJ49" i="55"/>
  <c r="AG49" i="55"/>
  <c r="AH48" i="55"/>
  <c r="AI48" i="55"/>
  <c r="AJ48" i="55"/>
  <c r="AG48" i="55"/>
  <c r="I69" i="55"/>
  <c r="I68" i="55"/>
  <c r="I61" i="55"/>
  <c r="L61" i="55" s="1"/>
  <c r="I48" i="55"/>
  <c r="L48" i="55" s="1"/>
  <c r="K27" i="55"/>
  <c r="K24" i="55"/>
  <c r="K23" i="55"/>
  <c r="K22" i="55"/>
  <c r="K21" i="55"/>
  <c r="K20" i="55"/>
  <c r="K19" i="55"/>
  <c r="K17" i="55"/>
  <c r="K15" i="55"/>
  <c r="K14" i="55"/>
  <c r="K13" i="55"/>
  <c r="K12" i="55"/>
  <c r="K11" i="55"/>
  <c r="K7" i="55"/>
  <c r="K6" i="55"/>
  <c r="K5" i="55"/>
  <c r="K8" i="55"/>
  <c r="AL93" i="55"/>
  <c r="AK93" i="55"/>
  <c r="AI93" i="55"/>
  <c r="AH93" i="55"/>
  <c r="AG93" i="55"/>
  <c r="AF93" i="55"/>
  <c r="AE93" i="55"/>
  <c r="AD93" i="55"/>
  <c r="AC93" i="55"/>
  <c r="AB93" i="55"/>
  <c r="AA93" i="55"/>
  <c r="Z93" i="55"/>
  <c r="Y93" i="55"/>
  <c r="X93" i="55"/>
  <c r="W93" i="55"/>
  <c r="V93" i="55"/>
  <c r="U93" i="55"/>
  <c r="T93" i="55"/>
  <c r="S93" i="55"/>
  <c r="R93" i="55"/>
  <c r="Q93" i="55"/>
  <c r="P93" i="55"/>
  <c r="O93" i="55"/>
  <c r="N93" i="55"/>
  <c r="M93" i="55"/>
  <c r="K93" i="55"/>
  <c r="L92" i="55"/>
  <c r="I91" i="55"/>
  <c r="L91" i="55" s="1"/>
  <c r="I90" i="55"/>
  <c r="L90" i="55" s="1"/>
  <c r="I89" i="55"/>
  <c r="L89" i="55" s="1"/>
  <c r="I88" i="55"/>
  <c r="L88" i="55" s="1"/>
  <c r="I87" i="55"/>
  <c r="L87" i="55" s="1"/>
  <c r="I86" i="55"/>
  <c r="L86" i="55" s="1"/>
  <c r="I85" i="55"/>
  <c r="L85" i="55" s="1"/>
  <c r="I84" i="55"/>
  <c r="L84" i="55" s="1"/>
  <c r="I83" i="55"/>
  <c r="L83" i="55" s="1"/>
  <c r="I82" i="55"/>
  <c r="L82" i="55" s="1"/>
  <c r="I81" i="55"/>
  <c r="L81" i="55" s="1"/>
  <c r="I80" i="55"/>
  <c r="L80" i="55" s="1"/>
  <c r="I79" i="55"/>
  <c r="L79" i="55" s="1"/>
  <c r="I78" i="55"/>
  <c r="L78" i="55" s="1"/>
  <c r="I77" i="55"/>
  <c r="L77" i="55" s="1"/>
  <c r="I76" i="55"/>
  <c r="L76" i="55" s="1"/>
  <c r="I74" i="55"/>
  <c r="L74" i="55" s="1"/>
  <c r="I73" i="55"/>
  <c r="L73" i="55" s="1"/>
  <c r="I72" i="55"/>
  <c r="L72" i="55" s="1"/>
  <c r="I71" i="55"/>
  <c r="L71" i="55" s="1"/>
  <c r="I70" i="55"/>
  <c r="L70" i="55" s="1"/>
  <c r="L69" i="55"/>
  <c r="L68" i="55"/>
  <c r="I67" i="55"/>
  <c r="L67" i="55" s="1"/>
  <c r="I66" i="55"/>
  <c r="L66" i="55" s="1"/>
  <c r="I65" i="55"/>
  <c r="L65" i="55" s="1"/>
  <c r="I64" i="55"/>
  <c r="L64" i="55" s="1"/>
  <c r="I63" i="55"/>
  <c r="L63" i="55" s="1"/>
  <c r="I62" i="55"/>
  <c r="L62" i="55" s="1"/>
  <c r="I60" i="55"/>
  <c r="L60" i="55" s="1"/>
  <c r="I59" i="55"/>
  <c r="L59" i="55" s="1"/>
  <c r="I58" i="55"/>
  <c r="L58" i="55" s="1"/>
  <c r="I57" i="55"/>
  <c r="L57" i="55" s="1"/>
  <c r="I56" i="55"/>
  <c r="L56" i="55" s="1"/>
  <c r="I55" i="55"/>
  <c r="L55" i="55" s="1"/>
  <c r="I54" i="55"/>
  <c r="L54" i="55" s="1"/>
  <c r="I53" i="55"/>
  <c r="L53" i="55" s="1"/>
  <c r="I52" i="55"/>
  <c r="L52" i="55" s="1"/>
  <c r="I51" i="55"/>
  <c r="L51" i="55" s="1"/>
  <c r="I50" i="55"/>
  <c r="L50" i="55" s="1"/>
  <c r="I49" i="55"/>
  <c r="L49" i="55" s="1"/>
  <c r="I46" i="55"/>
  <c r="L46" i="55" s="1"/>
  <c r="I45" i="55"/>
  <c r="L45" i="55" s="1"/>
  <c r="I44" i="55"/>
  <c r="L44" i="55" s="1"/>
  <c r="I43" i="55"/>
  <c r="L43" i="55" s="1"/>
  <c r="I42" i="55"/>
  <c r="L42" i="55" s="1"/>
  <c r="I41" i="55"/>
  <c r="L41" i="55" s="1"/>
  <c r="I40" i="55"/>
  <c r="L40" i="55" s="1"/>
  <c r="I39" i="55"/>
  <c r="L39" i="55" s="1"/>
  <c r="I38" i="55"/>
  <c r="L38" i="55" s="1"/>
  <c r="I37" i="55"/>
  <c r="L37" i="55" s="1"/>
  <c r="I36" i="55"/>
  <c r="L36" i="55" s="1"/>
  <c r="I35" i="55"/>
  <c r="L35" i="55" s="1"/>
  <c r="I34" i="55"/>
  <c r="L34" i="55" s="1"/>
  <c r="L93" i="55" s="1"/>
  <c r="AL33" i="55"/>
  <c r="AK33" i="55"/>
  <c r="AI33" i="55"/>
  <c r="AH33" i="55"/>
  <c r="AG33" i="55"/>
  <c r="AF33" i="55"/>
  <c r="AE33" i="55"/>
  <c r="AD33" i="55"/>
  <c r="AC33" i="55"/>
  <c r="AB33" i="55"/>
  <c r="AA33" i="55"/>
  <c r="Z33" i="55"/>
  <c r="Y33" i="55"/>
  <c r="X33" i="55"/>
  <c r="W33" i="55"/>
  <c r="V33" i="55"/>
  <c r="U33" i="55"/>
  <c r="T33" i="55"/>
  <c r="S33" i="55"/>
  <c r="R33" i="55"/>
  <c r="Q33" i="55"/>
  <c r="P33" i="55"/>
  <c r="O33" i="55"/>
  <c r="N33" i="55"/>
  <c r="M33" i="55"/>
  <c r="K33" i="55"/>
  <c r="I31" i="55"/>
  <c r="L31" i="55" s="1"/>
  <c r="L33" i="55" s="1"/>
  <c r="AL30" i="55"/>
  <c r="AL94" i="55" s="1"/>
  <c r="AK30" i="55"/>
  <c r="AK94" i="55" s="1"/>
  <c r="AI30" i="55"/>
  <c r="AI94" i="55" s="1"/>
  <c r="AH30" i="55"/>
  <c r="AH94" i="55" s="1"/>
  <c r="AG30" i="55"/>
  <c r="AG94" i="55" s="1"/>
  <c r="AF30" i="55"/>
  <c r="AF94" i="55" s="1"/>
  <c r="AE30" i="55"/>
  <c r="AE94" i="55" s="1"/>
  <c r="AD30" i="55"/>
  <c r="AD94" i="55" s="1"/>
  <c r="AC30" i="55"/>
  <c r="AC94" i="55" s="1"/>
  <c r="AB30" i="55"/>
  <c r="AB94" i="55" s="1"/>
  <c r="AA30" i="55"/>
  <c r="AA94" i="55" s="1"/>
  <c r="Z30" i="55"/>
  <c r="Z94" i="55" s="1"/>
  <c r="Y30" i="55"/>
  <c r="Y94" i="55" s="1"/>
  <c r="X30" i="55"/>
  <c r="X94" i="55" s="1"/>
  <c r="W30" i="55"/>
  <c r="W94" i="55" s="1"/>
  <c r="V30" i="55"/>
  <c r="V94" i="55" s="1"/>
  <c r="U30" i="55"/>
  <c r="U94" i="55" s="1"/>
  <c r="T30" i="55"/>
  <c r="T94" i="55" s="1"/>
  <c r="S30" i="55"/>
  <c r="S94" i="55" s="1"/>
  <c r="R30" i="55"/>
  <c r="R94" i="55" s="1"/>
  <c r="Q30" i="55"/>
  <c r="Q94" i="55" s="1"/>
  <c r="P30" i="55"/>
  <c r="P94" i="55" s="1"/>
  <c r="O30" i="55"/>
  <c r="O94" i="55" s="1"/>
  <c r="N30" i="55"/>
  <c r="N94" i="55" s="1"/>
  <c r="M30" i="55"/>
  <c r="M94" i="55" s="1"/>
  <c r="K30" i="55"/>
  <c r="K94" i="55" s="1"/>
  <c r="I29" i="55"/>
  <c r="L29" i="55" s="1"/>
  <c r="I28" i="55"/>
  <c r="L28" i="55" s="1"/>
  <c r="I27" i="55"/>
  <c r="L27" i="55" s="1"/>
  <c r="I26" i="55"/>
  <c r="L26" i="55" s="1"/>
  <c r="I25" i="55"/>
  <c r="L25" i="55" s="1"/>
  <c r="I24" i="55"/>
  <c r="L24" i="55" s="1"/>
  <c r="I23" i="55"/>
  <c r="L23" i="55" s="1"/>
  <c r="I22" i="55"/>
  <c r="L22" i="55" s="1"/>
  <c r="I21" i="55"/>
  <c r="L21" i="55" s="1"/>
  <c r="I20" i="55"/>
  <c r="L20" i="55" s="1"/>
  <c r="I19" i="55"/>
  <c r="L19" i="55" s="1"/>
  <c r="I18" i="55"/>
  <c r="L18" i="55" s="1"/>
  <c r="I17" i="55"/>
  <c r="L17" i="55" s="1"/>
  <c r="I16" i="55"/>
  <c r="L16" i="55" s="1"/>
  <c r="I15" i="55"/>
  <c r="L15" i="55" s="1"/>
  <c r="I14" i="55"/>
  <c r="L14" i="55" s="1"/>
  <c r="I13" i="55"/>
  <c r="L13" i="55" s="1"/>
  <c r="I12" i="55"/>
  <c r="L12" i="55" s="1"/>
  <c r="I11" i="55"/>
  <c r="L11" i="55" s="1"/>
  <c r="I10" i="55"/>
  <c r="L10" i="55" s="1"/>
  <c r="I9" i="55"/>
  <c r="L9" i="55" s="1"/>
  <c r="I8" i="55"/>
  <c r="L8" i="55" s="1"/>
  <c r="I7" i="55"/>
  <c r="L7" i="55" s="1"/>
  <c r="I6" i="55"/>
  <c r="L6" i="55" s="1"/>
  <c r="I5" i="55"/>
  <c r="L5" i="55" s="1"/>
  <c r="I4" i="55"/>
  <c r="L4" i="55" s="1"/>
  <c r="L30" i="55" s="1"/>
  <c r="L94" i="55" s="1"/>
  <c r="L122" i="62" l="1"/>
  <c r="L34" i="58"/>
  <c r="L162" i="58" s="1"/>
  <c r="L34" i="56"/>
  <c r="O129" i="56"/>
  <c r="AA129" i="56"/>
  <c r="W129" i="56"/>
  <c r="AI129" i="56"/>
  <c r="S129" i="56"/>
  <c r="AE129" i="56"/>
  <c r="K129" i="56"/>
  <c r="X129" i="56"/>
  <c r="AJ129" i="56"/>
  <c r="M129" i="56"/>
  <c r="Y129" i="56"/>
  <c r="AK129" i="56"/>
  <c r="P129" i="56"/>
  <c r="AC129" i="56"/>
  <c r="AB129" i="56"/>
  <c r="V129" i="56"/>
  <c r="Q129" i="56"/>
  <c r="T129" i="56"/>
  <c r="AF129" i="56"/>
  <c r="U129" i="56"/>
  <c r="AG129" i="56"/>
  <c r="AH129" i="56"/>
  <c r="R129" i="56"/>
  <c r="AD129" i="56"/>
  <c r="L128" i="56"/>
  <c r="L26" i="56"/>
  <c r="AL122" i="38"/>
  <c r="AK122" i="38"/>
  <c r="AH122" i="38"/>
  <c r="AG122" i="38"/>
  <c r="AF122" i="38"/>
  <c r="AE122" i="38"/>
  <c r="AD122" i="38"/>
  <c r="AC122" i="38"/>
  <c r="AB122" i="38"/>
  <c r="AA122" i="38"/>
  <c r="Z122" i="38"/>
  <c r="Y122" i="38"/>
  <c r="X122" i="38"/>
  <c r="W122" i="38"/>
  <c r="V122" i="38"/>
  <c r="U122" i="38"/>
  <c r="T122" i="38"/>
  <c r="S122" i="38"/>
  <c r="R122" i="38"/>
  <c r="Q122" i="38"/>
  <c r="P122" i="38"/>
  <c r="O122" i="38"/>
  <c r="N122" i="38"/>
  <c r="M122" i="38"/>
  <c r="K122" i="38"/>
  <c r="L121" i="38"/>
  <c r="I120" i="38"/>
  <c r="L120" i="38" s="1"/>
  <c r="I119" i="38"/>
  <c r="L119" i="38" s="1"/>
  <c r="I118" i="38"/>
  <c r="L118" i="38" s="1"/>
  <c r="I117" i="38"/>
  <c r="L117" i="38" s="1"/>
  <c r="I116" i="38"/>
  <c r="L116" i="38" s="1"/>
  <c r="I114" i="38"/>
  <c r="L114" i="38" s="1"/>
  <c r="I113" i="38"/>
  <c r="L113" i="38" s="1"/>
  <c r="I112" i="38"/>
  <c r="L112" i="38" s="1"/>
  <c r="I111" i="38"/>
  <c r="L111" i="38" s="1"/>
  <c r="I110" i="38"/>
  <c r="L110" i="38" s="1"/>
  <c r="I109" i="38"/>
  <c r="L109" i="38" s="1"/>
  <c r="I108" i="38"/>
  <c r="L108" i="38" s="1"/>
  <c r="I107" i="38"/>
  <c r="L107" i="38" s="1"/>
  <c r="I106" i="38"/>
  <c r="L106" i="38" s="1"/>
  <c r="I105" i="38"/>
  <c r="L105" i="38" s="1"/>
  <c r="I104" i="38"/>
  <c r="L104" i="38" s="1"/>
  <c r="I103" i="38"/>
  <c r="L103" i="38" s="1"/>
  <c r="I102" i="38"/>
  <c r="L102" i="38" s="1"/>
  <c r="I101" i="38"/>
  <c r="L101" i="38" s="1"/>
  <c r="I99" i="38"/>
  <c r="L99" i="38" s="1"/>
  <c r="I98" i="38"/>
  <c r="L98" i="38" s="1"/>
  <c r="I97" i="38"/>
  <c r="L97" i="38" s="1"/>
  <c r="I96" i="38"/>
  <c r="L96" i="38" s="1"/>
  <c r="I95" i="38"/>
  <c r="L95" i="38" s="1"/>
  <c r="I94" i="38"/>
  <c r="L94" i="38" s="1"/>
  <c r="I93" i="38"/>
  <c r="L93" i="38" s="1"/>
  <c r="I92" i="38"/>
  <c r="L92" i="38" s="1"/>
  <c r="I91" i="38"/>
  <c r="L91" i="38" s="1"/>
  <c r="I89" i="38"/>
  <c r="L89" i="38" s="1"/>
  <c r="I88" i="38"/>
  <c r="L88" i="38" s="1"/>
  <c r="I87" i="38"/>
  <c r="L87" i="38" s="1"/>
  <c r="I86" i="38"/>
  <c r="L86" i="38" s="1"/>
  <c r="I85" i="38"/>
  <c r="L85" i="38" s="1"/>
  <c r="I84" i="38"/>
  <c r="L84" i="38" s="1"/>
  <c r="I83" i="38"/>
  <c r="L83" i="38" s="1"/>
  <c r="I82" i="38"/>
  <c r="L82" i="38" s="1"/>
  <c r="I81" i="38"/>
  <c r="L81" i="38" s="1"/>
  <c r="I80" i="38"/>
  <c r="L80" i="38" s="1"/>
  <c r="I79" i="38"/>
  <c r="L79" i="38" s="1"/>
  <c r="I78" i="38"/>
  <c r="L78" i="38" s="1"/>
  <c r="I77" i="38"/>
  <c r="L77" i="38" s="1"/>
  <c r="I75" i="38"/>
  <c r="L75" i="38" s="1"/>
  <c r="I74" i="38"/>
  <c r="L74" i="38" s="1"/>
  <c r="I73" i="38"/>
  <c r="L73" i="38" s="1"/>
  <c r="I72" i="38"/>
  <c r="L72" i="38" s="1"/>
  <c r="I71" i="38"/>
  <c r="L71" i="38" s="1"/>
  <c r="I70" i="38"/>
  <c r="L70" i="38" s="1"/>
  <c r="I69" i="38"/>
  <c r="L69" i="38" s="1"/>
  <c r="I68" i="38"/>
  <c r="L68" i="38" s="1"/>
  <c r="I67" i="38"/>
  <c r="L67" i="38" s="1"/>
  <c r="I66" i="38"/>
  <c r="L66" i="38" s="1"/>
  <c r="I65" i="38"/>
  <c r="L65" i="38" s="1"/>
  <c r="I64" i="38"/>
  <c r="L64" i="38" s="1"/>
  <c r="I62" i="38"/>
  <c r="L62" i="38" s="1"/>
  <c r="I61" i="38"/>
  <c r="L61" i="38" s="1"/>
  <c r="I60" i="38"/>
  <c r="L60" i="38" s="1"/>
  <c r="I59" i="38"/>
  <c r="L59" i="38" s="1"/>
  <c r="I58" i="38"/>
  <c r="L58" i="38" s="1"/>
  <c r="I57" i="38"/>
  <c r="L57" i="38" s="1"/>
  <c r="I56" i="38"/>
  <c r="L56" i="38" s="1"/>
  <c r="I55" i="38"/>
  <c r="L55" i="38" s="1"/>
  <c r="I54" i="38"/>
  <c r="L54" i="38" s="1"/>
  <c r="I53" i="38"/>
  <c r="L53" i="38" s="1"/>
  <c r="I52" i="38"/>
  <c r="L52" i="38" s="1"/>
  <c r="I51" i="38"/>
  <c r="L51" i="38" s="1"/>
  <c r="I50" i="38"/>
  <c r="L50" i="38" s="1"/>
  <c r="I49" i="38"/>
  <c r="L49" i="38" s="1"/>
  <c r="I48" i="38"/>
  <c r="L48" i="38" s="1"/>
  <c r="I47" i="38"/>
  <c r="L47" i="38" s="1"/>
  <c r="I46" i="38"/>
  <c r="L46" i="38" s="1"/>
  <c r="I45" i="38"/>
  <c r="L45" i="38" s="1"/>
  <c r="I44" i="38"/>
  <c r="L44" i="38" s="1"/>
  <c r="I43" i="38"/>
  <c r="L43" i="38" s="1"/>
  <c r="I42" i="38"/>
  <c r="L42" i="38" s="1"/>
  <c r="I41" i="38"/>
  <c r="L41" i="38" s="1"/>
  <c r="I40" i="38"/>
  <c r="L40" i="38" s="1"/>
  <c r="I39" i="38"/>
  <c r="L39" i="38" s="1"/>
  <c r="I38" i="38"/>
  <c r="L38" i="38" s="1"/>
  <c r="I37" i="38"/>
  <c r="L37" i="38" s="1"/>
  <c r="L122" i="38" s="1"/>
  <c r="AL36" i="38"/>
  <c r="AK36" i="38"/>
  <c r="AI36" i="38"/>
  <c r="AH36" i="38"/>
  <c r="AG36" i="38"/>
  <c r="AF36" i="38"/>
  <c r="AE36" i="38"/>
  <c r="AD36" i="38"/>
  <c r="AC36" i="38"/>
  <c r="AB36" i="38"/>
  <c r="AA36" i="38"/>
  <c r="Z36" i="38"/>
  <c r="Y36" i="38"/>
  <c r="X36" i="38"/>
  <c r="W36" i="38"/>
  <c r="V36" i="38"/>
  <c r="U36" i="38"/>
  <c r="T36" i="38"/>
  <c r="S36" i="38"/>
  <c r="R36" i="38"/>
  <c r="Q36" i="38"/>
  <c r="P36" i="38"/>
  <c r="O36" i="38"/>
  <c r="N36" i="38"/>
  <c r="M36" i="38"/>
  <c r="K36" i="38"/>
  <c r="I34" i="38"/>
  <c r="L34" i="38" s="1"/>
  <c r="L36" i="38" s="1"/>
  <c r="AL33" i="38"/>
  <c r="AL123" i="38" s="1"/>
  <c r="AK33" i="38"/>
  <c r="AK123" i="38" s="1"/>
  <c r="AI33" i="38"/>
  <c r="AI123" i="38" s="1"/>
  <c r="AH33" i="38"/>
  <c r="AH123" i="38" s="1"/>
  <c r="AG33" i="38"/>
  <c r="AG123" i="38" s="1"/>
  <c r="AF33" i="38"/>
  <c r="AF123" i="38" s="1"/>
  <c r="AE33" i="38"/>
  <c r="AE123" i="38" s="1"/>
  <c r="AD33" i="38"/>
  <c r="AD123" i="38" s="1"/>
  <c r="AC33" i="38"/>
  <c r="AC123" i="38" s="1"/>
  <c r="AB33" i="38"/>
  <c r="AB123" i="38" s="1"/>
  <c r="AA33" i="38"/>
  <c r="AA123" i="38" s="1"/>
  <c r="Z33" i="38"/>
  <c r="Z123" i="38" s="1"/>
  <c r="Y33" i="38"/>
  <c r="Y123" i="38" s="1"/>
  <c r="X33" i="38"/>
  <c r="X123" i="38" s="1"/>
  <c r="W33" i="38"/>
  <c r="W123" i="38" s="1"/>
  <c r="V33" i="38"/>
  <c r="V123" i="38" s="1"/>
  <c r="U33" i="38"/>
  <c r="U123" i="38" s="1"/>
  <c r="T33" i="38"/>
  <c r="T123" i="38" s="1"/>
  <c r="S33" i="38"/>
  <c r="S123" i="38" s="1"/>
  <c r="R33" i="38"/>
  <c r="R123" i="38" s="1"/>
  <c r="Q33" i="38"/>
  <c r="Q123" i="38" s="1"/>
  <c r="P33" i="38"/>
  <c r="P123" i="38" s="1"/>
  <c r="O33" i="38"/>
  <c r="O123" i="38" s="1"/>
  <c r="N33" i="38"/>
  <c r="N123" i="38" s="1"/>
  <c r="M33" i="38"/>
  <c r="M123" i="38" s="1"/>
  <c r="K33" i="38"/>
  <c r="K123" i="38" s="1"/>
  <c r="I32" i="38"/>
  <c r="L32" i="38" s="1"/>
  <c r="I31" i="38"/>
  <c r="L31" i="38" s="1"/>
  <c r="I30" i="38"/>
  <c r="L30" i="38" s="1"/>
  <c r="I29" i="38"/>
  <c r="L29" i="38" s="1"/>
  <c r="I28" i="38"/>
  <c r="L28" i="38" s="1"/>
  <c r="I27" i="38"/>
  <c r="L27" i="38" s="1"/>
  <c r="I26" i="38"/>
  <c r="L26" i="38" s="1"/>
  <c r="I25" i="38"/>
  <c r="L25" i="38" s="1"/>
  <c r="I24" i="38"/>
  <c r="L24" i="38" s="1"/>
  <c r="I23" i="38"/>
  <c r="L23" i="38" s="1"/>
  <c r="I22" i="38"/>
  <c r="L22" i="38" s="1"/>
  <c r="I21" i="38"/>
  <c r="L21" i="38" s="1"/>
  <c r="I20" i="38"/>
  <c r="L20" i="38" s="1"/>
  <c r="I19" i="38"/>
  <c r="L19" i="38" s="1"/>
  <c r="I18" i="38"/>
  <c r="L18" i="38" s="1"/>
  <c r="I17" i="38"/>
  <c r="L17" i="38" s="1"/>
  <c r="I16" i="38"/>
  <c r="L16" i="38" s="1"/>
  <c r="I15" i="38"/>
  <c r="L15" i="38" s="1"/>
  <c r="I14" i="38"/>
  <c r="L14" i="38" s="1"/>
  <c r="I13" i="38"/>
  <c r="L13" i="38" s="1"/>
  <c r="I12" i="38"/>
  <c r="L12" i="38" s="1"/>
  <c r="I11" i="38"/>
  <c r="L11" i="38" s="1"/>
  <c r="I10" i="38"/>
  <c r="L10" i="38" s="1"/>
  <c r="I9" i="38"/>
  <c r="L9" i="38" s="1"/>
  <c r="I8" i="38"/>
  <c r="L8" i="38" s="1"/>
  <c r="I7" i="38"/>
  <c r="L7" i="38" s="1"/>
  <c r="I6" i="38"/>
  <c r="L6" i="38" s="1"/>
  <c r="I5" i="38"/>
  <c r="L5" i="38" s="1"/>
  <c r="I4" i="38"/>
  <c r="L4" i="38" s="1"/>
  <c r="L33" i="38" s="1"/>
  <c r="L123" i="38" s="1"/>
  <c r="L129" i="56" l="1"/>
  <c r="K59" i="102"/>
  <c r="L58" i="102"/>
  <c r="L59" i="102" s="1"/>
</calcChain>
</file>

<file path=xl/sharedStrings.xml><?xml version="1.0" encoding="utf-8"?>
<sst xmlns="http://schemas.openxmlformats.org/spreadsheetml/2006/main" count="13820" uniqueCount="2872">
  <si>
    <t>ro</t>
  </si>
  <si>
    <t>Date</t>
  </si>
  <si>
    <t>Section/Job</t>
  </si>
  <si>
    <t>Menu</t>
  </si>
  <si>
    <t>Component</t>
  </si>
  <si>
    <t>Dimension</t>
  </si>
  <si>
    <t>Time (hr:mm)</t>
  </si>
  <si>
    <t>Time Use(hr:mm)</t>
  </si>
  <si>
    <t>Worker
(People)</t>
  </si>
  <si>
    <t>Output capacity
(Kg)</t>
  </si>
  <si>
    <t>Kg./manpower/hr.</t>
  </si>
  <si>
    <t>Machine utilization (minute)</t>
  </si>
  <si>
    <t>Start</t>
  </si>
  <si>
    <t>stop</t>
  </si>
  <si>
    <t>Bolw cutter</t>
  </si>
  <si>
    <t>Blender machine (Batching)</t>
  </si>
  <si>
    <t>Vegetable Cutting</t>
  </si>
  <si>
    <t>Peeling Machine</t>
  </si>
  <si>
    <t>Can Opener</t>
  </si>
  <si>
    <t>Robocoub dice</t>
  </si>
  <si>
    <t>Knife</t>
  </si>
  <si>
    <t>Meat ball</t>
  </si>
  <si>
    <t>Egg filling</t>
  </si>
  <si>
    <t>Steam box1</t>
  </si>
  <si>
    <t>Steam box2</t>
  </si>
  <si>
    <t>Combi 1</t>
  </si>
  <si>
    <t>Combi 2</t>
  </si>
  <si>
    <t>Combi 3</t>
  </si>
  <si>
    <t>Combi 4</t>
  </si>
  <si>
    <t>Bratt pan 1</t>
  </si>
  <si>
    <t>Bratt pan 2</t>
  </si>
  <si>
    <t>Bratt pan 3</t>
  </si>
  <si>
    <t>Round 
Bratt pan</t>
  </si>
  <si>
    <t>Pan fry</t>
  </si>
  <si>
    <t>Deep fry1</t>
  </si>
  <si>
    <t>Deep fry2</t>
  </si>
  <si>
    <t>Deep fry3</t>
  </si>
  <si>
    <t>Deep fry4</t>
  </si>
  <si>
    <t>Hot Plate</t>
  </si>
  <si>
    <t>Flame grill</t>
  </si>
  <si>
    <t>Prepare Vegetable</t>
  </si>
  <si>
    <t>Cleaning Line+เตรียมอุปกรณ์</t>
  </si>
  <si>
    <t>-</t>
  </si>
  <si>
    <t>Prepare meat</t>
  </si>
  <si>
    <t>Cooking</t>
  </si>
  <si>
    <t>Sum</t>
  </si>
  <si>
    <t>Man power</t>
  </si>
  <si>
    <t>1. Prepare Veg</t>
  </si>
  <si>
    <t>People</t>
  </si>
  <si>
    <t>Sup</t>
  </si>
  <si>
    <t>2. Prepare rice</t>
  </si>
  <si>
    <t>Leader</t>
  </si>
  <si>
    <t>3. Cooking</t>
  </si>
  <si>
    <t>PE</t>
  </si>
  <si>
    <t>4.Cleaning</t>
  </si>
  <si>
    <t>Checker</t>
  </si>
  <si>
    <t>Total</t>
  </si>
  <si>
    <t>Deep fry5</t>
  </si>
  <si>
    <t>Chicken Meatball Pasta with Chasseur Sauce (Bento)</t>
  </si>
  <si>
    <t>2-3 mm</t>
  </si>
  <si>
    <t>Chasseur Sauce/Open Tomato</t>
  </si>
  <si>
    <t>5 mm</t>
  </si>
  <si>
    <t>Scrambled Eggs with Chicken Meatballs, Creamed Spinach &amp; Roast Potato (Bento)</t>
  </si>
  <si>
    <t>10 mm</t>
  </si>
  <si>
    <t>4-6 mm</t>
  </si>
  <si>
    <t>3-6 mm</t>
  </si>
  <si>
    <t>5-8 mm</t>
  </si>
  <si>
    <t>10-12*60-120 mm</t>
  </si>
  <si>
    <t>Chasseur sauce B.6</t>
  </si>
  <si>
    <t>Chasseur sauce B.7</t>
  </si>
  <si>
    <t>Chasseur sauce B.8</t>
  </si>
  <si>
    <t>Fried Potato B.1</t>
  </si>
  <si>
    <t>Fried Potato B.2</t>
  </si>
  <si>
    <t>Fried Potato B.3</t>
  </si>
  <si>
    <t xml:space="preserve"> Seafood tomyum bee hoon (Bento)</t>
  </si>
  <si>
    <t>Tom Yum Sauce B.1-2</t>
  </si>
  <si>
    <t>Tom Yum Sauce B.3-4</t>
  </si>
  <si>
    <t>Tom Yum Sauce B.5-6</t>
  </si>
  <si>
    <t>31/3/2026</t>
  </si>
  <si>
    <t>Fish in Oriental Sauce with Short Grain Rice (MU)</t>
  </si>
  <si>
    <t>Blanched spring onion/spring onion cut</t>
  </si>
  <si>
    <t xml:space="preserve">Blanched chye sim/ Wash chye sim </t>
  </si>
  <si>
    <t>Ginge paste</t>
  </si>
  <si>
    <t>Oven Baked Fish with Tomato Herb Coulis and Mashed Potatoes</t>
  </si>
  <si>
    <t>Sauce for vegetable/Chives chop</t>
  </si>
  <si>
    <t>size 1-2 mm</t>
  </si>
  <si>
    <t>Tomato sauce/Garlic chop</t>
  </si>
  <si>
    <t>size 1-3 mm</t>
  </si>
  <si>
    <t>Tomato sauce/White Onion chop</t>
  </si>
  <si>
    <t>size 3-5 mm</t>
  </si>
  <si>
    <t>Tomato sauce/Tomato chop</t>
  </si>
  <si>
    <t>Blend 100 %</t>
  </si>
  <si>
    <t>Prepare edamame</t>
  </si>
  <si>
    <t xml:space="preserve">Tomato sauce/Open Tomato </t>
  </si>
  <si>
    <t>Support Prepare meat</t>
  </si>
  <si>
    <t>Peeling Potato</t>
  </si>
  <si>
    <t>Cleaning Line</t>
  </si>
  <si>
    <t>Potato dice</t>
  </si>
  <si>
    <t>Stir-Fried vegetable/White onion slice</t>
  </si>
  <si>
    <t>size 10-12 mm</t>
  </si>
  <si>
    <t>Prepare White onion</t>
  </si>
  <si>
    <t>Thawing spinach</t>
  </si>
  <si>
    <t>Chicken Meatballs marinara pasta</t>
  </si>
  <si>
    <t>Forming Chicken Meatball  8 B.</t>
  </si>
  <si>
    <t>Break</t>
  </si>
  <si>
    <t>Cutting fish 4 batch</t>
  </si>
  <si>
    <t>Blanched Chye sim B.1</t>
  </si>
  <si>
    <t>Blanched Chye sim B.2</t>
  </si>
  <si>
    <t>Blanched Chye sim B.3</t>
  </si>
  <si>
    <t>Blanched Chye sim B.4</t>
  </si>
  <si>
    <t>Blanched Chye sim B.5</t>
  </si>
  <si>
    <t>Blanched Chye sim B.6</t>
  </si>
  <si>
    <t>Blanched Chye sim B.7</t>
  </si>
  <si>
    <t>Blanched Chye sim B.8</t>
  </si>
  <si>
    <t>Blanched Chye sim B.9</t>
  </si>
  <si>
    <t>Blanched Chye sim B.10</t>
  </si>
  <si>
    <t>Blanched Chye sim B.11 (0.5 batch)</t>
  </si>
  <si>
    <t>Blanched carrot B.1</t>
  </si>
  <si>
    <t>Blanched carrot B.2</t>
  </si>
  <si>
    <t>Blanched carrot B.3</t>
  </si>
  <si>
    <t>Blanched carrot B.4</t>
  </si>
  <si>
    <t>Blanched carrot B.5</t>
  </si>
  <si>
    <t>Blanched carrot B.6</t>
  </si>
  <si>
    <t>Blanched carrot B.7</t>
  </si>
  <si>
    <t>Blanched carrot B.8</t>
  </si>
  <si>
    <t>Blanched carrot B.9</t>
  </si>
  <si>
    <t>Blanched carrot B.10</t>
  </si>
  <si>
    <t>Blanched carrot B.11 (0.5 batch)</t>
  </si>
  <si>
    <t>Oil Mix Chye sim / Carrot</t>
  </si>
  <si>
    <t>Fried fish B.9</t>
  </si>
  <si>
    <t>Fried fish B.10</t>
  </si>
  <si>
    <t>Fried fish B.11 (0.5 batch)</t>
  </si>
  <si>
    <t>Blanched spring onion B.1</t>
  </si>
  <si>
    <t>Blanched spring onion B.2</t>
  </si>
  <si>
    <t>Blanched spring onion B.3</t>
  </si>
  <si>
    <t>Blanched spring onion B.4</t>
  </si>
  <si>
    <t>Blanched spring onion B.5</t>
  </si>
  <si>
    <t>Blanched spring onion B.6</t>
  </si>
  <si>
    <t>Blanched spring onion B.7</t>
  </si>
  <si>
    <t>Blanched spring onion B.8</t>
  </si>
  <si>
    <t>Blanched spring onion B.9</t>
  </si>
  <si>
    <t>Blanched spring onion B.10</t>
  </si>
  <si>
    <t>Blanched spring onion B.11</t>
  </si>
  <si>
    <t>Steam shot grain rice B.4/2</t>
  </si>
  <si>
    <t>Steam shot grain rice  B.4/3</t>
  </si>
  <si>
    <t>Steam shot grain rice  B.5/1</t>
  </si>
  <si>
    <t>Steam shot grain rice  B.5/2</t>
  </si>
  <si>
    <t>Steam shot grain rice  B.5/3</t>
  </si>
  <si>
    <t>Steam shot grain rice  B.6/1</t>
  </si>
  <si>
    <t>Steam shot grain rice  B.6/2</t>
  </si>
  <si>
    <t>Steam shot grain rice  B.6/3</t>
  </si>
  <si>
    <t>Steam shot grain rice  B.7/1</t>
  </si>
  <si>
    <t>Steam shot grain rice  B.7/2</t>
  </si>
  <si>
    <t>Steam shot grain rice  B.7/3</t>
  </si>
  <si>
    <t>Steam shot grain rice  B.8/1</t>
  </si>
  <si>
    <t>Steam shot grain rice  B.8/2</t>
  </si>
  <si>
    <t>Steam shot grain rice  B.8/3</t>
  </si>
  <si>
    <t>Steam shot grain rice  B.9/1</t>
  </si>
  <si>
    <t>Steam shot grain rice  B.9/2</t>
  </si>
  <si>
    <t>Steam shot grain rice  B.9/3</t>
  </si>
  <si>
    <t>Steam shot grain rice  B.10/1</t>
  </si>
  <si>
    <t>Steam shot grain rice  B.10/2</t>
  </si>
  <si>
    <t>Steam shot grain rice  B.10/3</t>
  </si>
  <si>
    <t>Steam shot grain rice  B.10/4</t>
  </si>
  <si>
    <t>Steam shot grain rice  B.10/5</t>
  </si>
  <si>
    <t>Sauce for vegetable B.1-7</t>
  </si>
  <si>
    <t>Tomato sauce B.1-2</t>
  </si>
  <si>
    <t>Tomato sauce B.3-4</t>
  </si>
  <si>
    <t>Tomato sauce B.5-6</t>
  </si>
  <si>
    <t>Tomato sauce B.7</t>
  </si>
  <si>
    <t>Blanched edamame B.1</t>
  </si>
  <si>
    <t>Blanched edamame B.2</t>
  </si>
  <si>
    <t>Blanched edamame B.3</t>
  </si>
  <si>
    <t>Blanched edamame B.4</t>
  </si>
  <si>
    <t>Blanched edamame B.5</t>
  </si>
  <si>
    <t>Blanched edamame B.6</t>
  </si>
  <si>
    <t>Blanched edamame B.7</t>
  </si>
  <si>
    <r>
      <rPr>
        <sz val="16"/>
        <color rgb="FF000000"/>
        <rFont val="AngsanaUPC"/>
      </rPr>
      <t xml:space="preserve">Creamy Chicken and Mushroom with Pasta </t>
    </r>
    <r>
      <rPr>
        <sz val="16"/>
        <color rgb="FFFF0000"/>
        <rFont val="AngsanaUPC"/>
      </rPr>
      <t>(Bento)</t>
    </r>
  </si>
  <si>
    <t>Boiled Macaroni Pasta B.1/1</t>
  </si>
  <si>
    <t>Boiled Macaroni Pasta B.1/2</t>
  </si>
  <si>
    <t>Boiled Macaroni Pasta B.2/1</t>
  </si>
  <si>
    <t>Boiled Macaroni Pasta B.2/2</t>
  </si>
  <si>
    <t>Boiled Macaroni Pasta B.3/1</t>
  </si>
  <si>
    <t>Boiled Macaroni Pasta B.3/2</t>
  </si>
  <si>
    <t>Boiled Macaroni Pasta B.4/1</t>
  </si>
  <si>
    <t>Boiled Macaroni Pasta B.4/2</t>
  </si>
  <si>
    <t>Boiled Macaroni Pasta B.5/1</t>
  </si>
  <si>
    <t>Boiled Macaroni Pasta B.5/2</t>
  </si>
  <si>
    <r>
      <rPr>
        <sz val="16"/>
        <color rgb="FF000000"/>
        <rFont val="AngsanaUPC"/>
      </rPr>
      <t xml:space="preserve">Boiled Macaroni Pasta B.5/3 </t>
    </r>
    <r>
      <rPr>
        <sz val="16"/>
        <color rgb="FFFF0000"/>
        <rFont val="AngsanaUPC"/>
      </rPr>
      <t>0.5</t>
    </r>
  </si>
  <si>
    <t>Creamy Mushroom B.5</t>
  </si>
  <si>
    <r>
      <rPr>
        <sz val="16"/>
        <color rgb="FF000000"/>
        <rFont val="AngsanaUPC"/>
      </rPr>
      <t>Western grill chicken B.1</t>
    </r>
    <r>
      <rPr>
        <sz val="16"/>
        <color rgb="FFFF0000"/>
        <rFont val="AngsanaUPC"/>
      </rPr>
      <t xml:space="preserve"> 0.5</t>
    </r>
  </si>
  <si>
    <r>
      <rPr>
        <sz val="16"/>
        <color rgb="FF000000"/>
        <rFont val="AngsanaUPC"/>
      </rPr>
      <t xml:space="preserve">Baked Pasta with Chicken Tomato Ragout  </t>
    </r>
    <r>
      <rPr>
        <sz val="16"/>
        <color rgb="FFFF0000"/>
        <rFont val="AngsanaUPC"/>
      </rPr>
      <t>(MU)</t>
    </r>
  </si>
  <si>
    <t>Boiled Fusilli Pasta B.1/1</t>
  </si>
  <si>
    <t>Boiled Fusilli Pasta B.1/2</t>
  </si>
  <si>
    <t>Boiled Fusilli Pasta B.1/3</t>
  </si>
  <si>
    <t>Boiled Fusilli Pasta B.2/1</t>
  </si>
  <si>
    <t>Boiled Fusilli Pasta B.2/2</t>
  </si>
  <si>
    <t>Boiled Fusilli Pasta B.3/1</t>
  </si>
  <si>
    <t>Boiled Fusilli Pasta B.3/2</t>
  </si>
  <si>
    <t>Boiled Fusilli Pasta B.4/1</t>
  </si>
  <si>
    <t>Boiled Fusilli Pasta B.4/2</t>
  </si>
  <si>
    <t>Steam Meatball B.1</t>
  </si>
  <si>
    <t>Steam Meatball B.2</t>
  </si>
  <si>
    <t>Steam Meatball B.3</t>
  </si>
  <si>
    <t>Steam Meatball B.4</t>
  </si>
  <si>
    <t>Steam Meatball B.5</t>
  </si>
  <si>
    <t>Steam Meatball B.6</t>
  </si>
  <si>
    <t>Steam Meatball B.7</t>
  </si>
  <si>
    <t>Steam Meatball B.8</t>
  </si>
  <si>
    <t xml:space="preserve"> -</t>
  </si>
  <si>
    <r>
      <rPr>
        <sz val="16"/>
        <color rgb="FF000000"/>
        <rFont val="AngsanaUPC"/>
      </rPr>
      <t xml:space="preserve">Fish in Oriental Sauce with Steamed Rice </t>
    </r>
    <r>
      <rPr>
        <sz val="16"/>
        <color rgb="FFFF0000"/>
        <rFont val="AngsanaUPC"/>
      </rPr>
      <t>(MU)</t>
    </r>
  </si>
  <si>
    <t>Spring onion Ginger oil 10.5 B.</t>
  </si>
  <si>
    <t>Blanched Choy sim/Cutting Choy sim 1 B.</t>
  </si>
  <si>
    <t>30-40 mm</t>
  </si>
  <si>
    <t>Blanched Choy sim/Washing Choy sim 5 B.</t>
  </si>
  <si>
    <t>Blanched Carrot/Batching Carrot 10.5 B.</t>
  </si>
  <si>
    <t>10*30 mm</t>
  </si>
  <si>
    <t>Chicken Tomato Ragout/Garlic Chop 4 B.</t>
  </si>
  <si>
    <t>Chicken Tomato Ragout/Onion Chop 4 B.</t>
  </si>
  <si>
    <t>Chicken Tomato Ragout/Prepare Carrot</t>
  </si>
  <si>
    <t>Chicken Tomato Ragout/Carrot Chop 4 B.</t>
  </si>
  <si>
    <t>1-2 mm</t>
  </si>
  <si>
    <t>Chicken Tomato Ragout/Prepare Celery</t>
  </si>
  <si>
    <t>Chicken Tomato Ragout/Celery Chop 4 B.</t>
  </si>
  <si>
    <t xml:space="preserve">Open Tomato </t>
  </si>
  <si>
    <t>Chicken Tomato Ragout/Tomato Chop 4 B.</t>
  </si>
  <si>
    <t>Creamy Mushroom Sauce/Garlic Chop 5 B.</t>
  </si>
  <si>
    <t>Creamy Mushroom Sauce/Onion Chop 5 B.</t>
  </si>
  <si>
    <t>Creamy Mushroom Sauce/Mushroom Slice 4.58 B.</t>
  </si>
  <si>
    <t>6-8 mm</t>
  </si>
  <si>
    <t>Chicken Meatball Marinara Pasta</t>
  </si>
  <si>
    <t>Tomato Concasse/Garlic Chop 8 B.</t>
  </si>
  <si>
    <t>1-3 mm</t>
  </si>
  <si>
    <t>Tomato Concasse/Onion Chop 8 B.</t>
  </si>
  <si>
    <t>2-5 mm</t>
  </si>
  <si>
    <t>Tomato Concasse/Tomato Chop 8 B.</t>
  </si>
  <si>
    <t>Tomato Concasse/Italian Chop 8 B.</t>
  </si>
  <si>
    <t>1-2 cm</t>
  </si>
  <si>
    <t>Steam Baked Meatball/Parsley Chop 8 B.</t>
  </si>
  <si>
    <t>2-4 mm</t>
  </si>
  <si>
    <t>Prepare Onion</t>
  </si>
  <si>
    <t>Spring onion Ginger oil B.1-10.5</t>
  </si>
  <si>
    <t>Oriental Sauce B.1-2</t>
  </si>
  <si>
    <t>Oriental Sauce B.3-4</t>
  </si>
  <si>
    <t>Oriental Sauce B.5-6</t>
  </si>
  <si>
    <t>Oriental Sauce B.7-8</t>
  </si>
  <si>
    <t>Oriental Sauce B.9-10.5</t>
  </si>
  <si>
    <t>Asian Mixed (10.5 batch)</t>
  </si>
  <si>
    <t>Fried Fish B.1</t>
  </si>
  <si>
    <t>Fried Fish B.2</t>
  </si>
  <si>
    <t>Fried Fish B.3</t>
  </si>
  <si>
    <t>Fried Fish B.4</t>
  </si>
  <si>
    <t>Fried Fish B.5</t>
  </si>
  <si>
    <t>Fried Fish B.6</t>
  </si>
  <si>
    <t>Fried Fish B.7</t>
  </si>
  <si>
    <t>Fried Fish B.8</t>
  </si>
  <si>
    <t>Steam Shot grain Rice 1/1</t>
  </si>
  <si>
    <t>Steam Shot grain Rice 1/2</t>
  </si>
  <si>
    <t>Steam Shot grain Rice 1/3</t>
  </si>
  <si>
    <t>Steam Shot grain Rice 2/1</t>
  </si>
  <si>
    <t>Steam Shot grain Rice 2/2</t>
  </si>
  <si>
    <t>Steam Shot grain Rice 2/3</t>
  </si>
  <si>
    <t>Steam Shot grain Rice 3/1</t>
  </si>
  <si>
    <t>Steam Shot grain Rice 3/2</t>
  </si>
  <si>
    <t>Steam Shot grain Rice 3/3</t>
  </si>
  <si>
    <t>Steam Shot grain Rice 4/1</t>
  </si>
  <si>
    <t>Steam Pamesan Cheese (5 batch)</t>
  </si>
  <si>
    <t>Creamy Mushroom Sauce B.1</t>
  </si>
  <si>
    <t>Creamy Mushroom Sauce B.2</t>
  </si>
  <si>
    <t>Creamy Mushroom Sauce B.3</t>
  </si>
  <si>
    <t>Creamy Mushroom Sauce B.4</t>
  </si>
  <si>
    <r>
      <rPr>
        <sz val="16"/>
        <color rgb="FF000000"/>
        <rFont val="AngsanaUPC"/>
        <family val="1"/>
      </rPr>
      <t xml:space="preserve">Baked Pasta with Chicken Tomato Ragout  </t>
    </r>
    <r>
      <rPr>
        <sz val="16"/>
        <color rgb="FFFF0000"/>
        <rFont val="AngsanaUPC"/>
        <family val="1"/>
      </rPr>
      <t>(MU)</t>
    </r>
  </si>
  <si>
    <t>Steam parmesan cheese (4 batch)</t>
  </si>
  <si>
    <t>Steam bread crumb parsley (4 batch)</t>
  </si>
  <si>
    <t>Chicken Tomato Ragout Sauce B.1</t>
  </si>
  <si>
    <t>Chicken Tomato Ragout Sauce B.2</t>
  </si>
  <si>
    <t>Chicken Tomato Ragout Sauce B.3</t>
  </si>
  <si>
    <t>Chicken Tomato Ragout Sauce B.4</t>
  </si>
  <si>
    <t>Steam Pamesan Cheese (7 batch)</t>
  </si>
  <si>
    <t>Mashed Potato 1/1</t>
  </si>
  <si>
    <t>Mashed Potato 1/2</t>
  </si>
  <si>
    <t>Mashed Potato 1/3</t>
  </si>
  <si>
    <t>Mashed Potato 2/1</t>
  </si>
  <si>
    <t>Mashed Potato 2/2</t>
  </si>
  <si>
    <t>Mashed Potato 2/3</t>
  </si>
  <si>
    <t>Mashed Potato 3/1</t>
  </si>
  <si>
    <t>Mashed Potato 3/2</t>
  </si>
  <si>
    <t>Mashed Potato 3/3</t>
  </si>
  <si>
    <t>Mashed Potato 4/1</t>
  </si>
  <si>
    <t>Mashed Potato 4/2</t>
  </si>
  <si>
    <t>Mashed Potato 4/3</t>
  </si>
  <si>
    <t>Mashed Potato 5/1</t>
  </si>
  <si>
    <t>Mashed Potato 5/2</t>
  </si>
  <si>
    <t>Mashed Potato 5/3</t>
  </si>
  <si>
    <t>Mashed Potato 6/1</t>
  </si>
  <si>
    <t>Mashed Potato 6/2</t>
  </si>
  <si>
    <t>Mashed Potato 6/3</t>
  </si>
  <si>
    <t>Mashed Potato 7/1</t>
  </si>
  <si>
    <t>Mashed Potato 7/2</t>
  </si>
  <si>
    <t>Tomato Concasse for meatball (8 batch)</t>
  </si>
  <si>
    <t>30/3/2026</t>
  </si>
  <si>
    <t>Herb Scrambled Egg, Paprika Potato, Spinach Corn, Chicken Patties, Creamy Mushroom</t>
  </si>
  <si>
    <t xml:space="preserve">Creamy Mushroom Sauce/Champinon Mushroom cut </t>
  </si>
  <si>
    <t>size 1x4-1x6 cm</t>
  </si>
  <si>
    <t>Fish in Oriental Sauce with Steamed Rice (MU)</t>
  </si>
  <si>
    <t>Creamy Mushroom Sauce/White Onion chop</t>
  </si>
  <si>
    <t xml:space="preserve"> size 4-6 mm</t>
  </si>
  <si>
    <t>Paprika Sauce/Parsley Chop</t>
  </si>
  <si>
    <t>Creamy Mushroom Sauce/Garilc chop</t>
  </si>
  <si>
    <t>Blanched chye sim/ chye sim cut</t>
  </si>
  <si>
    <t>size 30-40 mm</t>
  </si>
  <si>
    <t>Forming Chicken Meatball  2 B.</t>
  </si>
  <si>
    <t>Cutting fish 5 batch</t>
  </si>
  <si>
    <t>Cutting fish 5.5 batch</t>
  </si>
  <si>
    <t>Steam Shot grain Rice 6/1</t>
  </si>
  <si>
    <t>Steam Shot grain Rice 6/2</t>
  </si>
  <si>
    <t>Steam Shot grain Rice 6/3</t>
  </si>
  <si>
    <t>Steam Shot grain Rice 7/1</t>
  </si>
  <si>
    <t>Steam Shot grain Rice 7/2</t>
  </si>
  <si>
    <t>Steam Shot grain Rice 7/3</t>
  </si>
  <si>
    <t>Steam Shot grain Rice 8/1</t>
  </si>
  <si>
    <t>Steam Shot grain Rice 8/2</t>
  </si>
  <si>
    <t>Steam Shot grain Rice 8/3</t>
  </si>
  <si>
    <t>Chicken Pasta in Tomato and Basil Sauce (Bento)</t>
  </si>
  <si>
    <t>Boiled Penne Pasta 1/1</t>
  </si>
  <si>
    <t>Boiled Penne Pasta 1/2</t>
  </si>
  <si>
    <t>Boiled Penne Pasta 1/3</t>
  </si>
  <si>
    <t>Boiled Penne Pasta 2/1</t>
  </si>
  <si>
    <t>Boiled Penne Pasta 2/2</t>
  </si>
  <si>
    <t>Boiled Penne Pasta 2/3</t>
  </si>
  <si>
    <t>Boiled Penne Pasta 3/1</t>
  </si>
  <si>
    <t>Boiled Penne Pasta 3/2</t>
  </si>
  <si>
    <t>Boiled Penne Pasta 3/3</t>
  </si>
  <si>
    <t>Boiled Penne Pasta 4/1</t>
  </si>
  <si>
    <t>Boiled Penne Pasta 4/2</t>
  </si>
  <si>
    <t>Boiled Penne Pasta 4/3</t>
  </si>
  <si>
    <t>Boiled Penne Pasta 5/1</t>
  </si>
  <si>
    <t>Boiled Penne Pasta 5/2</t>
  </si>
  <si>
    <t>Boiled Penne Pasta 5/3</t>
  </si>
  <si>
    <t>Boiled Penne Pasta 6/1</t>
  </si>
  <si>
    <t>Boiled Penne Pasta 6/2</t>
  </si>
  <si>
    <t>Boiled Penne Pasta 6/3</t>
  </si>
  <si>
    <t>Boiled Penne Pasta 7/1</t>
  </si>
  <si>
    <t>Boiled Penne Pasta 7/2</t>
  </si>
  <si>
    <t>Boiled Penne Pasta 7/3</t>
  </si>
  <si>
    <t>Boiled Penne Pasta 8/1</t>
  </si>
  <si>
    <t>Boiled Penne Pasta 8/2</t>
  </si>
  <si>
    <t>Boiled Penne Pasta 8/3</t>
  </si>
  <si>
    <t>Boiled Penne Pasta 9/1</t>
  </si>
  <si>
    <t>Boiled Penne Pasta 9/2</t>
  </si>
  <si>
    <t>Boiled Penne Pasta 9/3</t>
  </si>
  <si>
    <t>Western grill chicken 1/1</t>
  </si>
  <si>
    <t>Western grill chicken 1/2</t>
  </si>
  <si>
    <t>Western grill chicken 2/1</t>
  </si>
  <si>
    <t>Western grill chicken 2/2</t>
  </si>
  <si>
    <t>Spinach corn B.1</t>
  </si>
  <si>
    <t>Spinach corn B.2</t>
  </si>
  <si>
    <t>Spinach corn B.3</t>
  </si>
  <si>
    <t>Spinach corn B.4</t>
  </si>
  <si>
    <t>Paprika sauce B.1</t>
  </si>
  <si>
    <t xml:space="preserve">Fried Potato B.1 </t>
  </si>
  <si>
    <t>Bechemal sauce B.1-2</t>
  </si>
  <si>
    <t>Bechemal sauce B.3-4</t>
  </si>
  <si>
    <t>Herb for Scrambled Egg B.1-4</t>
  </si>
  <si>
    <t>Creamy Mushroom B.1</t>
  </si>
  <si>
    <t>Creamy Mushroom B.2</t>
  </si>
  <si>
    <t>Creamy Mushroom B.3</t>
  </si>
  <si>
    <t>Creamy Mushroom B.4</t>
  </si>
  <si>
    <t>Scrambled Egg plain 1/1</t>
  </si>
  <si>
    <t>Scrambled Egg plain 1/2</t>
  </si>
  <si>
    <t>Scrambled Egg plain 2/1</t>
  </si>
  <si>
    <t>Scrambled Egg plain 2/2</t>
  </si>
  <si>
    <t>Scrambled Egg plain 3/1</t>
  </si>
  <si>
    <t>Scrambled Egg plain 3/2</t>
  </si>
  <si>
    <t>Scrambled Egg plain 4/1</t>
  </si>
  <si>
    <t>Scrambled Egg plain 4/2</t>
  </si>
  <si>
    <t>Steam meatball B.1</t>
  </si>
  <si>
    <t>Steam meatball B.2</t>
  </si>
  <si>
    <t>Boiled Potato B.1-2</t>
  </si>
  <si>
    <t>Boiled Potato B.3-4</t>
  </si>
  <si>
    <t>Boiled Potato B.5-6</t>
  </si>
  <si>
    <t>Boiled Potato B.7</t>
  </si>
  <si>
    <t>Blend Potato B.1-2</t>
  </si>
  <si>
    <t>Blend Potato B.3-4</t>
  </si>
  <si>
    <t>Blend Potato B.5-6</t>
  </si>
  <si>
    <t>Blend Potato B.7</t>
  </si>
  <si>
    <r>
      <rPr>
        <sz val="16"/>
        <color rgb="FF000000"/>
        <rFont val="AngsanaUPC"/>
      </rPr>
      <t xml:space="preserve">Chicken Pasta in Tomato and Basil Sauce </t>
    </r>
    <r>
      <rPr>
        <sz val="16"/>
        <color rgb="FFFF0000"/>
        <rFont val="AngsanaUPC"/>
      </rPr>
      <t>(Bento)</t>
    </r>
  </si>
  <si>
    <t>Open Tomato</t>
  </si>
  <si>
    <t>Spring onion Ginger oil 8 B.</t>
  </si>
  <si>
    <t>Blanched Choy sim/Cutting Choy sim 2 B.</t>
  </si>
  <si>
    <t>Blanched Choy sim/Washing Choy sim 4 B.</t>
  </si>
  <si>
    <t>Blanched Carrot/Batching Carrot 8 B.</t>
  </si>
  <si>
    <t>Spinach Corn/Onon dice 4 B.</t>
  </si>
  <si>
    <r>
      <rPr>
        <sz val="16"/>
        <color rgb="FF000000"/>
        <rFont val="AngsanaUPC"/>
      </rPr>
      <t xml:space="preserve">Scrambled Egg with Chicken Meatball, Creamed Spinach &amp; Roast Potato </t>
    </r>
    <r>
      <rPr>
        <sz val="16"/>
        <color rgb="FFFF0000"/>
        <rFont val="AngsanaUPC"/>
      </rPr>
      <t>(Bento)</t>
    </r>
  </si>
  <si>
    <t>Tomato Concasse/Garlic Chop 2 B.</t>
  </si>
  <si>
    <t>Tomato Concasse/Onion Chop 2 B.</t>
  </si>
  <si>
    <t>Tomato Concasse/Tomato Chop 2 B.</t>
  </si>
  <si>
    <t>Tomato Concasse/Italian Chop 2 B.</t>
  </si>
  <si>
    <t>Steam Baked Meatball/Parsley Chop 2 B.</t>
  </si>
  <si>
    <t>Spring onion Ginger oil B.1-8</t>
  </si>
  <si>
    <t>Asian Mixed (8 batch)</t>
  </si>
  <si>
    <t>Steam Shot grain Rice 4/2</t>
  </si>
  <si>
    <t>Steam Shot grain Rice 4/3</t>
  </si>
  <si>
    <t>Steam Shot grain Rice 5/1</t>
  </si>
  <si>
    <t>Steam Shot grain Rice 5/2</t>
  </si>
  <si>
    <t>Steam Shot grain Rice 5/3</t>
  </si>
  <si>
    <t>Steam Pamesan Cheese &amp; Parsley (5 batch)</t>
  </si>
  <si>
    <t>Tomato Concasse Sauce B.1</t>
  </si>
  <si>
    <t>Tomato Concasse Sauce B.2</t>
  </si>
  <si>
    <t>Tomato Concasse Sauce B.3</t>
  </si>
  <si>
    <t>Tomato Concasse Sauce B.4</t>
  </si>
  <si>
    <t>Tomato Concasse Sauce B.5</t>
  </si>
  <si>
    <t>Tomato Concasse Sauce B.6</t>
  </si>
  <si>
    <t>Tomato Concasse Sauce B.7</t>
  </si>
  <si>
    <t>Tomato Concasse Sauce B.8</t>
  </si>
  <si>
    <t>Tomato Concasse for meatball (2 batch)</t>
  </si>
  <si>
    <t>Bratt pan 4</t>
  </si>
  <si>
    <t>28/3/2026</t>
  </si>
  <si>
    <t>Chicken Meatball Pasta with Chasseur Sauce</t>
  </si>
  <si>
    <t>Forming Chicken Meatball  5 B.</t>
  </si>
  <si>
    <t>Move tools and equipment to Stage 1 for production.</t>
  </si>
  <si>
    <t>Herb for Scrambled Egg B.1-B.5</t>
  </si>
  <si>
    <r>
      <t xml:space="preserve">Scrambled Egg plain 1/1 </t>
    </r>
    <r>
      <rPr>
        <sz val="16"/>
        <color rgb="FFFF0000"/>
        <rFont val="AngsanaUPC"/>
        <family val="1"/>
      </rPr>
      <t>Lot.086</t>
    </r>
  </si>
  <si>
    <r>
      <t xml:space="preserve">Scrambled Egg plain 1/2 </t>
    </r>
    <r>
      <rPr>
        <sz val="16"/>
        <color rgb="FFFF0000"/>
        <rFont val="AngsanaUPC"/>
        <family val="1"/>
      </rPr>
      <t>Lot.086</t>
    </r>
  </si>
  <si>
    <r>
      <t xml:space="preserve">Scrambled Egg plain 2/1 </t>
    </r>
    <r>
      <rPr>
        <sz val="16"/>
        <color rgb="FFFF0000"/>
        <rFont val="AngsanaUPC"/>
        <family val="1"/>
      </rPr>
      <t>Lot.086</t>
    </r>
  </si>
  <si>
    <r>
      <t xml:space="preserve">Scrambled Egg plain 2/2 </t>
    </r>
    <r>
      <rPr>
        <sz val="16"/>
        <color rgb="FFFF0000"/>
        <rFont val="AngsanaUPC"/>
        <family val="1"/>
      </rPr>
      <t>Lot.086</t>
    </r>
  </si>
  <si>
    <t>Scrambled Egg plain 5/1</t>
  </si>
  <si>
    <t>Scrambled Egg plain 5/2</t>
  </si>
  <si>
    <t>Scrambled Egg plain 6/1</t>
  </si>
  <si>
    <t>Scrambled Egg plain 6/2</t>
  </si>
  <si>
    <t>Scrambled Egg plain 7/1</t>
  </si>
  <si>
    <t>Scrambled Egg plain 7/2</t>
  </si>
  <si>
    <t>Scrambled Egg plain 8/1</t>
  </si>
  <si>
    <t>Scrambled Egg plain 8/2</t>
  </si>
  <si>
    <t>Spinach Corn B.1</t>
  </si>
  <si>
    <t>Spinach Corn B.2</t>
  </si>
  <si>
    <t>Spinach Corn B.3</t>
  </si>
  <si>
    <t>Spinach Corn B.4</t>
  </si>
  <si>
    <t>Becheml sauce B.1-B.4</t>
  </si>
  <si>
    <t>Spring Onion Chicken with Noodles</t>
  </si>
  <si>
    <t>Blanched &amp; Stir-fried noodle B.1</t>
  </si>
  <si>
    <t>Blanched &amp; Stir-fried noodle B.2</t>
  </si>
  <si>
    <t>Blanched &amp; Stir-fried noodle B.3</t>
  </si>
  <si>
    <t>Blanched &amp; Stir-fried noodle B.4</t>
  </si>
  <si>
    <t>Blanched &amp; Stir-fried noodle B.5</t>
  </si>
  <si>
    <t>Steam meatball B.3</t>
  </si>
  <si>
    <t>Steam meatball B.4</t>
  </si>
  <si>
    <t>Steam meatball B.5</t>
  </si>
  <si>
    <t>Produce @ Stage 2</t>
  </si>
  <si>
    <t>Creamy Mushroom Sauce/Garilc chop 4 B.</t>
  </si>
  <si>
    <t>Creamy Mushroom Sauce/White Onion 4 B.</t>
  </si>
  <si>
    <t>Creamy Mushroom Sauce/Prepare Mushroom 4 B.</t>
  </si>
  <si>
    <t>Creamy Mushroom Sauce/Mushroom cut 4 B.</t>
  </si>
  <si>
    <t>1x4-1x6 cm</t>
  </si>
  <si>
    <t>Paprika Sauce/Parsley Chop 8 B.</t>
  </si>
  <si>
    <t>Paprika Sauce/White Onion Slice 8 B.</t>
  </si>
  <si>
    <t xml:space="preserve">Prepare Spinach </t>
  </si>
  <si>
    <t>Spinach cut 8 B.</t>
  </si>
  <si>
    <t>Parsley Chop 5 B.</t>
  </si>
  <si>
    <t>Paprika Potato Sauce (4 batch)</t>
  </si>
  <si>
    <t>Support Prepare Veg. 9 people</t>
  </si>
  <si>
    <t>Western Grill Chicken B.1</t>
  </si>
  <si>
    <t>Western Grill Chicken B.2</t>
  </si>
  <si>
    <t>Western Grill Chicken B.3</t>
  </si>
  <si>
    <t>Western Grill Chicken B.4</t>
  </si>
  <si>
    <t>Western Grill Chicken B.5</t>
  </si>
  <si>
    <t>Western Grill Chicken B.6</t>
  </si>
  <si>
    <t>Western Grill Chicken B.7</t>
  </si>
  <si>
    <t>Western Grill Chicken B.8</t>
  </si>
  <si>
    <t>Steam Pamesan Cheese &amp; Parsley (3 batch)</t>
  </si>
  <si>
    <t>Western Grill Chicken cube B.1</t>
  </si>
  <si>
    <t>Western Grill Chicken cube B.2</t>
  </si>
  <si>
    <t>Western Grill Chicken cube B.3</t>
  </si>
  <si>
    <t>Western Grill Chicken cube B.4</t>
  </si>
  <si>
    <t>Western Grill Chicken cube B.5</t>
  </si>
  <si>
    <r>
      <rPr>
        <sz val="16"/>
        <color rgb="FF000000"/>
        <rFont val="AngsanaUPC"/>
      </rPr>
      <t xml:space="preserve">Fish in Oriental Sauce with Short Grain Rice </t>
    </r>
    <r>
      <rPr>
        <sz val="16"/>
        <color rgb="FFFF0000"/>
        <rFont val="AngsanaUPC"/>
      </rPr>
      <t>(MU)</t>
    </r>
  </si>
  <si>
    <t>Fried fish B.1</t>
  </si>
  <si>
    <t>Fried fish B.2</t>
  </si>
  <si>
    <t>Fried fish B.3</t>
  </si>
  <si>
    <t>Fried fish B.4</t>
  </si>
  <si>
    <t>Fried fish B.5</t>
  </si>
  <si>
    <t>Fried fish B.6</t>
  </si>
  <si>
    <t>Fried fish B.7</t>
  </si>
  <si>
    <t>Fried fish B.8</t>
  </si>
  <si>
    <t>27/3/2026</t>
  </si>
  <si>
    <t>Ginger Spring Onion Fish with Rice Vermicelli (Bento)</t>
  </si>
  <si>
    <t xml:space="preserve">Stir-Fried vegetable/Cutting Chinese Cabbage </t>
  </si>
  <si>
    <t>10-12x60120 mm</t>
  </si>
  <si>
    <t>Steam Spring Onion/Trim Spring Onion</t>
  </si>
  <si>
    <t>Steam Spring Onion/Spring Onion cut</t>
  </si>
  <si>
    <t>Prepare carrot</t>
  </si>
  <si>
    <t>Blanched spring onion/Trim Spring Onion</t>
  </si>
  <si>
    <t>Blanched spring onion/Spring Onion cut</t>
  </si>
  <si>
    <t xml:space="preserve">Tomato concasse for meatball/Onion Chop </t>
  </si>
  <si>
    <t>size 2-5 mm</t>
  </si>
  <si>
    <t xml:space="preserve">Steam Baked Meat Ball/Parsley Chop </t>
  </si>
  <si>
    <t xml:space="preserve"> size 2-4 mm</t>
  </si>
  <si>
    <t>White onion dice</t>
  </si>
  <si>
    <t>White onion slice</t>
  </si>
  <si>
    <t>Ginger paste</t>
  </si>
  <si>
    <t xml:space="preserve">Blanched chye sim/Wash chye sim </t>
  </si>
  <si>
    <t>Forming Chicken Meatball  4 B.</t>
  </si>
  <si>
    <t>Cutting fish 2  batch</t>
  </si>
  <si>
    <t>Cutting fish 6 batch</t>
  </si>
  <si>
    <t>Ginger Spring Onion Fish with Rice Vermicelli</t>
  </si>
  <si>
    <t xml:space="preserve"> Blanched red chilli B.1</t>
  </si>
  <si>
    <t xml:space="preserve"> Blanched red chilli B.2</t>
  </si>
  <si>
    <t xml:space="preserve"> Blanched red chilli B.3</t>
  </si>
  <si>
    <t xml:space="preserve"> Blanched red chilli B.4</t>
  </si>
  <si>
    <t xml:space="preserve"> Blanched red chilli B.5</t>
  </si>
  <si>
    <t xml:space="preserve"> Blanched red chilli B.6</t>
  </si>
  <si>
    <t xml:space="preserve"> Blanched red chilli B.7</t>
  </si>
  <si>
    <t xml:space="preserve"> Blanched red chilli B.8</t>
  </si>
  <si>
    <t xml:space="preserve"> Blanched red chilli B.9</t>
  </si>
  <si>
    <t>Stir-fried vegetable 1/1</t>
  </si>
  <si>
    <t>Stir-fried vegetable 1/2</t>
  </si>
  <si>
    <t>Stir-fried vegetable 2/1</t>
  </si>
  <si>
    <t>Stir-fried vegetable 2/2</t>
  </si>
  <si>
    <t>Stir-fried vegetable 3/1</t>
  </si>
  <si>
    <t>Stir-fried vegetable 3/2</t>
  </si>
  <si>
    <t>Stir-fried vegetable 4/1</t>
  </si>
  <si>
    <t>Stir-fried vegetable 4/2</t>
  </si>
  <si>
    <t>Stir-fried vegetable 5/1</t>
  </si>
  <si>
    <t>Stir-fried vegetable 5/2</t>
  </si>
  <si>
    <t>Stir-fried vegetable 6/1</t>
  </si>
  <si>
    <t>Stir-fried vegetable 6/2</t>
  </si>
  <si>
    <t>Stir-fried vegetable 7/1</t>
  </si>
  <si>
    <t>Stir-fried vegetable 7/2</t>
  </si>
  <si>
    <t>Stir-fried vegetable 8/1</t>
  </si>
  <si>
    <t>Stir-fried vegetable 8/2</t>
  </si>
  <si>
    <t>Stir-fried vegetable 9/1</t>
  </si>
  <si>
    <t>Blanched rice noodle B.1</t>
  </si>
  <si>
    <t>Blanched rice noodle B.2</t>
  </si>
  <si>
    <t>Blanched rice noodle B.3</t>
  </si>
  <si>
    <t>Blanched rice noodle B.4</t>
  </si>
  <si>
    <t>Blanched rice noodle B.5</t>
  </si>
  <si>
    <t>Blanched rice noodle B.6</t>
  </si>
  <si>
    <t>Blanched rice noodle B.7</t>
  </si>
  <si>
    <t>Blanched rice noodle B.8</t>
  </si>
  <si>
    <t>Blanched rice noodle B.9 (0.5 batch)</t>
  </si>
  <si>
    <t>Steam spring onion B.1-4</t>
  </si>
  <si>
    <t>Steam spring onion B.5-8.5</t>
  </si>
  <si>
    <t>Fried IQF potato B.1</t>
  </si>
  <si>
    <t>Fried IQF potato B.2</t>
  </si>
  <si>
    <t>Fried IQF potato B.3</t>
  </si>
  <si>
    <t>Fried IQF potato B.4</t>
  </si>
  <si>
    <t>Fried IQF potato B.5</t>
  </si>
  <si>
    <t>Fried IQF potato B.6</t>
  </si>
  <si>
    <t>Fried IQF potato B.7</t>
  </si>
  <si>
    <t>Fried IQF potato B.8</t>
  </si>
  <si>
    <t>Spinach Corn B.5</t>
  </si>
  <si>
    <t>Spinach Corn B.6</t>
  </si>
  <si>
    <t>Spinach Corn B.7</t>
  </si>
  <si>
    <t>Bechemal sauce B.1-B.3</t>
  </si>
  <si>
    <t>Bechemal sauce B.4-B.5</t>
  </si>
  <si>
    <t>Bechemal sauce B.6-B.7</t>
  </si>
  <si>
    <t>Herb for Scrambled Egg B.6</t>
  </si>
  <si>
    <t>Spring Onion chicken with Noodles</t>
  </si>
  <si>
    <t>Stir-fried vegetable B.1</t>
  </si>
  <si>
    <t>Stir-fried vegetable B.2</t>
  </si>
  <si>
    <t>Stir-fried vegetable B.3</t>
  </si>
  <si>
    <t>Stir-fried vegetable B.4</t>
  </si>
  <si>
    <t>Blanched chye sim B.1</t>
  </si>
  <si>
    <t>Blanched chye sim B.2</t>
  </si>
  <si>
    <t>Blanched chye sim B.3</t>
  </si>
  <si>
    <t>Blanched chye sim B.4</t>
  </si>
  <si>
    <t>Blanched chye sim B.5</t>
  </si>
  <si>
    <t>Blanced spring onion B.1</t>
  </si>
  <si>
    <t>Blanced spring onion B.2</t>
  </si>
  <si>
    <t>Blanced spring onion B.3</t>
  </si>
  <si>
    <t>Blanced spring onion B.4</t>
  </si>
  <si>
    <t>Blanced spring onion B.5</t>
  </si>
  <si>
    <t>Combi 5</t>
  </si>
  <si>
    <t>Beehoon Sauce/Garilc chop 8.5 B.</t>
  </si>
  <si>
    <t>Spring onion Ginger oil 8.5 B.</t>
  </si>
  <si>
    <t>Cutting Red Chili 8.5 B.</t>
  </si>
  <si>
    <t>3 mm</t>
  </si>
  <si>
    <t>Cutting Chinese cabbage 6 B.</t>
  </si>
  <si>
    <t>10-12x60-120 mm</t>
  </si>
  <si>
    <t xml:space="preserve">Spring Onion Chicken with Noodles </t>
  </si>
  <si>
    <t>Spring onion oil/Spring onion Cut 5 B.</t>
  </si>
  <si>
    <t>100-150 mm</t>
  </si>
  <si>
    <t>Spring onion braising sauce/Garlic Chop 5 B.</t>
  </si>
  <si>
    <t>Spring onion braising sauce/Ginger Chop 5 B.</t>
  </si>
  <si>
    <t>Noodles Sauce/Garlic Chop 5 B.</t>
  </si>
  <si>
    <t>Creamy Mushroom Sauce/Garilc chop 2 B.</t>
  </si>
  <si>
    <t>Creamy Mushroom Sauce/White Onion 2 B.</t>
  </si>
  <si>
    <t>Creamy Mushroom Sauce/Prepare Mushroom 2 B.</t>
  </si>
  <si>
    <t>Creamy Mushroom Sauce/Mushroom cut 2 B.</t>
  </si>
  <si>
    <t>Paprika Sauce/Parsley Chop 2 B.</t>
  </si>
  <si>
    <t>Paprika Sauce/White Onion Slice 2 B.</t>
  </si>
  <si>
    <t xml:space="preserve"> Spinach cut 2 B.</t>
  </si>
  <si>
    <t>Fried garlic (Noodle mixed) 8.5 batch</t>
  </si>
  <si>
    <t>Spring onion ginger oil 8.5 batch</t>
  </si>
  <si>
    <t>Beehoon Sauce B.1-3</t>
  </si>
  <si>
    <t>Beehoon Sauce B.4-6</t>
  </si>
  <si>
    <t xml:space="preserve">Beehoon Sauce B.7-8.5 </t>
  </si>
  <si>
    <t>Oriental Sauce 4 batch</t>
  </si>
  <si>
    <t>Oriental Sauce 4.5 batch</t>
  </si>
  <si>
    <t>Prepare Noodle 4 batch</t>
  </si>
  <si>
    <t>Paprika Potato Sauce (2batch)</t>
  </si>
  <si>
    <t>Fried IQF Potato B.1</t>
  </si>
  <si>
    <t>Fried IQF Potato B.2</t>
  </si>
  <si>
    <t>Spring onion Oil 5 batch</t>
  </si>
  <si>
    <t>Noodle Sauce B.1</t>
  </si>
  <si>
    <t>Noodle Sauce B.2</t>
  </si>
  <si>
    <t>Noodle Sauce B.3</t>
  </si>
  <si>
    <t>Noodle Sauce B.4</t>
  </si>
  <si>
    <t>Noodle Sauce B.5</t>
  </si>
  <si>
    <t>Braising sauce B.1-2</t>
  </si>
  <si>
    <t>Braising sauce B.3-4</t>
  </si>
  <si>
    <t>Braising sauce B.5</t>
  </si>
  <si>
    <t>Baked fiat noodle B.1</t>
  </si>
  <si>
    <t>Baked fiat noodle B.2</t>
  </si>
  <si>
    <t>Baked fiat noodle B.3</t>
  </si>
  <si>
    <t>Baked fiat noodle B.4</t>
  </si>
  <si>
    <t>Baked fiat noodle B.5</t>
  </si>
  <si>
    <t>Support Prepare Veg. 2 people</t>
  </si>
  <si>
    <t>26/3/2026</t>
  </si>
  <si>
    <t>Western Chicken Patties/Parsley chop</t>
  </si>
  <si>
    <t>Stir-Fried vegetable/Chinese cabbage cut</t>
  </si>
  <si>
    <t>size 20-30 mm</t>
  </si>
  <si>
    <t>Wash Chinese cabbage</t>
  </si>
  <si>
    <t>Wash spring onion</t>
  </si>
  <si>
    <t>Prepare Parsley</t>
  </si>
  <si>
    <t>Sqeeze spinach</t>
  </si>
  <si>
    <t>White onion chop</t>
  </si>
  <si>
    <t>Parsley chop</t>
  </si>
  <si>
    <t>spinach cut</t>
  </si>
  <si>
    <t>Choy sim cut</t>
  </si>
  <si>
    <t>Prepare Kernal corn</t>
  </si>
  <si>
    <t>Thawing Spinach</t>
  </si>
  <si>
    <t>Ginger Spring onion</t>
  </si>
  <si>
    <t>Forming Chicken Patties 3 B.</t>
  </si>
  <si>
    <t>Forming Chicken Patties 2 B.</t>
  </si>
  <si>
    <t>Blanched spring onion B.12</t>
  </si>
  <si>
    <t>Blanched chye sim B.6</t>
  </si>
  <si>
    <t>Blanched chye sim B.7</t>
  </si>
  <si>
    <t>Blanched chye sim B.8</t>
  </si>
  <si>
    <t>Blanched chye sim B.9</t>
  </si>
  <si>
    <t>Blanched chye sim B.10</t>
  </si>
  <si>
    <t>Blanched chye sim B.11</t>
  </si>
  <si>
    <t>Blanched chye sim B.12</t>
  </si>
  <si>
    <t>Stir-Fried vegetable B.1</t>
  </si>
  <si>
    <t>Stir-Fried vegetable B.2</t>
  </si>
  <si>
    <t>Stir-Fried vegetable B.3</t>
  </si>
  <si>
    <t>Stir-Fried vegetable B.4</t>
  </si>
  <si>
    <t>Stir-Fried vegetable B.5</t>
  </si>
  <si>
    <t>Stir-Fried vegetable B.6</t>
  </si>
  <si>
    <t>Stir-Fried vegetable B.7</t>
  </si>
  <si>
    <t>Stir-Fried vegetable B.8</t>
  </si>
  <si>
    <t>Stir-Fried vegetable B.9</t>
  </si>
  <si>
    <t>Stir-Fried vegetable B.10</t>
  </si>
  <si>
    <t>Stir-Fried vegetable B.11</t>
  </si>
  <si>
    <t>Stir-Fried vegetable B.12</t>
  </si>
  <si>
    <t>Stir-Fried vegetable B.13</t>
  </si>
  <si>
    <t>Stir-Fried vegetable B.14</t>
  </si>
  <si>
    <t>Blanched &amp; Stir-fried noodle B.6</t>
  </si>
  <si>
    <t>Blanched &amp; Stir-fried noodle B.7</t>
  </si>
  <si>
    <t>Blanched &amp; Stir-fried noodle B.8</t>
  </si>
  <si>
    <t>Blanched &amp; Stir-fried noodle B.9</t>
  </si>
  <si>
    <t>Blanched &amp; Stir-fried noodle B.10</t>
  </si>
  <si>
    <t>Blanched &amp; Stir-fried noodle B.11</t>
  </si>
  <si>
    <t>Oriental sauce B.1-2</t>
  </si>
  <si>
    <t>Baked chicken patties B.1</t>
  </si>
  <si>
    <t>Baked chicken patties B.2</t>
  </si>
  <si>
    <t>Baked chicken patties B.3</t>
  </si>
  <si>
    <t>Baked chicken patties B.4</t>
  </si>
  <si>
    <t>Baked chicken patties B.5</t>
  </si>
  <si>
    <t>Herb for Scrambled Egg 5 batch</t>
  </si>
  <si>
    <t>Creamy Mushroom Sauce/Garilc chop 5 B.</t>
  </si>
  <si>
    <t>Creamy Mushroom Sauce/White Onion 5 B.</t>
  </si>
  <si>
    <t>Creamy Mushroom Sauce/Prepare Mushroom 5 B.</t>
  </si>
  <si>
    <t>Creamy Mushroom Sauce/Mushroom cut 5 B.</t>
  </si>
  <si>
    <t>Paprika Sauce/Parsley Chop 5 B.</t>
  </si>
  <si>
    <t>Paprika Sauce/White Onion Slice 5 B.</t>
  </si>
  <si>
    <r>
      <rPr>
        <sz val="16"/>
        <color rgb="FF000000"/>
        <rFont val="AngsanaUPC"/>
      </rPr>
      <t xml:space="preserve">Chye sim cut 9 B. </t>
    </r>
    <r>
      <rPr>
        <sz val="16"/>
        <color rgb="FFFF0000"/>
        <rFont val="AngsanaUPC"/>
      </rPr>
      <t>ยังไม่ได้ล้าง</t>
    </r>
  </si>
  <si>
    <t>3-4 cm</t>
  </si>
  <si>
    <t>Paprika Potato Sauce (5batch)</t>
  </si>
  <si>
    <t>Creamy Mushroom Sauce B.5</t>
  </si>
  <si>
    <t>Ster-Fried Chicken B.1/1</t>
  </si>
  <si>
    <t>ขอยืมซอสจากฝั่งสุกมาใช้ผัดไก่ 60kg.</t>
  </si>
  <si>
    <t>Ster-Fried Chicken B.1/2</t>
  </si>
  <si>
    <t>Ster-Fried Chicken B.2/1</t>
  </si>
  <si>
    <t>Ster-Fried Chicken B.2/2</t>
  </si>
  <si>
    <t>Ster-Fried Chicken B.3/1</t>
  </si>
  <si>
    <t>Ster-Fried Chicken B.3/2</t>
  </si>
  <si>
    <t>Ster-Fried Chicken B.4/1</t>
  </si>
  <si>
    <t>Ster-Fried Chicken B.4/2</t>
  </si>
  <si>
    <t>Ster-Fried Chicken B.5/1</t>
  </si>
  <si>
    <t>Ster-Fried Chicken B.5/2</t>
  </si>
  <si>
    <t>Cooked Chicken B.1/1</t>
  </si>
  <si>
    <t>Cooked Chicken B.1/2</t>
  </si>
  <si>
    <t>Cooked Chicken B.2/1</t>
  </si>
  <si>
    <t>Cooked Chicken B.2/2</t>
  </si>
  <si>
    <t>Cooked Chicken B.3/1</t>
  </si>
  <si>
    <t>Cooked Chicken B.3/2</t>
  </si>
  <si>
    <t>Cooked Chicken B.4/1</t>
  </si>
  <si>
    <t>Cooked Chicken B.4/2</t>
  </si>
  <si>
    <t>Cooked Chicken B.5/1</t>
  </si>
  <si>
    <t>Cooked Chicken B.5/2</t>
  </si>
  <si>
    <t>Fried Fish B.7/1</t>
  </si>
  <si>
    <t>25/3/2026</t>
  </si>
  <si>
    <t>Support Cooking</t>
  </si>
  <si>
    <t>Baked Chicken Patties 3 batch</t>
  </si>
  <si>
    <t>Baked Pasta with Chicken Tomato Ragout (MU)</t>
  </si>
  <si>
    <t>Boiled Fusilli Pasta 9/1</t>
  </si>
  <si>
    <t>Boiled Fusilli Pasta 9/2</t>
  </si>
  <si>
    <t>Boiled Fusilli Pasta 10/1</t>
  </si>
  <si>
    <t>Boiled Fusilli Pasta 10/2</t>
  </si>
  <si>
    <t>Boiled Fusilli Pasta 11/1</t>
  </si>
  <si>
    <t>Boiled Fusilli Pasta 11/2</t>
  </si>
  <si>
    <t>Chicken ragout with pasta, Mushroom Cream sauce (Bento)</t>
  </si>
  <si>
    <t>Boiled Penne Pasta 10/1</t>
  </si>
  <si>
    <t>Boiled Penne Pasta 10/2</t>
  </si>
  <si>
    <t>Boiled Penne Pasta 11/1</t>
  </si>
  <si>
    <t>Boiled Penne Pasta 11/2</t>
  </si>
  <si>
    <t>Boiled Penne Pasta 12/1</t>
  </si>
  <si>
    <t>Boiled Penne Pasta 12/2</t>
  </si>
  <si>
    <t>Boiled Penne Pasta 13/1</t>
  </si>
  <si>
    <t>Boiled Penne Pasta 13/2</t>
  </si>
  <si>
    <t>Boiled Penne Pasta 14/1</t>
  </si>
  <si>
    <t>Boiled Penne Pasta 14/2</t>
  </si>
  <si>
    <t>Baked Chicken Patties B.1</t>
  </si>
  <si>
    <t>Baked Chicken Patties B.2</t>
  </si>
  <si>
    <t>Baked Chicken Patties B.3</t>
  </si>
  <si>
    <r>
      <rPr>
        <sz val="16"/>
        <color rgb="FF000000"/>
        <rFont val="AngsanaUPC"/>
      </rPr>
      <t xml:space="preserve">Chicken ragout with pasta, Mushroom Cream sauce </t>
    </r>
    <r>
      <rPr>
        <sz val="16"/>
        <color rgb="FFFF0000"/>
        <rFont val="AngsanaUPC"/>
      </rPr>
      <t>(Bento)</t>
    </r>
  </si>
  <si>
    <t>Chicken ragout Sauce/Prepare Mushroom 5 B.</t>
  </si>
  <si>
    <t>Chicken ragout Sauce/Mushroom Cut 5 B.</t>
  </si>
  <si>
    <t xml:space="preserve">Spring onion Ginger oil/Garlic 2 B. </t>
  </si>
  <si>
    <t>Herb Scrambled Egg,Paprika Potatoes, Spinach Corn,Chicken Patties,Creamy Mushroom</t>
  </si>
  <si>
    <t>Tomato concasse for patties/Open Tomto</t>
  </si>
  <si>
    <t>Tomato concasse for patties/Tomato Chop 8 B.</t>
  </si>
  <si>
    <t>Parsley Chop 8 B.</t>
  </si>
  <si>
    <t xml:space="preserve"> Chicken Ragout Sauce B.1</t>
  </si>
  <si>
    <t xml:space="preserve"> Chicken Ragout Sauce B.2</t>
  </si>
  <si>
    <t xml:space="preserve"> Chicken Ragout Sauce B.3</t>
  </si>
  <si>
    <t xml:space="preserve"> Chicken Ragout Sauce B.4</t>
  </si>
  <si>
    <t xml:space="preserve"> Chicken Ragout Sauce B.5</t>
  </si>
  <si>
    <t xml:space="preserve"> Chicken Ragout Sauce B.6</t>
  </si>
  <si>
    <t xml:space="preserve"> Chicken Ragout Sauce B.7</t>
  </si>
  <si>
    <t xml:space="preserve"> Chicken Ragout Sauce B.8</t>
  </si>
  <si>
    <t xml:space="preserve"> Chicken Ragout Sauce B.9</t>
  </si>
  <si>
    <t xml:space="preserve"> Chicken Ragout Sauce B.10</t>
  </si>
  <si>
    <t xml:space="preserve"> Chicken Ragout Sauce B.11</t>
  </si>
  <si>
    <t xml:space="preserve"> Chicken Ragout Sauce B.12</t>
  </si>
  <si>
    <t xml:space="preserve"> Chicken Ragout Sauce B.13</t>
  </si>
  <si>
    <r>
      <rPr>
        <sz val="16"/>
        <color rgb="FF000000"/>
        <rFont val="AngsanaUPC"/>
      </rPr>
      <t xml:space="preserve">Spring onion ginger Oil </t>
    </r>
    <r>
      <rPr>
        <sz val="16"/>
        <color rgb="FFFF0000"/>
        <rFont val="AngsanaUPC"/>
      </rPr>
      <t>(2batch)</t>
    </r>
  </si>
  <si>
    <t>Spring onion Oil B.1-11</t>
  </si>
  <si>
    <t>Noodle Sauce B.6</t>
  </si>
  <si>
    <t>Noodle Sauce B.7</t>
  </si>
  <si>
    <t>Noodle Sauce B.8</t>
  </si>
  <si>
    <t>Noodle Sauce B.9</t>
  </si>
  <si>
    <t>Noodle Sauce B.10</t>
  </si>
  <si>
    <t>Noodle Sauce B.11</t>
  </si>
  <si>
    <t>Braising sauce B.5-6</t>
  </si>
  <si>
    <t>Braising sauce B.7-8</t>
  </si>
  <si>
    <t>Braising sauce B.9-10</t>
  </si>
  <si>
    <t>Braising sauce B.11</t>
  </si>
  <si>
    <t>Ster-Fried Chicken B.6/1</t>
  </si>
  <si>
    <t>Ster-Fried Chicken B.6/2</t>
  </si>
  <si>
    <t>Ster-Fried Chicken B.7/1</t>
  </si>
  <si>
    <t>Ster-Fried Chicken B.7/2</t>
  </si>
  <si>
    <t>Ster-Fried Chicken B.8/1</t>
  </si>
  <si>
    <t>Ster-Fried Chicken B.8/2</t>
  </si>
  <si>
    <t>Ster-Fried Chicken B.9/1</t>
  </si>
  <si>
    <t>Ster-Fried Chicken B.9/2</t>
  </si>
  <si>
    <t>Ster-Fried Chicken B.10/1</t>
  </si>
  <si>
    <t>Ster-Fried Chicken B.10/2</t>
  </si>
  <si>
    <t>Ster-Fried Chicken B.11/1</t>
  </si>
  <si>
    <t>Ster-Fried Chicken B.11/2</t>
  </si>
  <si>
    <r>
      <rPr>
        <sz val="16"/>
        <color rgb="FF000000"/>
        <rFont val="AngsanaUPC"/>
      </rPr>
      <t xml:space="preserve">Ster-Fried Chicken B.12/1 </t>
    </r>
    <r>
      <rPr>
        <sz val="16"/>
        <color rgb="FFFF0000"/>
        <rFont val="AngsanaUPC"/>
      </rPr>
      <t>(0.5batch)</t>
    </r>
  </si>
  <si>
    <t>Cooked Chicken B.6/1</t>
  </si>
  <si>
    <t>Cooked Chicken B.6/2</t>
  </si>
  <si>
    <t>Cooked Chicken B.7/1</t>
  </si>
  <si>
    <t>Cooked Chicken B.7/2</t>
  </si>
  <si>
    <t>Cooked Chicken B.8/1</t>
  </si>
  <si>
    <t>Cooked Chicken B.8/2</t>
  </si>
  <si>
    <t>Cooked Chicken B.9/1</t>
  </si>
  <si>
    <t>Cooked Chicken B.9/2</t>
  </si>
  <si>
    <t>Cooked Chicken B.10/1</t>
  </si>
  <si>
    <t>Cooked Chicken B.10/2</t>
  </si>
  <si>
    <t>Cooked Chicken B.11/1</t>
  </si>
  <si>
    <t>Cooked Chicken B.11/2</t>
  </si>
  <si>
    <r>
      <rPr>
        <sz val="16"/>
        <color rgb="FF000000"/>
        <rFont val="AngsanaUPC"/>
      </rPr>
      <t xml:space="preserve">Cooked Chicken B.12/1 </t>
    </r>
    <r>
      <rPr>
        <sz val="16"/>
        <color rgb="FFFF0000"/>
        <rFont val="AngsanaUPC"/>
      </rPr>
      <t>(0.5batch)</t>
    </r>
  </si>
  <si>
    <t>Tomato concasse for Patties B.1-8</t>
  </si>
  <si>
    <t>24/3/2026</t>
  </si>
  <si>
    <t>Production downtime was attributed to slag residue originating from the hood.</t>
  </si>
  <si>
    <t xml:space="preserve">Break </t>
  </si>
  <si>
    <t>Move tools and equipment to Stage 2 for production.</t>
  </si>
  <si>
    <t>Mushroom</t>
  </si>
  <si>
    <t>Chye sim</t>
  </si>
  <si>
    <t>Cabbage</t>
  </si>
  <si>
    <t>Spring Onion</t>
  </si>
  <si>
    <t>Carrot 5*35</t>
  </si>
  <si>
    <t>Carrot 10*30</t>
  </si>
  <si>
    <t>Chicken ragout Sauce/Garlic 13 B.</t>
  </si>
  <si>
    <t>Chicken ragout Sauce/White Onion 13 B.</t>
  </si>
  <si>
    <t>4 mm</t>
  </si>
  <si>
    <t>Chicken ragout Sauce/Mushroom Cut 8 B.</t>
  </si>
  <si>
    <r>
      <rPr>
        <sz val="16"/>
        <color rgb="FF000000"/>
        <rFont val="AngsanaUPC"/>
      </rPr>
      <t xml:space="preserve">Spring onion Ginger oil 2 B. </t>
    </r>
    <r>
      <rPr>
        <sz val="16"/>
        <color rgb="FFFF0000"/>
        <rFont val="AngsanaUPC"/>
      </rPr>
      <t>ยังไม่ได้เตรียมกระเทียม</t>
    </r>
  </si>
  <si>
    <r>
      <t xml:space="preserve">Blanched Chye Sim/Cutting Chye sim 2 B. </t>
    </r>
    <r>
      <rPr>
        <sz val="16"/>
        <color rgb="FFFF0000"/>
        <rFont val="AngsanaUPC"/>
        <family val="1"/>
      </rPr>
      <t>ยังไม่ล้าง</t>
    </r>
  </si>
  <si>
    <t>Spring onion oil/Spring onion Cut 11 B.</t>
  </si>
  <si>
    <t>Spring onion braising sauce/Garlic Chop 11 B.</t>
  </si>
  <si>
    <t>Spring onion braising sauce/Ginger Chop 11 B.</t>
  </si>
  <si>
    <t>Noodles Sauce/Garlic Chop 11 B.</t>
  </si>
  <si>
    <t>Tomato concasse for patties/Garlic Chop 8 B.</t>
  </si>
  <si>
    <t>Tomato concasse for patties/Onion Chop 8 B.</t>
  </si>
  <si>
    <t>Tomato concasse for patties/Italian Chop 8 B.</t>
  </si>
  <si>
    <t>Soak Gelatin 11 B.</t>
  </si>
  <si>
    <t>Chicken ragout Sauce/Prepare Mushroom 8 B.</t>
  </si>
  <si>
    <t>Baked Carrot/Prepare Carrot 13 B.</t>
  </si>
  <si>
    <t xml:space="preserve">1.5x1.5 </t>
  </si>
  <si>
    <t>Steam parasley B.1-13</t>
  </si>
  <si>
    <t>Baked Carrot B.1</t>
  </si>
  <si>
    <t>Baked Carrot B.2</t>
  </si>
  <si>
    <t>Baked Carrot B.3</t>
  </si>
  <si>
    <t>Baked Carrot B.4</t>
  </si>
  <si>
    <t>Baked Carrot B.5</t>
  </si>
  <si>
    <t>Baked Carrot B.6</t>
  </si>
  <si>
    <t>Baked Carrot B.7</t>
  </si>
  <si>
    <t>Baked Carrot B.8</t>
  </si>
  <si>
    <t>Baked Carrot B.9</t>
  </si>
  <si>
    <t>Baked Carrot B.10</t>
  </si>
  <si>
    <t>Baked Carrot B.11</t>
  </si>
  <si>
    <t>Baked Carrot B.12</t>
  </si>
  <si>
    <t>Baked Carrot B.13</t>
  </si>
  <si>
    <t>Western grill chicken B.1</t>
  </si>
  <si>
    <t>8..5</t>
  </si>
  <si>
    <t>Western grill chicken B.2</t>
  </si>
  <si>
    <t>Western grill chicken B.3</t>
  </si>
  <si>
    <t>Western grill chicken B.4</t>
  </si>
  <si>
    <t>Western grill chicken B.5</t>
  </si>
  <si>
    <t>Western grill chicken B.6</t>
  </si>
  <si>
    <t>Western grill chicken B.7</t>
  </si>
  <si>
    <t>Western grill chicken B.8</t>
  </si>
  <si>
    <t>Western grill chicken B.9</t>
  </si>
  <si>
    <t>Western grill chicken B.10</t>
  </si>
  <si>
    <t>Western grill chicken B.11</t>
  </si>
  <si>
    <t>Western grill chicken B.12</t>
  </si>
  <si>
    <t>Western grill chicken B.13</t>
  </si>
  <si>
    <t>Western grill chicken B.14</t>
  </si>
  <si>
    <t>Asian mixed (2 batch)</t>
  </si>
  <si>
    <t>Baked fiat noodle B.6</t>
  </si>
  <si>
    <t>Baked fiat noodle B.7</t>
  </si>
  <si>
    <t>Baked fiat noodle B.8</t>
  </si>
  <si>
    <t>Baked fiat noodle B.9</t>
  </si>
  <si>
    <t>Baked fiat noodle B.10</t>
  </si>
  <si>
    <t>Baked fiat noodle B.11</t>
  </si>
  <si>
    <t>Ginger Paste 2 B.</t>
  </si>
  <si>
    <t>Creamy Mushroom&amp;Sautéed parsley/Onion Chop 11 B.</t>
  </si>
  <si>
    <t>3-4 mm</t>
  </si>
  <si>
    <t>Creamy Mushroom/Garlic Chop 11 B.</t>
  </si>
  <si>
    <t xml:space="preserve">Prepare Pasley </t>
  </si>
  <si>
    <t>Creamy Mushroom&amp;Sautéed parsley/Parsley Chop 11 B.</t>
  </si>
  <si>
    <t>Creamy Mushroom/Cutting Mushroom 11 B.</t>
  </si>
  <si>
    <t>1/4-1/6</t>
  </si>
  <si>
    <t>Chicken Tomato Ragout/Celery Chop 10 B.</t>
  </si>
  <si>
    <t>Chicken Tomato Ragout/Tomato Chop 10 B.</t>
  </si>
  <si>
    <t>Cleaning Line/Break</t>
  </si>
  <si>
    <r>
      <rPr>
        <sz val="16"/>
        <color rgb="FF000000"/>
        <rFont val="AngsanaUPC"/>
      </rPr>
      <t xml:space="preserve">Chicken ragout with pasta, Mushroom Cream sauce </t>
    </r>
    <r>
      <rPr>
        <sz val="16"/>
        <color rgb="FFFF0000"/>
        <rFont val="AngsanaUPC"/>
      </rPr>
      <t>(CPET TRAY)</t>
    </r>
  </si>
  <si>
    <t>Baked Pumpkin/Batching Pumpkin 6 B.</t>
  </si>
  <si>
    <t>1.5*1.5</t>
  </si>
  <si>
    <t xml:space="preserve">Prepare Onion </t>
  </si>
  <si>
    <t>Cutting Chye Sim 2 B.</t>
  </si>
  <si>
    <t>ช่วยห้องล้างอุปกรณ์</t>
  </si>
  <si>
    <t>Cutting Fish 2 B.</t>
  </si>
  <si>
    <t>Forming Chicken Patties 4 B.</t>
  </si>
  <si>
    <r>
      <rPr>
        <sz val="14"/>
        <color rgb="FF000000"/>
        <rFont val="AngsanaUPC"/>
      </rPr>
      <t xml:space="preserve">Scrambled Egg with Herb, Paprika Potato, Smoked Baked Beans, Creamy Mushroom &amp; Sausage </t>
    </r>
    <r>
      <rPr>
        <sz val="14"/>
        <color rgb="FFFF0000"/>
        <rFont val="AngsanaUPC"/>
      </rPr>
      <t>(Bento)</t>
    </r>
  </si>
  <si>
    <t>Bechamel Sauce B.1-3</t>
  </si>
  <si>
    <t>Bechamel Sauce B.4-6</t>
  </si>
  <si>
    <t>Bechamel Sauce B.7-9</t>
  </si>
  <si>
    <t>Bechamel Sauce B.10-11</t>
  </si>
  <si>
    <t>Sautéed parsley B.1-11</t>
  </si>
  <si>
    <t>Creamy Mushroom Sauce B.1-2</t>
  </si>
  <si>
    <t>Creamy Mushroom Sauce B.3-4</t>
  </si>
  <si>
    <t>Creamy Mushroom Sauce B.5-6</t>
  </si>
  <si>
    <t>Creamy Mushroom Sauce B.7-8</t>
  </si>
  <si>
    <t>Creamy Mushroom Sauce B.9-10</t>
  </si>
  <si>
    <t>Creamy Mushroom Sauce B.11</t>
  </si>
  <si>
    <t>Scrambled Egg B.1/1</t>
  </si>
  <si>
    <t>Scrambled Egg B.1/2</t>
  </si>
  <si>
    <t>Scrambled Egg B.2/1</t>
  </si>
  <si>
    <t>Scrambled Egg B.2/2</t>
  </si>
  <si>
    <t>Scrambled Egg B.3/1</t>
  </si>
  <si>
    <t>Scrambled Egg B.3/2</t>
  </si>
  <si>
    <t>Scrambled Egg B.4/1</t>
  </si>
  <si>
    <t>Scrambled Egg B.4/2</t>
  </si>
  <si>
    <t>Scrambled Egg B.5/1</t>
  </si>
  <si>
    <t>Scrambled Egg B.5/2</t>
  </si>
  <si>
    <t>Scrambled Egg B.6/1</t>
  </si>
  <si>
    <t>Scrambled Egg B.6/2</t>
  </si>
  <si>
    <t>Scrambled Egg B.7/1</t>
  </si>
  <si>
    <t>Scrambled Egg B.7/2</t>
  </si>
  <si>
    <t>Scrambled Egg B.8/1</t>
  </si>
  <si>
    <t>Scrambled Egg B.8/2</t>
  </si>
  <si>
    <t>Scrambled Egg B.9/1</t>
  </si>
  <si>
    <t>Scrambled Egg B.9/2</t>
  </si>
  <si>
    <t>Scrambled Egg B.10/1</t>
  </si>
  <si>
    <t>Scrambled Egg B.10/2</t>
  </si>
  <si>
    <t>Scrambled Egg B.11/1</t>
  </si>
  <si>
    <t>Scrambled Egg B.11/2</t>
  </si>
  <si>
    <t>Fried Potato B.9</t>
  </si>
  <si>
    <t>Fried Potato B.10</t>
  </si>
  <si>
    <t>Fried Potato B.11</t>
  </si>
  <si>
    <t>Fried Potato B.12</t>
  </si>
  <si>
    <t>Baked Pumpkin B.1</t>
  </si>
  <si>
    <t>Baked Pumpkin B.2</t>
  </si>
  <si>
    <t>Baked Pumpkin B.3</t>
  </si>
  <si>
    <t>Baked Pumpkin B.4</t>
  </si>
  <si>
    <t>Baked Pumpkin B.5</t>
  </si>
  <si>
    <t>Baked Pumpkin B.6</t>
  </si>
  <si>
    <t>Western grill chicken 0.5 B.</t>
  </si>
  <si>
    <t>Boiled Fusilli Pasta 1/1</t>
  </si>
  <si>
    <t>Boiled Fusilli Pasta 1/2</t>
  </si>
  <si>
    <t>Boiled Fusilli Pasta 1/3</t>
  </si>
  <si>
    <t>Boiled Fusilli Pasta 2/1</t>
  </si>
  <si>
    <t>Boiled Fusilli Pasta 2/2</t>
  </si>
  <si>
    <t>Boiled Fusilli Pasta 3/1</t>
  </si>
  <si>
    <t>Boiled Fusilli Pasta 3/2</t>
  </si>
  <si>
    <t>Boiled Fusilli Pasta 4/1</t>
  </si>
  <si>
    <t>Boiled Fusilli Pasta 4/2</t>
  </si>
  <si>
    <t>Boiled Fusilli Pasta 5/1</t>
  </si>
  <si>
    <t>Boiled Fusilli Pasta 5/2</t>
  </si>
  <si>
    <t>Boiled Fusilli Pasta 6/1</t>
  </si>
  <si>
    <t>Boiled Fusilli Pasta 6/2</t>
  </si>
  <si>
    <t>Chicken Tomato Ragout Sauce B.5</t>
  </si>
  <si>
    <t>Chicken Tomato Ragout Sauce B.6</t>
  </si>
  <si>
    <t>Chicken Tomato Ragout Sauce B.7</t>
  </si>
  <si>
    <t>Chicken Tomato Ragout Sauce B.8</t>
  </si>
  <si>
    <t>Chicken Tomato Ragout Sauce B.9</t>
  </si>
  <si>
    <t>Chicken Tomato Ragout Sauce B.10</t>
  </si>
  <si>
    <t>Boiled Fusilli Pasta 7/1</t>
  </si>
  <si>
    <t>Boiled Fusilli Pasta 7/2</t>
  </si>
  <si>
    <t>Boiled Fusilli Pasta 8/1</t>
  </si>
  <si>
    <t>Boiled Fusilli Pasta 8/2</t>
  </si>
  <si>
    <t>Baked Chicken Patties B.4</t>
  </si>
  <si>
    <t>Baked Chicken Patties B.5</t>
  </si>
  <si>
    <t>Baked Chicken Patties B.6</t>
  </si>
  <si>
    <t>Baked Chicken Patties B.7</t>
  </si>
  <si>
    <t>Chicken Tomato Ragout Sauce/Garlic Chop 10 B.</t>
  </si>
  <si>
    <t>Chicken Tomato Ragout Sauce/White onion Chop  10 B.</t>
  </si>
  <si>
    <t>Chicken Tomato Ragout Sauce/Carrot Chop 10 B.</t>
  </si>
  <si>
    <t xml:space="preserve">Chicken Tomato Ragout Sauce/Prepare Carrot </t>
  </si>
  <si>
    <t>ยังไม่ได้ปั่น</t>
  </si>
  <si>
    <t>Chicken Tomato Ragout Sauce/Open a can Tomato</t>
  </si>
  <si>
    <t>Chicken ragout sauce/Garlic Chop 6 B.</t>
  </si>
  <si>
    <t>Chicken ragout sauce/White onion Chop  6 B.</t>
  </si>
  <si>
    <t>Chicken ragout sauce/Mushroom Cut 6 B.</t>
  </si>
  <si>
    <t>Slice 5 mm</t>
  </si>
  <si>
    <t>Chicken ragout sauce/Prepare Mushroom 6 B.</t>
  </si>
  <si>
    <t>Baked Carrot/Prepare Carrot 6 B.</t>
  </si>
  <si>
    <t>1.5x1.5 cm</t>
  </si>
  <si>
    <r>
      <rPr>
        <sz val="14"/>
        <color rgb="FF000000"/>
        <rFont val="AngsanaUPC"/>
        <family val="1"/>
      </rPr>
      <t xml:space="preserve">Scrambled Egg with Herb, Paprika Potato, Smoked Baked Beans, Creamy Mushroom &amp; Sausage </t>
    </r>
    <r>
      <rPr>
        <sz val="14"/>
        <color rgb="FFFF0000"/>
        <rFont val="AngsanaUPC"/>
        <family val="1"/>
      </rPr>
      <t>(Bento)</t>
    </r>
  </si>
  <si>
    <t>Baked Beans/White Onion Dice 11 B.</t>
  </si>
  <si>
    <t>Tomato Sauce/White Onion 11 B.</t>
  </si>
  <si>
    <t>Tomato Sauce/Garlic 11 B.</t>
  </si>
  <si>
    <t>Tomato Sauce/Tomato Chop 11 B.</t>
  </si>
  <si>
    <t>Paprika Sauce/Parsley Chop 11 B.</t>
  </si>
  <si>
    <t>Paprika Sauce/White Onion Slice 11 B.</t>
  </si>
  <si>
    <t>4-6  mm</t>
  </si>
  <si>
    <t>Tomato concasse for patties/Garlic Chop 7 B.</t>
  </si>
  <si>
    <t>Tomato concasse for patties/Onion Chop 7 B.</t>
  </si>
  <si>
    <t xml:space="preserve">2-5 mm </t>
  </si>
  <si>
    <t>Steam parmesan cheese B.1-10</t>
  </si>
  <si>
    <t>Steam bread crumb parsley B.1-10</t>
  </si>
  <si>
    <t>Steam parasley B.1-6</t>
  </si>
  <si>
    <t> </t>
  </si>
  <si>
    <t>Chicken ragout sauce B.1</t>
  </si>
  <si>
    <t>Chicken ragout sauce B.2</t>
  </si>
  <si>
    <t>Chicken ragout sauce B.3</t>
  </si>
  <si>
    <t>Chicken ragout sauce B.4</t>
  </si>
  <si>
    <t>Chicken ragout sauce B.5</t>
  </si>
  <si>
    <t>Chicken ragout sauce B.6</t>
  </si>
  <si>
    <t>Tomato Sauce For Bakebean B.1-11</t>
  </si>
  <si>
    <t>Baked Bean Sauce B.1-2</t>
  </si>
  <si>
    <t>Baked Bean Sauce B.3-4</t>
  </si>
  <si>
    <t>Baked Bean Sauce B.5-6</t>
  </si>
  <si>
    <t>Baked Bean Sauce B.7-8</t>
  </si>
  <si>
    <t>Baked Bean Sauce B.9-10</t>
  </si>
  <si>
    <t>Baked Bean Sauce B.11</t>
  </si>
  <si>
    <t>Paprika Sauce B.1-5</t>
  </si>
  <si>
    <t>Paprika Sauce B.6-11</t>
  </si>
  <si>
    <t>Fried Potato (IQF) B.1</t>
  </si>
  <si>
    <t>Fried Potato (IQF) B.2</t>
  </si>
  <si>
    <t>Fried Potato (IQF) B.3</t>
  </si>
  <si>
    <t>Fried Potato (IQF) B.4</t>
  </si>
  <si>
    <t>Fried Potato (IQF) B.5</t>
  </si>
  <si>
    <t>Fried Potato (IQF) B.6</t>
  </si>
  <si>
    <t>Fried Potato (IQF) B.7</t>
  </si>
  <si>
    <t>Fried Potato (IQF) B.8</t>
  </si>
  <si>
    <t>Chicken Sausage B.1</t>
  </si>
  <si>
    <t>Chicken Sausage B.2</t>
  </si>
  <si>
    <t>Chicken Sausage B.3</t>
  </si>
  <si>
    <t>Chicken Sausage B.4</t>
  </si>
  <si>
    <t>Chicken Sausage B.5</t>
  </si>
  <si>
    <t>Chicken Sausage B.6</t>
  </si>
  <si>
    <t>Chicken Sausage B.7</t>
  </si>
  <si>
    <t>Chicken Sausage B.8</t>
  </si>
  <si>
    <t>Chicken Sausage B.9</t>
  </si>
  <si>
    <t>Chicken Sausage B.10</t>
  </si>
  <si>
    <t>Chicken Sausage B.11</t>
  </si>
  <si>
    <t>Tomato concasse for Patties B.1-7</t>
  </si>
  <si>
    <t>21/3/2026</t>
  </si>
  <si>
    <t>Pot Roasted Chicken with Mushroom, Mashed Potatoes, Roasted Pumpkin and Carrots</t>
  </si>
  <si>
    <t>Blanched Pumpkin/Prepare pumpkin</t>
  </si>
  <si>
    <t>Creamy Mushroom/Garlic Chop</t>
  </si>
  <si>
    <t>Creamy Mushroom/White Onion Chop</t>
  </si>
  <si>
    <t>size 4 mm</t>
  </si>
  <si>
    <t>Creamy Mushroom/Mushroom Slice</t>
  </si>
  <si>
    <t>size 6-8 mm</t>
  </si>
  <si>
    <t>Prepare White Onion</t>
  </si>
  <si>
    <t>Blanched Carrot/Prepare carrot</t>
  </si>
  <si>
    <t>Baked Fish with Mushroom Cream Sauce, Carrot Potato Mash, Ratatouille &amp; Buttered</t>
  </si>
  <si>
    <t>Cutting fish 2 batch</t>
  </si>
  <si>
    <t>Cutting fish 3 batch</t>
  </si>
  <si>
    <t>Boiled Penne Pasta 1/4</t>
  </si>
  <si>
    <t>Boiled Penne Pasta 6/4</t>
  </si>
  <si>
    <t>Blanched Carrot B.1</t>
  </si>
  <si>
    <t>Blanched Carrot B.2</t>
  </si>
  <si>
    <t>Blanched Carrot B.3</t>
  </si>
  <si>
    <t>Blanched Carrot B.4</t>
  </si>
  <si>
    <t>Blanched Carrot B.5</t>
  </si>
  <si>
    <t>Blanched Carrot B.6</t>
  </si>
  <si>
    <t>Blanched Carrot B.7</t>
  </si>
  <si>
    <t>Blanched Pumpkin B.1</t>
  </si>
  <si>
    <t>Blanched Pumpkin B.2</t>
  </si>
  <si>
    <t>Blanched Pumpkin B.3</t>
  </si>
  <si>
    <t>Blanched Pumpkin B.4</t>
  </si>
  <si>
    <t>Blanched Pumpkin B.5</t>
  </si>
  <si>
    <t>Blanched Pumpkin B.6</t>
  </si>
  <si>
    <t>Blanched Pumpkin B.7</t>
  </si>
  <si>
    <t>Creamy Chicken and Mushroom with Pasta (Bento)</t>
  </si>
  <si>
    <t>Western grill chicken cube B.1</t>
  </si>
  <si>
    <t>Western grill chicken cube B.2</t>
  </si>
  <si>
    <t>Western grill chicken cube B.3</t>
  </si>
  <si>
    <t>Western grill chicken cube B.4</t>
  </si>
  <si>
    <t>Western grill chicken cube B.5</t>
  </si>
  <si>
    <t>Western grill chicken cube B.6</t>
  </si>
  <si>
    <t>Western grill chicken cube B.7</t>
  </si>
  <si>
    <t>Western grill chicken cube B.8</t>
  </si>
  <si>
    <t>Western grill chicken cube B.9</t>
  </si>
  <si>
    <t>Western grill chicken cube B.10</t>
  </si>
  <si>
    <t>Western grill chicken cube B.11</t>
  </si>
  <si>
    <t>Western grill chicken cube B.12</t>
  </si>
  <si>
    <t>Western grill chicken cube B.13</t>
  </si>
  <si>
    <t>Western grill chicken cube B.14</t>
  </si>
  <si>
    <t>Creamy mushroom B.1</t>
  </si>
  <si>
    <t>Creamy mushroom B.2</t>
  </si>
  <si>
    <t>Creamy mushroom B.3</t>
  </si>
  <si>
    <t>Creamy mushroom B.4</t>
  </si>
  <si>
    <t>Creamy mushroom B.5</t>
  </si>
  <si>
    <t>Creamy mushroom B.6</t>
  </si>
  <si>
    <t>Creamy mushroom B.7</t>
  </si>
  <si>
    <t>Creamy mushroom B.8</t>
  </si>
  <si>
    <t>Creamy mushroom B.9</t>
  </si>
  <si>
    <t>Creamy mushroom B.10</t>
  </si>
  <si>
    <t>Creamy mushroom B.11</t>
  </si>
  <si>
    <t>Creamy mushroom B.12</t>
  </si>
  <si>
    <t>Creamy mushroom B.13</t>
  </si>
  <si>
    <t>Boiled makaroni pasta 1/1</t>
  </si>
  <si>
    <t>Boiled makaroni pasta 1/2</t>
  </si>
  <si>
    <t>Boiled makaroni pasta 2/1</t>
  </si>
  <si>
    <t>Boiled makaroni pasta 2/2</t>
  </si>
  <si>
    <t>Boiled makaroni pasta 3/1</t>
  </si>
  <si>
    <t>Boiled makaroni pasta 3/2</t>
  </si>
  <si>
    <t>Boiled makaroni pasta 4/1</t>
  </si>
  <si>
    <t>Boiled makaroni pasta 4/2</t>
  </si>
  <si>
    <t>Boiled makaroni pasta 5/1</t>
  </si>
  <si>
    <t>Boiled makaroni pasta 5/2</t>
  </si>
  <si>
    <t>Boiled makaroni pasta 6/1</t>
  </si>
  <si>
    <t>Boiled makaroni pasta 6/2</t>
  </si>
  <si>
    <t>Boiled makaroni pasta 7/1</t>
  </si>
  <si>
    <t>Boiled makaroni pasta 7/2</t>
  </si>
  <si>
    <t>Boiled makaroni pasta 8/1</t>
  </si>
  <si>
    <t>Boiled makaroni pasta 8/2</t>
  </si>
  <si>
    <t>Boiled makaroni pasta 9/1</t>
  </si>
  <si>
    <t>Boiled makaroni pasta 9/2</t>
  </si>
  <si>
    <t>Boiled makaroni pasta 10/1</t>
  </si>
  <si>
    <t>Boiled makaroni pasta 10/2</t>
  </si>
  <si>
    <t>Boiled makaroni pasta 11/1</t>
  </si>
  <si>
    <t>Boiled makaroni pasta 11/2</t>
  </si>
  <si>
    <t>Boiled makaroni pasta 12/1</t>
  </si>
  <si>
    <t>Boiled makaroni pasta 12/2</t>
  </si>
  <si>
    <t>Boiled makaroni pasta 13/1</t>
  </si>
  <si>
    <t>Boiled makaroni pasta 13/2</t>
  </si>
  <si>
    <t>Boiled makaroni pasta 14/1</t>
  </si>
  <si>
    <t>Boiled makaroni pasta 14/2</t>
  </si>
  <si>
    <t>Boiled makaroni pasta 15/1</t>
  </si>
  <si>
    <t>Boiled makaroni pasta 15/2</t>
  </si>
  <si>
    <t>Steam fish 1/1</t>
  </si>
  <si>
    <t>Steam fish 1/2</t>
  </si>
  <si>
    <t>Steam fish 1/3</t>
  </si>
  <si>
    <t>Steam fish 2/1</t>
  </si>
  <si>
    <t>Steam fish 2/2</t>
  </si>
  <si>
    <t>Steam fish 2/3</t>
  </si>
  <si>
    <t>Steam fish 3/1</t>
  </si>
  <si>
    <t>Steam fish 3/2</t>
  </si>
  <si>
    <t>Steam fish 3/3</t>
  </si>
  <si>
    <t>Steam fish 4/1</t>
  </si>
  <si>
    <t>Steam fish 4/2</t>
  </si>
  <si>
    <t>Steam fish 4/3</t>
  </si>
  <si>
    <t>Steam fish 5/1</t>
  </si>
  <si>
    <t>Steam fish 5/2</t>
  </si>
  <si>
    <t>Steam fish 5/3</t>
  </si>
  <si>
    <t>Steam fish 5/4</t>
  </si>
  <si>
    <t>Tomato concasse/Garlic Chop 6 B.</t>
  </si>
  <si>
    <t>Tomato concasse/White onion Chop 6 B.</t>
  </si>
  <si>
    <t>Tomato concasse/Tomato Chop 6 B.</t>
  </si>
  <si>
    <t>Tomato concasse/Open a can Tomato 6 B.</t>
  </si>
  <si>
    <t>Tomato concasse/Italian Chop 6 B.</t>
  </si>
  <si>
    <t>Pot Roasted Chicken with Mushroom, Masned Potatoes, Roasted  Pumpkin and Carrots</t>
  </si>
  <si>
    <t>Mushroom sauce/Garlic chop 7 B.</t>
  </si>
  <si>
    <t>Mushroom sauce/White onion chop 7 B.</t>
  </si>
  <si>
    <t>Mushroom Sauce/Tomato  chop 7 B.</t>
  </si>
  <si>
    <t>Mushroom Sauce/Mushroom Cut 7 B.</t>
  </si>
  <si>
    <t>size 5-8 mm</t>
  </si>
  <si>
    <t>Blanched Carrot/Prepare carrot 7 B.</t>
  </si>
  <si>
    <t>Vegetable Sauce/Parsley Chop 7 B.</t>
  </si>
  <si>
    <t>Steam pamesan cheese &amp; Parsley B.1-B.6</t>
  </si>
  <si>
    <t>Tomato sauce B.1</t>
  </si>
  <si>
    <t>Tomato sauce B.2</t>
  </si>
  <si>
    <t>Tomato sauce B.3</t>
  </si>
  <si>
    <t>Tomato sauce B.4</t>
  </si>
  <si>
    <t>Tomato sauce B.5</t>
  </si>
  <si>
    <t>Tomato sauce B.6</t>
  </si>
  <si>
    <t>Vegetable Sauce B.1-B.7</t>
  </si>
  <si>
    <t>Cooking chicken B.1</t>
  </si>
  <si>
    <t>Cooking chicken B.2</t>
  </si>
  <si>
    <t>Cooking chicken B.3</t>
  </si>
  <si>
    <t>Cooking chicken B.4</t>
  </si>
  <si>
    <t>Cooking chicken B.5</t>
  </si>
  <si>
    <t>Cooking chicken B.6</t>
  </si>
  <si>
    <t>Cooking chicken B.7</t>
  </si>
  <si>
    <t>Mushroom sauce B.1</t>
  </si>
  <si>
    <t>Mushroom sauce B.2</t>
  </si>
  <si>
    <t>Mushroom sauce B.3</t>
  </si>
  <si>
    <t>Mushroom sauce B.4</t>
  </si>
  <si>
    <t>Mushroom sauce B.5</t>
  </si>
  <si>
    <t>Mushroom sauce B.6</t>
  </si>
  <si>
    <t>Mushroom sauce B.7</t>
  </si>
  <si>
    <t>Brown stock B.1-B.2</t>
  </si>
  <si>
    <t>Brown stock B.3-B.4</t>
  </si>
  <si>
    <t>Brown stock B.5-B.6</t>
  </si>
  <si>
    <t>Brown stock B.7</t>
  </si>
  <si>
    <t>Mashed potato B.1/1</t>
  </si>
  <si>
    <t>Mashed potato B.1/2</t>
  </si>
  <si>
    <t>Mashed potato B.1/3</t>
  </si>
  <si>
    <t>Mashed potato B.2/1</t>
  </si>
  <si>
    <t>Mashed potato B.2/2</t>
  </si>
  <si>
    <t>Mashed potato B.2/3</t>
  </si>
  <si>
    <t>Mashed potato B.3/1</t>
  </si>
  <si>
    <t>Mashed potato B.3/2</t>
  </si>
  <si>
    <t>Mashed potato B.3/3</t>
  </si>
  <si>
    <t>Mashed potato B.3/4</t>
  </si>
  <si>
    <t>Mashed potato B.4/1</t>
  </si>
  <si>
    <t>Mashed potato B.4/2</t>
  </si>
  <si>
    <t>Mashed potato B.4/3</t>
  </si>
  <si>
    <t>Mashed potato B.5/1</t>
  </si>
  <si>
    <t>Mashed potato B.5/2</t>
  </si>
  <si>
    <t>Mashed potato B.5/3</t>
  </si>
  <si>
    <t>Mashed potato B.6/1</t>
  </si>
  <si>
    <t>Mashed potato B.6/2</t>
  </si>
  <si>
    <t>Mashed potato B.6/3</t>
  </si>
  <si>
    <t>Mashed potato B.7/1</t>
  </si>
  <si>
    <t>Mashed potato B.7/2</t>
  </si>
  <si>
    <t>Steamed pamesan cheese B.1-B.13</t>
  </si>
  <si>
    <t>Nasi Goreng with Ayam Berempah and Spicy Sambal (Bento)</t>
  </si>
  <si>
    <t>Fried chicken B.1</t>
  </si>
  <si>
    <t>Fried chicken B.2(0.5)</t>
  </si>
  <si>
    <t>20/3/2026</t>
  </si>
  <si>
    <t>Mushroom sauce/Garlic chop</t>
  </si>
  <si>
    <t>Mushroom sauce/White onion chop</t>
  </si>
  <si>
    <t>Mushroom Sauce/Tomato  chop</t>
  </si>
  <si>
    <t xml:space="preserve">Mushroom Sauce/Cutting Mushroom </t>
  </si>
  <si>
    <t>Braised Beehoon with Prawn and Fish (Bento)</t>
  </si>
  <si>
    <t>Stir-Fried vegetable/White onion Slice</t>
  </si>
  <si>
    <t>Stir-Fried vegetable/Bok choy cut</t>
  </si>
  <si>
    <t>size 5x30-40 mm</t>
  </si>
  <si>
    <t>Wash Bok choy</t>
  </si>
  <si>
    <t>Rempah marination</t>
  </si>
  <si>
    <t>Cutting fish 4.5 batch</t>
  </si>
  <si>
    <t>Cutting fish 3.5 batch</t>
  </si>
  <si>
    <t>Blanched IQF green pea B.1</t>
  </si>
  <si>
    <t>Blanched IQF green pea B.2</t>
  </si>
  <si>
    <t>Blanched IQF green pea B.3</t>
  </si>
  <si>
    <t>Blanched IQF green pea B.4</t>
  </si>
  <si>
    <t>Blanched IQF green pea B.5</t>
  </si>
  <si>
    <t>Blanched IQF green pea B.6</t>
  </si>
  <si>
    <t>Blanched IQF green pea B.7</t>
  </si>
  <si>
    <t>Blanched IQF green pea B.8</t>
  </si>
  <si>
    <t>Blanched IQF green pea B.9</t>
  </si>
  <si>
    <t>Blanched carrot dice B.1</t>
  </si>
  <si>
    <t>Blanched carrot dice B.2</t>
  </si>
  <si>
    <t>Blanched carrot dice B.3</t>
  </si>
  <si>
    <t>Blanched carrot dice B.4</t>
  </si>
  <si>
    <t>Blanched carrot dice B.5</t>
  </si>
  <si>
    <t>Blanched carrot dice B.6</t>
  </si>
  <si>
    <t>Blanched carrot dice B.7</t>
  </si>
  <si>
    <t>Blanched carrot dice B.8</t>
  </si>
  <si>
    <t>Blanched carrot dice B.9</t>
  </si>
  <si>
    <t>Stir-Fried cabbage B.1-3</t>
  </si>
  <si>
    <t>Stir-Fried cabbage B.4-6</t>
  </si>
  <si>
    <t>Stir-Fried cabbage B.7-9</t>
  </si>
  <si>
    <t>Scramble egg B.1</t>
  </si>
  <si>
    <t>Scramble egg B.2</t>
  </si>
  <si>
    <t>Scramble egg B.3</t>
  </si>
  <si>
    <t>Scramble egg B.4</t>
  </si>
  <si>
    <t>Scramble egg B.5</t>
  </si>
  <si>
    <t>Scramble egg B.6</t>
  </si>
  <si>
    <t>Scramble egg B.7</t>
  </si>
  <si>
    <t>Scramble egg B.8</t>
  </si>
  <si>
    <t>Scramble egg B.9</t>
  </si>
  <si>
    <t>Nasi goreng rice B.6/1</t>
  </si>
  <si>
    <t>Nasi goreng rice B.6/2</t>
  </si>
  <si>
    <t>Nasi goreng rice B.7/1</t>
  </si>
  <si>
    <t>Nasi goreng rice B.7/2</t>
  </si>
  <si>
    <t>Nasi goreng rice B.8/1</t>
  </si>
  <si>
    <t>Nasi goreng rice B.8/2</t>
  </si>
  <si>
    <t>Nasi goreng rice B.9/1</t>
  </si>
  <si>
    <t>Nasi goreng rice B.9/2</t>
  </si>
  <si>
    <t>Brown Stock B.1-2</t>
  </si>
  <si>
    <t>Brown Stock B.3-5</t>
  </si>
  <si>
    <r>
      <t xml:space="preserve">Boiled Potato B.1 </t>
    </r>
    <r>
      <rPr>
        <sz val="16"/>
        <color rgb="FFFF0000"/>
        <rFont val="AngsanaUPC"/>
        <family val="1"/>
      </rPr>
      <t>Lot.080</t>
    </r>
  </si>
  <si>
    <r>
      <t xml:space="preserve">Boiled Potato B.2 </t>
    </r>
    <r>
      <rPr>
        <sz val="16"/>
        <color rgb="FFFF0000"/>
        <rFont val="AngsanaUPC"/>
        <family val="1"/>
      </rPr>
      <t>Lot.080</t>
    </r>
  </si>
  <si>
    <r>
      <t xml:space="preserve">Boiled Potato B.3 </t>
    </r>
    <r>
      <rPr>
        <sz val="16"/>
        <color rgb="FFFF0000"/>
        <rFont val="AngsanaUPC"/>
        <family val="1"/>
      </rPr>
      <t>Lot.080</t>
    </r>
  </si>
  <si>
    <r>
      <t xml:space="preserve">Boiled Potato B.4 </t>
    </r>
    <r>
      <rPr>
        <sz val="16"/>
        <color rgb="FFFF0000"/>
        <rFont val="AngsanaUPC"/>
        <family val="1"/>
      </rPr>
      <t>Lot.080</t>
    </r>
  </si>
  <si>
    <r>
      <t xml:space="preserve">Boiled Potato B.5 </t>
    </r>
    <r>
      <rPr>
        <sz val="16"/>
        <color rgb="FFFF0000"/>
        <rFont val="AngsanaUPC"/>
        <family val="1"/>
      </rPr>
      <t>Lot.080</t>
    </r>
  </si>
  <si>
    <r>
      <t xml:space="preserve">Boiled Potato B.6 </t>
    </r>
    <r>
      <rPr>
        <sz val="16"/>
        <color rgb="FFFF0000"/>
        <rFont val="AngsanaUPC"/>
        <family val="1"/>
      </rPr>
      <t>Lot.080</t>
    </r>
  </si>
  <si>
    <r>
      <t xml:space="preserve">Boiled Potato B.7 </t>
    </r>
    <r>
      <rPr>
        <sz val="16"/>
        <color rgb="FFFF0000"/>
        <rFont val="AngsanaUPC"/>
        <family val="1"/>
      </rPr>
      <t>Lot.080</t>
    </r>
  </si>
  <si>
    <t>Blanched red chili B.1</t>
  </si>
  <si>
    <t>Blanched red chili B.2</t>
  </si>
  <si>
    <t>Blanched red chili B.3</t>
  </si>
  <si>
    <t>Blanched red chili B.4</t>
  </si>
  <si>
    <t>Blanched red chili B.5</t>
  </si>
  <si>
    <t>Blanched red chili B.6</t>
  </si>
  <si>
    <t>Blanched red chili B.7</t>
  </si>
  <si>
    <t>Blanched red chili B.8</t>
  </si>
  <si>
    <t>Stir-Fried vegetable 1/1</t>
  </si>
  <si>
    <t>Stir-Fried vegetable 1/2</t>
  </si>
  <si>
    <t>Stir-Fried vegetable 2/1</t>
  </si>
  <si>
    <t>Stir-Fried vegetable 2/2</t>
  </si>
  <si>
    <t>Stir-Fried vegetable 3/1</t>
  </si>
  <si>
    <t>Stir-Fried vegetable 3/2</t>
  </si>
  <si>
    <t>Stir-Fried vegetable 4/1</t>
  </si>
  <si>
    <t>Stir-Fried vegetable 4/2</t>
  </si>
  <si>
    <t>Stir-Fried vegetable 5/1</t>
  </si>
  <si>
    <t>Stir-Fried vegetable 5/2</t>
  </si>
  <si>
    <t>Stir-Fried vegetable 6/1</t>
  </si>
  <si>
    <t>Stir-Fried vegetable 6/2</t>
  </si>
  <si>
    <t>Stir-Fried vegetable 7/1</t>
  </si>
  <si>
    <t>Stir-Fried vegetable 7/2</t>
  </si>
  <si>
    <t>Stir-Fried vegetable 8/1</t>
  </si>
  <si>
    <t>Stir-Fried vegetable 8/2</t>
  </si>
  <si>
    <t xml:space="preserve"> Baked Cheese Omelette with Chicken Patties, Paprika  Potatoes and Creamed Spinach</t>
  </si>
  <si>
    <t>Fried potato B.1</t>
  </si>
  <si>
    <t>Fried potato B.2</t>
  </si>
  <si>
    <t>Steam fish 6/1</t>
  </si>
  <si>
    <t>Steam fish 6/2</t>
  </si>
  <si>
    <t>Steam fish 6/3</t>
  </si>
  <si>
    <t>Steam fish 7/1</t>
  </si>
  <si>
    <t>Steam fish 7/2</t>
  </si>
  <si>
    <t>Steam fish 7/3</t>
  </si>
  <si>
    <t>Steam fish 8/1</t>
  </si>
  <si>
    <t>Steam fish 8/2</t>
  </si>
  <si>
    <t>Steam fish 8/3</t>
  </si>
  <si>
    <t>Steam fish 8/4</t>
  </si>
  <si>
    <t>Steam fish 8/5</t>
  </si>
  <si>
    <t>Vegetable Sauce/Parsley Chop 5 B.</t>
  </si>
  <si>
    <t>Blending Potato 5 B.</t>
  </si>
  <si>
    <t>Soy garlic sauce/Garlic Chop 8 B.</t>
  </si>
  <si>
    <t>Soy garlic sauce/Ginger Chop 8 B.</t>
  </si>
  <si>
    <t>Beenoon sauce/Garlic Chop 8 B.</t>
  </si>
  <si>
    <t>Spring onion Ginger oil 10 B.</t>
  </si>
  <si>
    <t>Stir Fried Veg./Chinese Cabbage Cut 8 B.</t>
  </si>
  <si>
    <t>5x30-40 mm</t>
  </si>
  <si>
    <t>Stir Fried Veg./White onion Slice 2 B.</t>
  </si>
  <si>
    <t>10-12 mm</t>
  </si>
  <si>
    <t>Blanched Red Chili Cut 8 B.</t>
  </si>
  <si>
    <t>Sambal sauce/Garlic Chop 9 B.</t>
  </si>
  <si>
    <t>Sambal sauce/Red Onion Chop 9 B.</t>
  </si>
  <si>
    <t>Sambal sauce/Dry red Chili Paste 9 B.</t>
  </si>
  <si>
    <t>Stir Fried Cabbage/Cabbage Cut 9 B.</t>
  </si>
  <si>
    <t>10x10 mm</t>
  </si>
  <si>
    <t>Blanched IQF Green Pea/Prepare Green Pea  9 B.</t>
  </si>
  <si>
    <t>Blanched Carrot/Prepare Carrot  9 B.</t>
  </si>
  <si>
    <t>8x8 mm</t>
  </si>
  <si>
    <t>sambal sauce B.1-B.2</t>
  </si>
  <si>
    <t>sambal sauce B.3-B.4</t>
  </si>
  <si>
    <t>sambal sauce B.5-B.6</t>
  </si>
  <si>
    <t>sambal sauce B.7-B.8</t>
  </si>
  <si>
    <t>sambal sauce B.9</t>
  </si>
  <si>
    <t>Nasi goreng Rice B.1/1</t>
  </si>
  <si>
    <t>Nasi goreng Rice B.1/2</t>
  </si>
  <si>
    <t>Nasi goreng Rice B.2/1</t>
  </si>
  <si>
    <t>Nasi goreng Rice B.2/2</t>
  </si>
  <si>
    <t>Nasi goreng Rice B.3/1</t>
  </si>
  <si>
    <t>Nasi goreng Rice B.3/2</t>
  </si>
  <si>
    <t>Nasi goreng Rice B.4/1</t>
  </si>
  <si>
    <t>Nasi goreng Rice B.4/2</t>
  </si>
  <si>
    <t>Nasi goreng Rice B.5/1</t>
  </si>
  <si>
    <t>Nasi goreng Rice B.5/2</t>
  </si>
  <si>
    <t>Fried chicken B.5</t>
  </si>
  <si>
    <t>Fried chicken B.6</t>
  </si>
  <si>
    <t>Fried chicken B.7</t>
  </si>
  <si>
    <t>Steam fried garlic B.1-B.8</t>
  </si>
  <si>
    <t>Sping onion ginger oil B.1-B.8</t>
  </si>
  <si>
    <t>Soy garlic sauce B.1-B.2</t>
  </si>
  <si>
    <t>Soy garlic sauce B.3-B.4</t>
  </si>
  <si>
    <t>Soy garlic sauce B.5-B.6</t>
  </si>
  <si>
    <t>Soy garlic sauce B.7-B.8</t>
  </si>
  <si>
    <t>Beenoon sauce B.1-B.2</t>
  </si>
  <si>
    <t>Beenoon sauce B.3-B.4</t>
  </si>
  <si>
    <t>Beenoon sauce B.5-B.6</t>
  </si>
  <si>
    <t>Beenoon sauce B.7-B.8</t>
  </si>
  <si>
    <t>Vegetable Sauce B.1-B.5</t>
  </si>
  <si>
    <t>19/3/2026</t>
  </si>
  <si>
    <t>Stir-Fried vegetable/Chineese cabbage cut</t>
  </si>
  <si>
    <t>Galangal cut</t>
  </si>
  <si>
    <t>Lemon glass cut</t>
  </si>
  <si>
    <t>Ginger cut</t>
  </si>
  <si>
    <t>Prepare Carrot</t>
  </si>
  <si>
    <t>Wash chye sim</t>
  </si>
  <si>
    <t>Soak Dry red chili</t>
  </si>
  <si>
    <t>Blanched spring onion B.8 (0.5 batch)</t>
  </si>
  <si>
    <t>Blanched carrot dice B.8 (0.5 batch)</t>
  </si>
  <si>
    <t>Blanched IQF green pea B.8 (0.5 batch)</t>
  </si>
  <si>
    <t>Scramble egg B.7 (1.5 batch)</t>
  </si>
  <si>
    <t>Stir-Fried cabbage B.1-4</t>
  </si>
  <si>
    <t>Stir-Fried cabbage B.5-7.5</t>
  </si>
  <si>
    <t>Nasi goreng rice B.7/3</t>
  </si>
  <si>
    <t>Lot. 079</t>
  </si>
  <si>
    <t>Fried chicken B.2</t>
  </si>
  <si>
    <t>Fried chicken B.3</t>
  </si>
  <si>
    <t>Fried chicken B.4</t>
  </si>
  <si>
    <t>Brown Stock B.3-4</t>
  </si>
  <si>
    <t>Blanched Pumpkin  B.1</t>
  </si>
  <si>
    <t>Blanched Pumpkin  B.2</t>
  </si>
  <si>
    <t>Blanched Pumpkin  B.3</t>
  </si>
  <si>
    <t>Blanched Pumpkin  B.4</t>
  </si>
  <si>
    <t>Boiled Potato B.1</t>
  </si>
  <si>
    <t>Boiled Potato B.2</t>
  </si>
  <si>
    <t>Boiled Potato B.3</t>
  </si>
  <si>
    <t>Boiled Potato B.4</t>
  </si>
  <si>
    <t>Boiled Potato B.5</t>
  </si>
  <si>
    <t>Stir Fried Chicken B.5/1</t>
  </si>
  <si>
    <t>Stir Fried Chicken B.5/2</t>
  </si>
  <si>
    <t>Stir Fried Chicken B.6/1</t>
  </si>
  <si>
    <t>Stir Fried Chicken B.6/2</t>
  </si>
  <si>
    <t>Stir Fried Chicken B.7/1</t>
  </si>
  <si>
    <t>Stir Fried Chicken B.7/2</t>
  </si>
  <si>
    <t>Stir Fried Chicken B.8/1</t>
  </si>
  <si>
    <t>Stir Fried Chicken B.8/2</t>
  </si>
  <si>
    <t>Stir Fried Chicken B.9/1</t>
  </si>
  <si>
    <t>Stir Fried Chicken B.9/2</t>
  </si>
  <si>
    <t>Stir Fried Chicken B.10/1</t>
  </si>
  <si>
    <t>Stir Fried Chicken B.10/2</t>
  </si>
  <si>
    <t>Cooked chicken B.5/1</t>
  </si>
  <si>
    <t>Cooked chicken B.5/2</t>
  </si>
  <si>
    <t>Cooked chicken B.6/1</t>
  </si>
  <si>
    <t>Cooked chicken B.6/2</t>
  </si>
  <si>
    <t>Cooked chicken B.7/1</t>
  </si>
  <si>
    <t>Cooked chicken B.7/2</t>
  </si>
  <si>
    <t>Cooked chicken B.8/1</t>
  </si>
  <si>
    <t>Cooked chicken B.8/2</t>
  </si>
  <si>
    <t>Cooked chicken B.9/1</t>
  </si>
  <si>
    <t>Cooked chicken B.9/2</t>
  </si>
  <si>
    <t>Cooked chicken B.10/1</t>
  </si>
  <si>
    <t>Cooked chicken B.10/2</t>
  </si>
  <si>
    <t>Steam fish 2/4</t>
  </si>
  <si>
    <t>Sambal sauce/Garlic Chop 7.5 B.</t>
  </si>
  <si>
    <t>Sambal sauce/Red Onion Chop 7.5 B.</t>
  </si>
  <si>
    <t>Sambal sauce/Dry red Chili Paste 7.5 B.</t>
  </si>
  <si>
    <t>Stir Fried Cabbage/Cabbage Cut 7.5 B.</t>
  </si>
  <si>
    <t>Blanched IQF Green Pea/Prepare Green Pea  7.5 B.</t>
  </si>
  <si>
    <t>Blanched Carrot/Prepare Carrot  7.5 B.</t>
  </si>
  <si>
    <t xml:space="preserve">Pot Roasted Chicken with Mushroom, Mashed Potatoes, Roasted Pumpkin and Carrots </t>
  </si>
  <si>
    <t>Vegetable Sauce/Parsley Chop 4 B.</t>
  </si>
  <si>
    <t>Spring onion oil/Spring onion Cut 10 B.</t>
  </si>
  <si>
    <t>Spring onion braising sauce/Garlic Chop 10 B.</t>
  </si>
  <si>
    <t>Spring onion braising sauce/Ginger Chop 10 B.</t>
  </si>
  <si>
    <t>Noodles Sauce/Garlic Chop 10 B.</t>
  </si>
  <si>
    <t>Blanched Spring onion/Spring onion Cut 10 B.</t>
  </si>
  <si>
    <t>Fried chicken B.8(0.5)</t>
  </si>
  <si>
    <t>Sambal sauce B.1-B.2</t>
  </si>
  <si>
    <t>Sambal sauce B.3-B.4</t>
  </si>
  <si>
    <t>Sambal sauce B.5-B.6</t>
  </si>
  <si>
    <t>Sambal sauce B.7-B.8(0.5)</t>
  </si>
  <si>
    <t>Nasi goreng rice B.1/1</t>
  </si>
  <si>
    <t>Nasi goreng rice B.1/2</t>
  </si>
  <si>
    <t>Nasi goreng rice B.2/1</t>
  </si>
  <si>
    <t>Nasi goreng rice B.2/2</t>
  </si>
  <si>
    <t>Nasi goreng rice B.3/1</t>
  </si>
  <si>
    <t>Nasi goreng rice B.3/2</t>
  </si>
  <si>
    <t>Nasi goreng rice B.4/1</t>
  </si>
  <si>
    <t>Nasi goreng rice B.4/2</t>
  </si>
  <si>
    <t>Nasi goreng rice B.5/1</t>
  </si>
  <si>
    <t>Nasi goreng rice B.5/2</t>
  </si>
  <si>
    <t>Vegetable Sauce B.1-B.4</t>
  </si>
  <si>
    <t>Spring onion oil B.1-B.10</t>
  </si>
  <si>
    <t>Spring onion braising sauce B.1-B.2</t>
  </si>
  <si>
    <t>Spring onion braising sauce B.3-B.4</t>
  </si>
  <si>
    <t>Spring onion braising sauce B.5-B.6</t>
  </si>
  <si>
    <t>Spring onion braising sauce B.7-B.8</t>
  </si>
  <si>
    <t>Spring onion braising sauce B.9-B.10</t>
  </si>
  <si>
    <t>Noodie sauce B.1</t>
  </si>
  <si>
    <t>Noodie sauce B.2</t>
  </si>
  <si>
    <t>Noodie sauce B.3</t>
  </si>
  <si>
    <t>Noodie sauce B.4</t>
  </si>
  <si>
    <t>Noodie sauce B.5</t>
  </si>
  <si>
    <t>Noodie sauce B.6</t>
  </si>
  <si>
    <t>Noodie sauce B.7</t>
  </si>
  <si>
    <t>Noodie sauce B.8</t>
  </si>
  <si>
    <t>Noodie sauce B.9</t>
  </si>
  <si>
    <t>Noodie sauce B.10</t>
  </si>
  <si>
    <t>Stir Fried Chicken B.1/1</t>
  </si>
  <si>
    <t>Stir Fried Chicken B.1/2</t>
  </si>
  <si>
    <t>Stir Fried Chicken B.2/1</t>
  </si>
  <si>
    <t>Stir Fried Chicken B.2/2</t>
  </si>
  <si>
    <t>Stir Fried Chicken B.3/1</t>
  </si>
  <si>
    <t>Stir Fried Chicken B.3/2</t>
  </si>
  <si>
    <t>Stir Fried Chicken B.4/1</t>
  </si>
  <si>
    <t>Stir Fried Chicken B.4/2</t>
  </si>
  <si>
    <t>Cooked chicken B.1/1</t>
  </si>
  <si>
    <t>Cooked chicken B.1/2</t>
  </si>
  <si>
    <t>Cooked chicken B.2/1</t>
  </si>
  <si>
    <t>Cooked chicken B.2/2</t>
  </si>
  <si>
    <t>Cooked chicken B.3/1</t>
  </si>
  <si>
    <t>Cooked chicken B.3/2</t>
  </si>
  <si>
    <t>Cooked chicken B.4/1</t>
  </si>
  <si>
    <t>Cooked chicken B.4/2</t>
  </si>
  <si>
    <t>18/3/2026</t>
  </si>
  <si>
    <t>Baked Cheese Omelette with Chicken Patties, Paprika Potatoes and Creamed Spinach</t>
  </si>
  <si>
    <t>Tomato Sauce/Garlic chop</t>
  </si>
  <si>
    <t>size 2-3 mm</t>
  </si>
  <si>
    <t>Tomato Sauce/White onion chop</t>
  </si>
  <si>
    <t>Creamy Spinach/Spinach cut</t>
  </si>
  <si>
    <t>size 10 mm</t>
  </si>
  <si>
    <t>Fried Rice with Vegetable &amp; Ginger Spring Onion Chicken (Bento)</t>
  </si>
  <si>
    <t>Blanched spring onion/ spring onion cut</t>
  </si>
  <si>
    <t>Prepare Green pea</t>
  </si>
  <si>
    <t>Prepare Ginger julienne</t>
  </si>
  <si>
    <t>Stir-Fried cabbage/ cabbage cut</t>
  </si>
  <si>
    <t>Support Cleanning equipment</t>
  </si>
  <si>
    <t>Creamy Spinach B.1</t>
  </si>
  <si>
    <t>Creamy Spinach B.2</t>
  </si>
  <si>
    <t>Creamy Spinach B.3</t>
  </si>
  <si>
    <t>Creamy Spinach B.4</t>
  </si>
  <si>
    <t>Creamy Spinach B.5</t>
  </si>
  <si>
    <t>Creamy Spinach B.6</t>
  </si>
  <si>
    <t>Creamy Spinach B.7</t>
  </si>
  <si>
    <t>Creamy Spinach B.8</t>
  </si>
  <si>
    <t>Creamy Spinach B.9</t>
  </si>
  <si>
    <t>Blanched IQF green pea B.4 (0.5 batch)</t>
  </si>
  <si>
    <t>Blanched carrot dice B.4 (0.5 batch)</t>
  </si>
  <si>
    <t>Blanched Ginger julienne B.1</t>
  </si>
  <si>
    <t>Blanched Ginger julienne B.2</t>
  </si>
  <si>
    <t>Blanched Ginger julienne B.3</t>
  </si>
  <si>
    <t>Blanched Ginger julienne B.4(0.5 batch)</t>
  </si>
  <si>
    <t>Steam spring onion 3.5 batch</t>
  </si>
  <si>
    <t>Stir-Fried cabbage B.1 (3.5 batch)</t>
  </si>
  <si>
    <t>Scrambled egg B.1</t>
  </si>
  <si>
    <t>Scrambled egg B.2</t>
  </si>
  <si>
    <t>Scrambled egg B.3 (1.5 batch)</t>
  </si>
  <si>
    <t>Steam seasoning rice 1/1</t>
  </si>
  <si>
    <t>Steam seasoning rice 1/2</t>
  </si>
  <si>
    <t>Steam seasoning rice 1/3</t>
  </si>
  <si>
    <t>Steam seasoning rice 2/1</t>
  </si>
  <si>
    <t>Steam seasoning rice 2/2</t>
  </si>
  <si>
    <t>Steam seasoning rice 2/3</t>
  </si>
  <si>
    <t>Steam seasoning rice 3/1</t>
  </si>
  <si>
    <t>Steam seasoning rice 3/2</t>
  </si>
  <si>
    <t>Steam seasoning rice 3/3</t>
  </si>
  <si>
    <t>Steam seasoning rice 3/4</t>
  </si>
  <si>
    <t>Steam fish 4/4</t>
  </si>
  <si>
    <t>Mee Siam</t>
  </si>
  <si>
    <t>Mee Siam Gravy B.1</t>
  </si>
  <si>
    <t>Mee Siam Goreng</t>
  </si>
  <si>
    <t>Shedded Egg B.1</t>
  </si>
  <si>
    <t>Baked dry Shimp B.1</t>
  </si>
  <si>
    <t>Stir fired Dry shimp powder  B.1</t>
  </si>
  <si>
    <t>Mee Siam Goreng B.1</t>
  </si>
  <si>
    <t>Blanched fried tofu B.1</t>
  </si>
  <si>
    <t>Blanched Rice Noodle mix with oil B.1</t>
  </si>
  <si>
    <t>Blanched Chives B.1</t>
  </si>
  <si>
    <t>Blanched Bean sprout B.1</t>
  </si>
  <si>
    <t>Lot.078</t>
  </si>
  <si>
    <t xml:space="preserve">Baked Cheese Omelette with Chicken Patties, Paprika Potatoes and Creamed Spinach </t>
  </si>
  <si>
    <t>Creamy Spinach/Prepare Spinach 9 B.</t>
  </si>
  <si>
    <t>Cooking มาช่วย 5 คน 04.00-05.30</t>
  </si>
  <si>
    <t>Creamy Spinach/Spinach Cut</t>
  </si>
  <si>
    <t>Tomato Sauce/Garlic Chop 9 B.</t>
  </si>
  <si>
    <t>Tomato Sauce/White onion Chop 9 B.</t>
  </si>
  <si>
    <t>Tomato Sauce/Tomato Chop 9 B.</t>
  </si>
  <si>
    <t>Tomato Sauce/Open a can Tomato 9 B.</t>
  </si>
  <si>
    <t>Paprika Sauce/Parsley Chop 9 B.</t>
  </si>
  <si>
    <t>Paprika Sauce/White Onion Slice 9 B.</t>
  </si>
  <si>
    <t>Spring onion oil/Spring onion Cut 9 B.</t>
  </si>
  <si>
    <t>Spring onion braising sauce/Garlic Chop 9 B.</t>
  </si>
  <si>
    <t>Spring onion braising sauce/Ginger Chop 9 B.</t>
  </si>
  <si>
    <t>Stir Fried Veg./Chinese Cabbage Slice Cut 9 B.</t>
  </si>
  <si>
    <t>1-1.2 mm</t>
  </si>
  <si>
    <t>Stir Fried Veg./Prepare Carrot 9 B.</t>
  </si>
  <si>
    <t>Blanched Spring onion/Spring onion Cut 9 B.</t>
  </si>
  <si>
    <t>Ginger spring onion oil 3.5 B.</t>
  </si>
  <si>
    <t>Ginger spring onion sauce/Spring onion Cut 3.5 B.</t>
  </si>
  <si>
    <t>Ginger spring onion sauce/Garlic Chop 3.5 B.</t>
  </si>
  <si>
    <t>Ginger spring onion sauce/Ginger Chop 3.5 B.</t>
  </si>
  <si>
    <t>Paprika Sauce B.1-B9</t>
  </si>
  <si>
    <t>Tomato Sauce B.1-B.3</t>
  </si>
  <si>
    <t>Tomato Sauce B.4-B.6</t>
  </si>
  <si>
    <t>Tomato Sauce B.7-B.9</t>
  </si>
  <si>
    <t>Spring onion oil B.1-B.9</t>
  </si>
  <si>
    <t>Spring onion braising sauce B.9</t>
  </si>
  <si>
    <t>Stir Fried Chicken B.11/1</t>
  </si>
  <si>
    <t>Stir Fried Chicken B.11/2</t>
  </si>
  <si>
    <t>Cooked chicken B.11/1</t>
  </si>
  <si>
    <t>Cooked chicken B.11/2</t>
  </si>
  <si>
    <t>Cooked chicken B.1</t>
  </si>
  <si>
    <t>Cooked chicken B.2</t>
  </si>
  <si>
    <t>Cooked chicken B.3</t>
  </si>
  <si>
    <r>
      <rPr>
        <sz val="16"/>
        <color rgb="FF000000"/>
        <rFont val="AngsanaUPC"/>
        <family val="1"/>
      </rPr>
      <t>Cooked chicken B.4</t>
    </r>
    <r>
      <rPr>
        <sz val="16"/>
        <color rgb="FFFF0000"/>
        <rFont val="AngsanaUPC"/>
        <family val="1"/>
      </rPr>
      <t>(0.5)</t>
    </r>
  </si>
  <si>
    <t>Ginger spring onion oil B.1-B.3.4</t>
  </si>
  <si>
    <t>Ginger spring onion sauce B.1-B.3.5</t>
  </si>
  <si>
    <t>17/3/2026</t>
  </si>
  <si>
    <t>Scrambled Egg with Cheese, Hash Brown, Spinach Corn, Sausage, and Baked Beans</t>
  </si>
  <si>
    <t>Spinach corn/Prepare Spinach</t>
  </si>
  <si>
    <t>Spinach corn/Spinach cut</t>
  </si>
  <si>
    <t>Cheddar Cheese cut</t>
  </si>
  <si>
    <t>Mossarlla Cheese cut</t>
  </si>
  <si>
    <t>Cheddar Cheese slice</t>
  </si>
  <si>
    <t>Mossarlla Cheese slice</t>
  </si>
  <si>
    <t>Creamy Spinach/Prepare Spinach</t>
  </si>
  <si>
    <t>Tomato Sauce/Tomato chop</t>
  </si>
  <si>
    <t>Tomato Sauce/Open a can Tomato</t>
  </si>
  <si>
    <t>Spring onion Noodle</t>
  </si>
  <si>
    <t>Chye sim cut</t>
  </si>
  <si>
    <t>Forming chicken patties 4 batch</t>
  </si>
  <si>
    <t>Forming chicken patties 1 batch</t>
  </si>
  <si>
    <t>Baked chicken patties 5 Batch</t>
  </si>
  <si>
    <t>Boiled Penne Pasta 15/1</t>
  </si>
  <si>
    <t>Boiled Penne Pasta 15/2</t>
  </si>
  <si>
    <t>Boiled Penne Pasta 16/1</t>
  </si>
  <si>
    <t>Boiled Penne Pasta 16/2</t>
  </si>
  <si>
    <t>Boiled Penne Pasta 17/1</t>
  </si>
  <si>
    <t>Boiled Penne Pasta 17/2</t>
  </si>
  <si>
    <t>Boiled Penne Pasta 17/3</t>
  </si>
  <si>
    <t>Chicken ragout sauce B.15</t>
  </si>
  <si>
    <t>Chicken ragout sauce B.16</t>
  </si>
  <si>
    <t>Bechamel sauce B.1-3</t>
  </si>
  <si>
    <t>Bechamel sauce B.4-6</t>
  </si>
  <si>
    <t>Bechamel sauce B.7-9</t>
  </si>
  <si>
    <t>Bechamel sauce B.10-12</t>
  </si>
  <si>
    <t>Scrambled egg plain 1/1</t>
  </si>
  <si>
    <t>Scrambled egg plain 1/2</t>
  </si>
  <si>
    <t>Scrambled egg plain 2/1</t>
  </si>
  <si>
    <t>Scrambled egg plain 2/2</t>
  </si>
  <si>
    <t>Scrambled egg plain 3/1</t>
  </si>
  <si>
    <t>Scrambled egg plain 3/2</t>
  </si>
  <si>
    <t>Scrambled egg plain 4/1</t>
  </si>
  <si>
    <t>Scrambled egg plain 4/2</t>
  </si>
  <si>
    <t>Scrambled egg plain 5/1</t>
  </si>
  <si>
    <t>Scrambled egg plain 5/2</t>
  </si>
  <si>
    <t>Scrambled egg plain 6/1</t>
  </si>
  <si>
    <t>Scrambled egg plain 6/2</t>
  </si>
  <si>
    <t>Scrambled egg plain 7/1</t>
  </si>
  <si>
    <t>Scrambled egg plain 7/2</t>
  </si>
  <si>
    <t>Scrambled egg plain 8/1</t>
  </si>
  <si>
    <t>Scrambled egg plain 8/2</t>
  </si>
  <si>
    <t>Scrambled egg plain 9/1</t>
  </si>
  <si>
    <t>Scrambled egg plain 9/2</t>
  </si>
  <si>
    <t>Scrambled egg plain 10/1</t>
  </si>
  <si>
    <t>Scrambled egg plain 10/2</t>
  </si>
  <si>
    <t>Scrambled egg plain 11/1</t>
  </si>
  <si>
    <t>Scrambled egg plain 11/2</t>
  </si>
  <si>
    <t>Scrambled egg plain 12/1</t>
  </si>
  <si>
    <t>Scrambled egg plain 12/2</t>
  </si>
  <si>
    <t>Fried hasbrown B.13</t>
  </si>
  <si>
    <t>Spinach corn B.5</t>
  </si>
  <si>
    <t>Spinach corn B.6</t>
  </si>
  <si>
    <t>Spinach corn B.7</t>
  </si>
  <si>
    <t>Spinach corn B.8</t>
  </si>
  <si>
    <t>Spinach corn B.9</t>
  </si>
  <si>
    <t>Spinach corn B.10</t>
  </si>
  <si>
    <t>Spinach corn B.11</t>
  </si>
  <si>
    <r>
      <t xml:space="preserve">Spinach corn B.12 </t>
    </r>
    <r>
      <rPr>
        <sz val="16"/>
        <color rgb="FFFF0000"/>
        <rFont val="AngsanaUPC"/>
        <family val="1"/>
      </rPr>
      <t>(1.5batch)</t>
    </r>
  </si>
  <si>
    <r>
      <t xml:space="preserve">Fried IQF potato B.1  </t>
    </r>
    <r>
      <rPr>
        <sz val="16"/>
        <color rgb="FFFF0000"/>
        <rFont val="AngsanaUPC"/>
        <family val="1"/>
      </rPr>
      <t>(Lot.077)</t>
    </r>
  </si>
  <si>
    <r>
      <t xml:space="preserve">Fried IQF potato B.2  </t>
    </r>
    <r>
      <rPr>
        <sz val="16"/>
        <color rgb="FFFF0000"/>
        <rFont val="AngsanaUPC"/>
        <family val="1"/>
      </rPr>
      <t>(Lot.077)</t>
    </r>
  </si>
  <si>
    <r>
      <t xml:space="preserve">Fried IQF potato B.3  </t>
    </r>
    <r>
      <rPr>
        <sz val="16"/>
        <color rgb="FFFF0000"/>
        <rFont val="AngsanaUPC"/>
        <family val="1"/>
      </rPr>
      <t>(Lot.077)</t>
    </r>
  </si>
  <si>
    <t>Paprika Sauce B.1-2</t>
  </si>
  <si>
    <t>Tomato Sauce B.1-2</t>
  </si>
  <si>
    <t>Chicken Patties B.1</t>
  </si>
  <si>
    <t>Chicken Patties B.2</t>
  </si>
  <si>
    <t>Chicken Patties B.3</t>
  </si>
  <si>
    <t>Chicken Patties B.4</t>
  </si>
  <si>
    <t>Chicken Patties B.5</t>
  </si>
  <si>
    <t>Trial Run : Laksa Noodle</t>
  </si>
  <si>
    <t>Laksa Sauce B.1</t>
  </si>
  <si>
    <t>Blanched Kha nom jeen B.1</t>
  </si>
  <si>
    <t>Trial Run : Beehoon Mee Soto</t>
  </si>
  <si>
    <t>Stock Chicken (Soto Ayam) B.1</t>
  </si>
  <si>
    <t>Cooked Chicken Soto B.1</t>
  </si>
  <si>
    <t>Sambal Soto Sauce (Kicap)</t>
  </si>
  <si>
    <r>
      <t>Blanched Rice Noodle</t>
    </r>
    <r>
      <rPr>
        <sz val="16"/>
        <color rgb="FFFF0000"/>
        <rFont val="AngsanaUPC"/>
        <family val="1"/>
      </rPr>
      <t xml:space="preserve"> (Erawan)</t>
    </r>
  </si>
  <si>
    <r>
      <t xml:space="preserve">Blanched Rice Noodle </t>
    </r>
    <r>
      <rPr>
        <sz val="16"/>
        <color rgb="FFFF0000"/>
        <rFont val="AngsanaUPC"/>
        <family val="1"/>
      </rPr>
      <t xml:space="preserve"> (Wei Wei)</t>
    </r>
  </si>
  <si>
    <t>Blanched Bean Sprout</t>
  </si>
  <si>
    <t>Blanched Thai Cerely</t>
  </si>
  <si>
    <t>Fried Onion</t>
  </si>
  <si>
    <t>Chicken ragout Sauce/Garlic 16 B.</t>
  </si>
  <si>
    <t>Chicken ragout Sauce/White Onion 16 B.</t>
  </si>
  <si>
    <t>Chicken ragout Sauce/Prepare Mushroom 16 B.</t>
  </si>
  <si>
    <t>Chicken ragout Sauce/Mushroom Cut 16 B.</t>
  </si>
  <si>
    <t>Baked Carrot/Prepare Carrot 16 B.</t>
  </si>
  <si>
    <t>Baked Beans/White Onion Dice 12 B.</t>
  </si>
  <si>
    <t>Tomato Sauce/White Onion 12 B.</t>
  </si>
  <si>
    <t>Tomato Sauce/Garlic 12 B.</t>
  </si>
  <si>
    <t>Tomato Sauce/Open Tomto</t>
  </si>
  <si>
    <t>Tomato Sauce/Tomato Chop 12 B.</t>
  </si>
  <si>
    <t>Spinach Corn/White Onion Dice 12 B.</t>
  </si>
  <si>
    <t>Tomato concasse for patties/Garlic  5 B.</t>
  </si>
  <si>
    <t>Tomato concasse for patties/White Onion  5 B.</t>
  </si>
  <si>
    <t>Tomato concasse for patties/Tomato Chop 5 B.</t>
  </si>
  <si>
    <t>Tomato concasse for patties/Italian Chop 5 B.</t>
  </si>
  <si>
    <t>Steam parasley B.1-B.16</t>
  </si>
  <si>
    <t>Baked Carrot B.14</t>
  </si>
  <si>
    <t>Baked Carrot B.15</t>
  </si>
  <si>
    <t>Baked Carrot B.16</t>
  </si>
  <si>
    <t>Chicken ragout sauce B.7</t>
  </si>
  <si>
    <t>Chicken ragout sauce B.8</t>
  </si>
  <si>
    <t>Chicken ragout sauce B.9</t>
  </si>
  <si>
    <t>Chicken ragout sauce B.10</t>
  </si>
  <si>
    <t>Chicken ragout sauce B.11</t>
  </si>
  <si>
    <t>Chicken ragout sauce B.12</t>
  </si>
  <si>
    <t>Chicken ragout sauce B.13</t>
  </si>
  <si>
    <t>Chicken ragout sauce B.14</t>
  </si>
  <si>
    <t>Western grill chicken B.15</t>
  </si>
  <si>
    <t>Western grill chicken B.16</t>
  </si>
  <si>
    <t>Western grill chicken B.17</t>
  </si>
  <si>
    <t>Fried hasbrown B.1</t>
  </si>
  <si>
    <t>Fried hasbrown B.2</t>
  </si>
  <si>
    <t>Fried hasbrown B.3</t>
  </si>
  <si>
    <t>Fried hasbrown B.4</t>
  </si>
  <si>
    <t>Fried hasbrown B.5</t>
  </si>
  <si>
    <t>Fried hasbrown B.6</t>
  </si>
  <si>
    <t>Fried hasbrown B.7</t>
  </si>
  <si>
    <t>Fried hasbrown B.8</t>
  </si>
  <si>
    <t>Fried hasbrown B.9</t>
  </si>
  <si>
    <t>Fried hasbrown B.10(0.3)</t>
  </si>
  <si>
    <t>Baked chicken sausage B.1</t>
  </si>
  <si>
    <t>Baked chicken sausage B.2</t>
  </si>
  <si>
    <t>Baked chicken sausage B.3</t>
  </si>
  <si>
    <t>Baked chicken sausage B.4</t>
  </si>
  <si>
    <t>Baked chicken sausage B.5</t>
  </si>
  <si>
    <t>Baked chicken sausage B.6</t>
  </si>
  <si>
    <t>Baked chicken sausage B.7</t>
  </si>
  <si>
    <t>Baked chicken sausage B.8</t>
  </si>
  <si>
    <t>Baked chicken sausage B.9</t>
  </si>
  <si>
    <t>Baked chicken sausage B.10</t>
  </si>
  <si>
    <t>Baked chicken sausage B.11</t>
  </si>
  <si>
    <t>Baked chicken sausage B.12</t>
  </si>
  <si>
    <t>Baked chicken sausage B.13(0.5)</t>
  </si>
  <si>
    <t>Baked beans sauce B.1-B.2</t>
  </si>
  <si>
    <t>Baked beans sauce B.3-B.4</t>
  </si>
  <si>
    <t>Baked beans sauce B.5-B.6</t>
  </si>
  <si>
    <t>Baked beans sauce B.7-B.8</t>
  </si>
  <si>
    <t>Baked beans sauce B.9-B.10</t>
  </si>
  <si>
    <t>Baked beans sauce B.11-B.12</t>
  </si>
  <si>
    <t>Tomato concasse for patties B.1-B.5</t>
  </si>
  <si>
    <t>16/03/26</t>
  </si>
  <si>
    <t>Sweet &amp; Sour Fish, Fried Rice and Oriental Vegetable</t>
  </si>
  <si>
    <t>Stir-fried vegetable/White onion dice</t>
  </si>
  <si>
    <t>10-12mm</t>
  </si>
  <si>
    <t>Blanched Chye sim/Chye sim cut</t>
  </si>
  <si>
    <t>30-40mm</t>
  </si>
  <si>
    <t>Blanched Spring onion/Spring onion cut</t>
  </si>
  <si>
    <t>5-6mm</t>
  </si>
  <si>
    <t>10mm</t>
  </si>
  <si>
    <t>Prepare Spinach</t>
  </si>
  <si>
    <t>Prepare Spinach cut</t>
  </si>
  <si>
    <t>Braised Noodle with Seafood (Bento)</t>
  </si>
  <si>
    <t>Blanched Bok choy/Bok choy cut</t>
  </si>
  <si>
    <t>Washing Bok choy</t>
  </si>
  <si>
    <t>Baked chicken patties 8 Batch</t>
  </si>
  <si>
    <t>Blanched Chye Sim B.1</t>
  </si>
  <si>
    <t>Blanched Chye Sim B.2</t>
  </si>
  <si>
    <t>Blanched Chye Sim B.3</t>
  </si>
  <si>
    <t>Blanched Chye Sim B.4</t>
  </si>
  <si>
    <t>Blanched Chye Sim B.5</t>
  </si>
  <si>
    <t>Blanched Chye Sim B.6</t>
  </si>
  <si>
    <t>Blanched Chye Sim B.7</t>
  </si>
  <si>
    <t>Blanched Chye Sim B.8</t>
  </si>
  <si>
    <t>Stir Fried Veg.B.1-4</t>
  </si>
  <si>
    <t>Stir Fried Veg.B.5-8</t>
  </si>
  <si>
    <t>Blanched Spring onion B.1</t>
  </si>
  <si>
    <t>Blanched Spring onion B.2</t>
  </si>
  <si>
    <t>Blanched Spring onion B.3</t>
  </si>
  <si>
    <t>Blanched Spring onion B.4</t>
  </si>
  <si>
    <t>Blanched Spring onion B.5</t>
  </si>
  <si>
    <t>Blanched Spring onion B.6</t>
  </si>
  <si>
    <t>Blanched Spring onion B.7</t>
  </si>
  <si>
    <t>Blanched Spring onion B.8</t>
  </si>
  <si>
    <t>Scrambled Egg B.1</t>
  </si>
  <si>
    <t>Scrambled Egg B.2</t>
  </si>
  <si>
    <t>Scrambled Egg B.3</t>
  </si>
  <si>
    <t>Scrambled Egg B.4</t>
  </si>
  <si>
    <t>Scrambled Egg B.5</t>
  </si>
  <si>
    <t>Scrambled Egg B.6</t>
  </si>
  <si>
    <t>Scrambled Egg B.7</t>
  </si>
  <si>
    <t>Scrambled Egg B.8</t>
  </si>
  <si>
    <t>Steam Rice 6/1</t>
  </si>
  <si>
    <t>Steam Rice 6/2</t>
  </si>
  <si>
    <t>Steam Rice 7/1</t>
  </si>
  <si>
    <t>Steam Rice 7/2</t>
  </si>
  <si>
    <t>Steam Rice 8/1</t>
  </si>
  <si>
    <t>Steam Rice 8/2</t>
  </si>
  <si>
    <t>Bechamel Sauce B.1-2</t>
  </si>
  <si>
    <t>Bechamel Sauce B.3-4</t>
  </si>
  <si>
    <t>Fried Hash Brown B.1</t>
  </si>
  <si>
    <t>Fried Hash Brown B.2</t>
  </si>
  <si>
    <t>Fried Hash Brown B.3</t>
  </si>
  <si>
    <t>Fried Hash Brown B.4</t>
  </si>
  <si>
    <t>**รวมเวลาเบรค1ชั่วโมง**</t>
  </si>
  <si>
    <r>
      <rPr>
        <sz val="16"/>
        <color rgb="FF000000"/>
        <rFont val="AngsanaUPC"/>
        <family val="1"/>
      </rPr>
      <t xml:space="preserve">Fried Hash Brown B.1 </t>
    </r>
    <r>
      <rPr>
        <sz val="16"/>
        <color rgb="FFFF0000"/>
        <rFont val="AngsanaUPC"/>
        <family val="1"/>
      </rPr>
      <t>lot.076</t>
    </r>
  </si>
  <si>
    <r>
      <rPr>
        <sz val="16"/>
        <color rgb="FF000000"/>
        <rFont val="AngsanaUPC"/>
        <family val="1"/>
      </rPr>
      <t xml:space="preserve">Fried Hash Brown B.2 </t>
    </r>
    <r>
      <rPr>
        <sz val="16"/>
        <color rgb="FFFF0000"/>
        <rFont val="AngsanaUPC"/>
        <family val="1"/>
      </rPr>
      <t>lot.076</t>
    </r>
  </si>
  <si>
    <r>
      <rPr>
        <sz val="16"/>
        <color rgb="FF000000"/>
        <rFont val="AngsanaUPC"/>
        <family val="1"/>
      </rPr>
      <t xml:space="preserve">Fried Hash Brown B.3 </t>
    </r>
    <r>
      <rPr>
        <sz val="16"/>
        <color rgb="FFFF0000"/>
        <rFont val="AngsanaUPC"/>
        <family val="1"/>
      </rPr>
      <t>(1.2B.) lot.076</t>
    </r>
  </si>
  <si>
    <t>Chicken Patties B.6</t>
  </si>
  <si>
    <t>Chicken Patties B.7</t>
  </si>
  <si>
    <t>Chicken Patties B.8</t>
  </si>
  <si>
    <t xml:space="preserve">Braised Noodle with Seafood (Bento) </t>
  </si>
  <si>
    <t>Blanched Bok Choy B.1</t>
  </si>
  <si>
    <t>(Lot.073)</t>
  </si>
  <si>
    <t>Blanched Bok Choy B.2</t>
  </si>
  <si>
    <t>Blanched Bok Choy B.3</t>
  </si>
  <si>
    <t>Blanched Bok Choy B.4</t>
  </si>
  <si>
    <t>Blanched Bok Choy B.5</t>
  </si>
  <si>
    <t>Blanched Bok Choy B.6</t>
  </si>
  <si>
    <t>Blanched Rice Noodle Mix Oil B.3</t>
  </si>
  <si>
    <t>Blanched Rice Noodle Mix Oil B.4</t>
  </si>
  <si>
    <t>Blanched Rice Noodle Mix Oil B.5</t>
  </si>
  <si>
    <t>Blanched Rice Noodle Mix Oil B.6</t>
  </si>
  <si>
    <t>Sweet &amp; Sour Fish , Fried Rice and Oriental Vegetable issue 6</t>
  </si>
  <si>
    <t>Garlic Paste 8 B.</t>
  </si>
  <si>
    <t>Prepare Ginger</t>
  </si>
  <si>
    <t>Ginger Paste 8 B.</t>
  </si>
  <si>
    <t>Stir-fried vegetable/Cutting Green capsicum 8 B.</t>
  </si>
  <si>
    <t>Stir-fried vegetable/Cutting Red capsicum  8 B.</t>
  </si>
  <si>
    <t>Soak Spinach 4 B.</t>
  </si>
  <si>
    <t>Blanched Chye Sim/Cutting Chye Sim 3 B.</t>
  </si>
  <si>
    <t>30-40 mm.</t>
  </si>
  <si>
    <t>Creamy Chicken and Mushroom with Pasta issue 4</t>
  </si>
  <si>
    <t>Creamy Mushroom/Garlic Chop 9 B.</t>
  </si>
  <si>
    <t>Creamy Mushroom/Onion Chop 9 B.</t>
  </si>
  <si>
    <t>Creamy Mushroom/Mushroom Slice 9 B.</t>
  </si>
  <si>
    <t>Scrambled Egg with Cheese, Hash Brown, Spinach Corn, Sausage, and Baked Beans issue 4</t>
  </si>
  <si>
    <t>Baked Bean/White Onion 4 B.</t>
  </si>
  <si>
    <t>Tomato Sauce/White Onion 4 B.</t>
  </si>
  <si>
    <t>Tomato Sauce/Garlic 4 B.</t>
  </si>
  <si>
    <t>Tomato Sauce/Tomato Chop 4 B.</t>
  </si>
  <si>
    <t>Baked Cheese Omelette with Chicken Patties, Paprika Potatoes and Creamed Spinach ***</t>
  </si>
  <si>
    <t>(Western Chicken Patties 30 gms issue 2)***</t>
  </si>
  <si>
    <t xml:space="preserve"> </t>
  </si>
  <si>
    <t>Steamed parmesan cheese B.1-B.9</t>
  </si>
  <si>
    <t>Westerm grill chicken cube B.1</t>
  </si>
  <si>
    <t>Westerm grill chicken cube B.2</t>
  </si>
  <si>
    <t>Westerm grill chicken cube B.3</t>
  </si>
  <si>
    <t>Westerm grill chicken cube B.4</t>
  </si>
  <si>
    <t>Westerm grill chicken cube B.5</t>
  </si>
  <si>
    <t>Westerm grill chicken cube B.6</t>
  </si>
  <si>
    <t>Westerm grill chicken cube B.7</t>
  </si>
  <si>
    <t>Westerm grill chicken cube B.8</t>
  </si>
  <si>
    <t>Westerm grill chicken cube B.9</t>
  </si>
  <si>
    <t>Westerm grill chicken cube B.10</t>
  </si>
  <si>
    <t>Ceramy mushroom B.1</t>
  </si>
  <si>
    <t>Ceramy mushroom B.2</t>
  </si>
  <si>
    <t>Ceramy mushroom B.3</t>
  </si>
  <si>
    <t>Ceramy mushroom B.4</t>
  </si>
  <si>
    <t>Ceramy mushroom B.5</t>
  </si>
  <si>
    <t>Ceramy mushroom B.6</t>
  </si>
  <si>
    <t>Ceramy mushroom B.7</t>
  </si>
  <si>
    <t>Ceramy mushroom B.8</t>
  </si>
  <si>
    <t>Ceramy mushroom B.9</t>
  </si>
  <si>
    <t xml:space="preserve">Sweet &amp; Sour Fish, Fried Rice and Oriental Vegetable </t>
  </si>
  <si>
    <t>Fried fihs B.1</t>
  </si>
  <si>
    <t>Fried fihs B.2</t>
  </si>
  <si>
    <t>Fried fihs B.3</t>
  </si>
  <si>
    <t>Fried fihs B.4</t>
  </si>
  <si>
    <t>Fried fihs B.5</t>
  </si>
  <si>
    <t>Fried fihs B.6</t>
  </si>
  <si>
    <t>Fried fihs B.7</t>
  </si>
  <si>
    <t>Fried fihs B.8</t>
  </si>
  <si>
    <t>Sweet &amp; Sour sauce B.1</t>
  </si>
  <si>
    <t xml:space="preserve">Down Time 21.30-22.53 สตรีมตก </t>
  </si>
  <si>
    <t>Sweet &amp; Sour sauce B.2</t>
  </si>
  <si>
    <t>Sweet &amp; Sour sauce B.3</t>
  </si>
  <si>
    <t>Sweet &amp; Sour sauce B.4</t>
  </si>
  <si>
    <t>Sweet &amp; Sour sauce B.5</t>
  </si>
  <si>
    <t>Sweet &amp; Sour sauce B.6</t>
  </si>
  <si>
    <t>Sweet &amp; Sour sauce B.7</t>
  </si>
  <si>
    <t>Sweet &amp; Sour sauce B.8</t>
  </si>
  <si>
    <t>Vegetable sauce B.1-B.8</t>
  </si>
  <si>
    <t>Steam rice B.1/1</t>
  </si>
  <si>
    <t>Steam rice B.1/2</t>
  </si>
  <si>
    <t>Steam rice B.2/1</t>
  </si>
  <si>
    <t>Steam rice B.2/2</t>
  </si>
  <si>
    <t>Steam rice B.3/1</t>
  </si>
  <si>
    <t>Steam rice B.3/2</t>
  </si>
  <si>
    <t>Steam rice B.4/1</t>
  </si>
  <si>
    <t>Steam rice B.4/2</t>
  </si>
  <si>
    <t>Steam rice B.5/1</t>
  </si>
  <si>
    <t>Steam rice B.5/2</t>
  </si>
  <si>
    <t xml:space="preserve">Scrambled Egg with Cheese, Hash Brown, Spinach Corn,Sausage, and Baked Beans </t>
  </si>
  <si>
    <t>Tomato concasse for patties B.1-B.8</t>
  </si>
  <si>
    <t>14/3/2026</t>
  </si>
  <si>
    <t>Herb Scrambled Egg With Paprika Potatoes, Spinach Corn, Chicken Meatball, Tomato Sauce</t>
  </si>
  <si>
    <t>Tomato sauce/White onion chop</t>
  </si>
  <si>
    <t>Herb for scrambled egg/Parsley chop</t>
  </si>
  <si>
    <t>Herb for scrambled egg/White onion dice</t>
  </si>
  <si>
    <t>Garlic chop</t>
  </si>
  <si>
    <t>Support Cleanning equipment room</t>
  </si>
  <si>
    <t>Support Prepare rice</t>
  </si>
  <si>
    <t>Support cooking</t>
  </si>
  <si>
    <t>Prepare Red capsicum</t>
  </si>
  <si>
    <t>Prepare Green capsicum</t>
  </si>
  <si>
    <t>Big Cleaning Line</t>
  </si>
  <si>
    <t>Boiled makaroni pasta 1/3</t>
  </si>
  <si>
    <t>Spinach corn  B.1</t>
  </si>
  <si>
    <t>Spinach corn  B.2</t>
  </si>
  <si>
    <t>Spinach corn  B.3</t>
  </si>
  <si>
    <t>Spinach corn  B.4</t>
  </si>
  <si>
    <t>Spinach corn  B.5</t>
  </si>
  <si>
    <t>Spinach corn  B.6</t>
  </si>
  <si>
    <t>Spinach corn  B.7</t>
  </si>
  <si>
    <t>Spinach corn  B.8</t>
  </si>
  <si>
    <t>Spinach corn  B.9</t>
  </si>
  <si>
    <t>Spinach corn  B.10</t>
  </si>
  <si>
    <t>Bechemal sauce B.1-3</t>
  </si>
  <si>
    <t>Bechemal sauce B.4-6</t>
  </si>
  <si>
    <t>Bechemal sauce B.7-8</t>
  </si>
  <si>
    <t>Bechemal sauce B.9-10</t>
  </si>
  <si>
    <t>Herb for Scrambled egg 10 batch</t>
  </si>
  <si>
    <t>Horfun Sauce B.1</t>
  </si>
  <si>
    <t>Horfun Sauce B.2</t>
  </si>
  <si>
    <t>Horfun Sauce B.3</t>
  </si>
  <si>
    <t>Horfun Sauce B.4</t>
  </si>
  <si>
    <t>Horfun Sauce B.5</t>
  </si>
  <si>
    <t>Horfun Sauce B.6</t>
  </si>
  <si>
    <t>Blanched Rice Noodle Mix Oil B.1</t>
  </si>
  <si>
    <t>Blanched Rice Noodle Mix Oil B.2</t>
  </si>
  <si>
    <t>Creamy Mushroom/Garlic Chop 7 B.</t>
  </si>
  <si>
    <t>Creamy Mushroom/Onion Chop 7 B.</t>
  </si>
  <si>
    <t>Creamy Mushroom/Mushroom Slice 7 B.</t>
  </si>
  <si>
    <t>Tomato Sauce/Garlic Chop 10 B.</t>
  </si>
  <si>
    <t>Tomato Sauce/Onion Chop 10 B.</t>
  </si>
  <si>
    <t>Tomato Sauce/Open Tomato</t>
  </si>
  <si>
    <t>Tomato Sauce/Tomato Chop 10 B.</t>
  </si>
  <si>
    <t>Paprika Sauce/Parsley Chop 10 B.</t>
  </si>
  <si>
    <t>Spinch Corn/Squeeze Spinach 10 B.</t>
  </si>
  <si>
    <t>Spinch Corn/Cutting Spinach 10 B.</t>
  </si>
  <si>
    <t>Blanched Bok Choy/Washing Bok Choy 6 B.</t>
  </si>
  <si>
    <t>Steamed parmesan cheese B.1-B.7</t>
  </si>
  <si>
    <r>
      <rPr>
        <sz val="16"/>
        <color rgb="FF000000"/>
        <rFont val="AngsanaUPC"/>
        <family val="1"/>
      </rPr>
      <t>Western grill chicken cube B.8</t>
    </r>
    <r>
      <rPr>
        <sz val="16"/>
        <color rgb="FFFF0000"/>
        <rFont val="AngsanaUPC"/>
        <family val="1"/>
      </rPr>
      <t>(0.5)</t>
    </r>
  </si>
  <si>
    <t>Creamy MushroomB.1</t>
  </si>
  <si>
    <t>Creamy MushroomB.2</t>
  </si>
  <si>
    <t>Creamy MushroomB.3</t>
  </si>
  <si>
    <t>Creamy MushroomB.4</t>
  </si>
  <si>
    <t>Creamy MushroomB.5</t>
  </si>
  <si>
    <t>Creamy MushroomB.6</t>
  </si>
  <si>
    <t>Creamy MushroomB.7</t>
  </si>
  <si>
    <t>Paprika Sauce B.1-B.5</t>
  </si>
  <si>
    <t>Paprika Sauce B.6-B.10</t>
  </si>
  <si>
    <t>Tomato SauceB.1-B.2</t>
  </si>
  <si>
    <t>Tomato SauceB.3-B.4</t>
  </si>
  <si>
    <t>Tomato SauceB.5-B.6</t>
  </si>
  <si>
    <t>Tomato SauceB.7-B.8</t>
  </si>
  <si>
    <t>Tomato SauceB.9-B.10</t>
  </si>
  <si>
    <t>Frird fish B.1</t>
  </si>
  <si>
    <t>Frird fish B.2</t>
  </si>
  <si>
    <t>Frird fish B.3</t>
  </si>
  <si>
    <t>Frird fish B.4</t>
  </si>
  <si>
    <t>Frird fish B.5</t>
  </si>
  <si>
    <t>Frird fish B.6</t>
  </si>
  <si>
    <t>Steam noodle B.1</t>
  </si>
  <si>
    <t>Steam noodle B.2</t>
  </si>
  <si>
    <t>Steam noodle B.3</t>
  </si>
  <si>
    <t>Steam noodle B.4</t>
  </si>
  <si>
    <t>Steam noodle B.5</t>
  </si>
  <si>
    <t>Steam noodle B.6</t>
  </si>
  <si>
    <t>Black noodle sauce B.1-B.6</t>
  </si>
  <si>
    <t>13/3/2026</t>
  </si>
  <si>
    <t>Ginger Paste</t>
  </si>
  <si>
    <t>Gong bao chicken with steam rice</t>
  </si>
  <si>
    <t>Blanched Baby corn/ Baby corn cut</t>
  </si>
  <si>
    <t>size 12-15 mm</t>
  </si>
  <si>
    <t>Baked Pasta with Chicken Tomato Ragout (Bento)</t>
  </si>
  <si>
    <t xml:space="preserve">Chicken tomato ragout/Garlic Chop </t>
  </si>
  <si>
    <t xml:space="preserve">Chicken tomato ragout/Onion Chop </t>
  </si>
  <si>
    <t>size 3-4 mm</t>
  </si>
  <si>
    <t>Chicken tomato ragout/Celery Chop</t>
  </si>
  <si>
    <t xml:space="preserve">Chicken tomato ragout/Carrot Chop </t>
  </si>
  <si>
    <t xml:space="preserve">Chicken tomato ragout/Tomato Chop </t>
  </si>
  <si>
    <t xml:space="preserve">Chicken tomato ragout/Open Tomato </t>
  </si>
  <si>
    <t>Bok choy cut</t>
  </si>
  <si>
    <t>Forming chicken patties 5 batch</t>
  </si>
  <si>
    <t>Cutting fish  5 batch</t>
  </si>
  <si>
    <t>Cutting fish  1 batch</t>
  </si>
  <si>
    <t>Blanched Carrot B.6 (0.5 batch)</t>
  </si>
  <si>
    <t>Blanched chysim B.1</t>
  </si>
  <si>
    <t>Blanched chysim B.2</t>
  </si>
  <si>
    <t>Blanched chysim B.3</t>
  </si>
  <si>
    <t>Blanched chysim B.4</t>
  </si>
  <si>
    <t>Blanched chysim B.5</t>
  </si>
  <si>
    <t>Blanched chysim B.6 (0.5 batch)</t>
  </si>
  <si>
    <t>Blanched Baby corn B.1</t>
  </si>
  <si>
    <t>Blanched Baby corn B.2</t>
  </si>
  <si>
    <t>Blanched Baby corn B.3</t>
  </si>
  <si>
    <t>Blanched Baby corn B.4</t>
  </si>
  <si>
    <t>Blanched Baby corn B.5</t>
  </si>
  <si>
    <t>Blanched Baby corn B.6 (0.5 batch)</t>
  </si>
  <si>
    <t>Boiled Penne Pasta 18/1</t>
  </si>
  <si>
    <t>Boiled Penne Pasta 18/2</t>
  </si>
  <si>
    <t>Boiled Penne Pasta 19/1</t>
  </si>
  <si>
    <t>Boiled Penne Pasta 19/2</t>
  </si>
  <si>
    <t>Boiled Penne Pasta 20/1</t>
  </si>
  <si>
    <t>Boiled Penne Pasta 20/2</t>
  </si>
  <si>
    <t>Boiled Penne Pasta 21/1</t>
  </si>
  <si>
    <t>Boiled Penne Pasta 21/2</t>
  </si>
  <si>
    <t>Boiled Penne Pasta 22/1</t>
  </si>
  <si>
    <t>Boiled Penne Pasta 22/2</t>
  </si>
  <si>
    <t>Chicken tomato ragout B.11</t>
  </si>
  <si>
    <t>Chicken tomato ragout B.12</t>
  </si>
  <si>
    <t>Chicken tomato ragout B.13</t>
  </si>
  <si>
    <t>Chicken tomato ragout B.14</t>
  </si>
  <si>
    <t>Chicken tomato ragout B.15</t>
  </si>
  <si>
    <t>Chicken tomato ragout B.16</t>
  </si>
  <si>
    <t>Chicken tomato ragout B.17</t>
  </si>
  <si>
    <t>Chicken tomato ragout B.18</t>
  </si>
  <si>
    <t>Chicken tomato ragout B.19</t>
  </si>
  <si>
    <t>Chicken tomato ragout B.20</t>
  </si>
  <si>
    <t>Fried potato B.3</t>
  </si>
  <si>
    <t>Fried potato B.4</t>
  </si>
  <si>
    <t>Fried potato B.5</t>
  </si>
  <si>
    <t>Fried potato B.6</t>
  </si>
  <si>
    <t>Fried potato B.7</t>
  </si>
  <si>
    <t>Fried potato B.8</t>
  </si>
  <si>
    <t>Fried potato B.9</t>
  </si>
  <si>
    <t>Fried potato B.10</t>
  </si>
  <si>
    <t>Trial run :  Mulgogi</t>
  </si>
  <si>
    <t>Steam shot grain rice</t>
  </si>
  <si>
    <t>Korean Baked fish</t>
  </si>
  <si>
    <t>Mulgogi Spicy sauce</t>
  </si>
  <si>
    <t>Stir fried vegetable</t>
  </si>
  <si>
    <t>Japchea sauce</t>
  </si>
  <si>
    <t>Blanched Korean Noodle</t>
  </si>
  <si>
    <t>Blanched Radish</t>
  </si>
  <si>
    <t>12/3/2026</t>
  </si>
  <si>
    <t>Stir-fried vegetable/Green capsicum cut</t>
  </si>
  <si>
    <t>Stir-fried vegetable/Red capsicum cut</t>
  </si>
  <si>
    <t>blend 100%</t>
  </si>
  <si>
    <t>Spinach cut</t>
  </si>
  <si>
    <t>size 5-6 mm</t>
  </si>
  <si>
    <t>Gong Bao</t>
  </si>
  <si>
    <t xml:space="preserve">Baked Pasta </t>
  </si>
  <si>
    <t>Peeling carrot</t>
  </si>
  <si>
    <t>Cerely cut</t>
  </si>
  <si>
    <t>Forming chicken meatball 6  batch</t>
  </si>
  <si>
    <t>Forming chicken meatball 4 batch</t>
  </si>
  <si>
    <t>Scrambled egg B.3</t>
  </si>
  <si>
    <t>Scrambled egg B.4</t>
  </si>
  <si>
    <t>Scrambled egg B.5</t>
  </si>
  <si>
    <t>Scrambled egg B.6</t>
  </si>
  <si>
    <t>Stir-fried vegetable B.1-3</t>
  </si>
  <si>
    <t>Stir-fried vegetable B.4-6</t>
  </si>
  <si>
    <t>Steam rice 1/1</t>
  </si>
  <si>
    <t>Steam rice 1/2</t>
  </si>
  <si>
    <t>Steam rice 2/1</t>
  </si>
  <si>
    <t>Steam rice 2/2</t>
  </si>
  <si>
    <t>Steam rice 3/1</t>
  </si>
  <si>
    <t>Steam rice 3/2</t>
  </si>
  <si>
    <t>Steam rice 4/1</t>
  </si>
  <si>
    <t>Steam rice 4/2</t>
  </si>
  <si>
    <t>Steam rice 5/1</t>
  </si>
  <si>
    <t>Steam rice 5/2</t>
  </si>
  <si>
    <t>Steam rice 6/1</t>
  </si>
  <si>
    <t>Steam rice 6/2</t>
  </si>
  <si>
    <t>Steam rice 6/3</t>
  </si>
  <si>
    <t>Fried Potato B.4</t>
  </si>
  <si>
    <t>Fried Potato B.5</t>
  </si>
  <si>
    <t>Fried Potato B.6</t>
  </si>
  <si>
    <t>Fried Potato B.7</t>
  </si>
  <si>
    <t>Herb for Scrambled egg 6 batch</t>
  </si>
  <si>
    <t>Steam Meatballs B.1</t>
  </si>
  <si>
    <t>Steam Meatballs B.2</t>
  </si>
  <si>
    <t>Steam Meatballs B.3</t>
  </si>
  <si>
    <t>Steam Meatballs B.4</t>
  </si>
  <si>
    <t>Steam Meatballs B.5</t>
  </si>
  <si>
    <t>Steam Meatballs B.6</t>
  </si>
  <si>
    <t>Steam Meatballs B.7</t>
  </si>
  <si>
    <t>Steam Meatballs B.8</t>
  </si>
  <si>
    <t>Steam Meatballs B.9</t>
  </si>
  <si>
    <t>Steam Meatballs B.10</t>
  </si>
  <si>
    <t>Trial run : Gochujang Chicken With Steam Rice</t>
  </si>
  <si>
    <t>Gochujang Sauce B.1</t>
  </si>
  <si>
    <t>Cooked Chicken B.1</t>
  </si>
  <si>
    <t>Steam Short Grain Rice B.1</t>
  </si>
  <si>
    <t>Blanched White Radish B.1</t>
  </si>
  <si>
    <t>Blanched Mushroom Shreddeb black B.1</t>
  </si>
  <si>
    <t>Blanched Zucchini Cube B.1</t>
  </si>
  <si>
    <t xml:space="preserve">Trial run : Kimchi Fried Rice With Chicken </t>
  </si>
  <si>
    <t>Sauce For Kimchi Fried Rice  B.1</t>
  </si>
  <si>
    <t>Steamed Kimchi Rice B.1</t>
  </si>
  <si>
    <t>Stir Fried Kimchi Cabbage B.1</t>
  </si>
  <si>
    <t>Garlic Paste 6 B.</t>
  </si>
  <si>
    <t>Ginger Paste 6 B.</t>
  </si>
  <si>
    <t>Washing Chye Sim 6 B.</t>
  </si>
  <si>
    <t>Chicken ragout sauce/Garlic Chop 13 B.</t>
  </si>
  <si>
    <t>Chicken ragout sauce/Onion Chop 13 B.</t>
  </si>
  <si>
    <t>Chicken ragout sauce/Mushroom Slice 6 B.</t>
  </si>
  <si>
    <t>Baked Carrot/Batching Carrot 7 B.</t>
  </si>
  <si>
    <t>1.5*1.5 mm</t>
  </si>
  <si>
    <t>Chicken ragout sauce/Mushroom Slice 7 B.</t>
  </si>
  <si>
    <t>Tomato concasse for Meatball/Garlic Chop 10 B.</t>
  </si>
  <si>
    <t>Tomato concasse for Meatball/Onion Chop 10 B.</t>
  </si>
  <si>
    <t>Tomato concasse for Meatball/Open Tomato</t>
  </si>
  <si>
    <t>Tomato concasse for Meatball/Tomato Chop 10 B.</t>
  </si>
  <si>
    <t>Tomato concasse for Meatball/Italian Chop 10 B.</t>
  </si>
  <si>
    <t>Parsley Chop 10 B.</t>
  </si>
  <si>
    <t>Paprika Sauce/Parsley Chop 6 B.</t>
  </si>
  <si>
    <t>Spinach Corn/Squeeze Spinach 6 B.</t>
  </si>
  <si>
    <t>Sweet &amp; sour Sauce B.1</t>
  </si>
  <si>
    <t>Sweet &amp; sour Sauce B.2</t>
  </si>
  <si>
    <t>Sweet &amp; sour Sauce B.3</t>
  </si>
  <si>
    <t>Sweet &amp; sour Sauce B.4</t>
  </si>
  <si>
    <t>Sweet &amp; sour Sauce B.5</t>
  </si>
  <si>
    <t>Sweet &amp; sour Sauce B.6</t>
  </si>
  <si>
    <t>Vegetable Sauce B.1-6</t>
  </si>
  <si>
    <t>Tomato concasse for Meatball B.1-10</t>
  </si>
  <si>
    <t>Paprika Sauce B.1-10</t>
  </si>
  <si>
    <t>Western Grilled Chicken B.1</t>
  </si>
  <si>
    <t>Western Grilled Chicken B.2</t>
  </si>
  <si>
    <t>Western Grilled Chicken B.3</t>
  </si>
  <si>
    <t>Western Grilled Chicken B.4</t>
  </si>
  <si>
    <t>Western Grilled Chicken B.5</t>
  </si>
  <si>
    <t>Western Grilled Chicken B.6</t>
  </si>
  <si>
    <t>Western Grilled Chicken B.7</t>
  </si>
  <si>
    <t>Western Grilled Chicken B.8</t>
  </si>
  <si>
    <t>Western Grilled Chicken B.9</t>
  </si>
  <si>
    <t>Western Grilled Chicken B.10</t>
  </si>
  <si>
    <t>Western Grilled Chicken B.11</t>
  </si>
  <si>
    <t>Western Grilled Chicken B.12</t>
  </si>
  <si>
    <t>Western Grilled Chicken B.13</t>
  </si>
  <si>
    <t>Western Grilled Chicken B.14</t>
  </si>
  <si>
    <t xml:space="preserve"> Chicken ragout sauce B.1</t>
  </si>
  <si>
    <t xml:space="preserve"> Chicken ragout sauce B.2</t>
  </si>
  <si>
    <t xml:space="preserve"> Chicken ragout sauce B.3</t>
  </si>
  <si>
    <t xml:space="preserve"> Chicken ragout sauce B.4</t>
  </si>
  <si>
    <t xml:space="preserve"> Chicken ragout sauce B.5</t>
  </si>
  <si>
    <t xml:space="preserve"> Chicken ragout sauce B.6</t>
  </si>
  <si>
    <t xml:space="preserve"> Chicken ragout sauce B.7</t>
  </si>
  <si>
    <t xml:space="preserve"> Chicken ragout sauce B.8</t>
  </si>
  <si>
    <t xml:space="preserve"> Chicken ragout sauce B.9</t>
  </si>
  <si>
    <t xml:space="preserve"> Chicken ragout sauce B.10</t>
  </si>
  <si>
    <t xml:space="preserve"> Chicken ragout sauce B.11</t>
  </si>
  <si>
    <t xml:space="preserve"> Chicken ragout sauce B.12</t>
  </si>
  <si>
    <t xml:space="preserve"> Chicken ragout sauce B.13</t>
  </si>
  <si>
    <t>Steam parsley B.1-13</t>
  </si>
  <si>
    <t>11/3/2026</t>
  </si>
  <si>
    <t>Creamy Spinach/Garlic Chop</t>
  </si>
  <si>
    <t>Creamy Spinach/Onion Chop</t>
  </si>
  <si>
    <t>size 4-6 mm</t>
  </si>
  <si>
    <t>Nasi lemak rendang</t>
  </si>
  <si>
    <t>Steam coconut rice/White onion chop</t>
  </si>
  <si>
    <t>Sambal sauce/Red Onion chop</t>
  </si>
  <si>
    <t>Sambal sauce/Garlic chop</t>
  </si>
  <si>
    <t>Rendang sauce/Red Onion chop</t>
  </si>
  <si>
    <t>Rendang sauce/Garlic chop</t>
  </si>
  <si>
    <t>Stir-Fried vegetable/Green Bean cut</t>
  </si>
  <si>
    <t>Prepare coconut</t>
  </si>
  <si>
    <t>Trial run : Korean Andong Style Chicken Bulgogi with Steamed Rice</t>
  </si>
  <si>
    <t>Ginger chop</t>
  </si>
  <si>
    <t>White onion Slice</t>
  </si>
  <si>
    <t>Dry red chili cut</t>
  </si>
  <si>
    <t xml:space="preserve">Cutting fish  6 batch </t>
  </si>
  <si>
    <t>Creamy Spinach B.10</t>
  </si>
  <si>
    <t>Creamy Spinach B.11</t>
  </si>
  <si>
    <t>Creamy Spinach B.12</t>
  </si>
  <si>
    <t>Creamy Spinach B.13</t>
  </si>
  <si>
    <t>Creamy Spinach B.14</t>
  </si>
  <si>
    <t>Sambal sauce B.1-3</t>
  </si>
  <si>
    <t>Sambal sauce B.4-6</t>
  </si>
  <si>
    <t>Rendang sauce 1 batch</t>
  </si>
  <si>
    <t>Blanched knifirlime leave 6 batch</t>
  </si>
  <si>
    <t>Steam coconut rice 1/1</t>
  </si>
  <si>
    <t>Steam coconut rice 1/2</t>
  </si>
  <si>
    <t>Steam coconut rice 1/3</t>
  </si>
  <si>
    <t>Steam coconut rice 2/1</t>
  </si>
  <si>
    <t>Steam coconut rice 2/2</t>
  </si>
  <si>
    <t>Steam coconut rice 2/3</t>
  </si>
  <si>
    <t>Steam coconut rice 3/1</t>
  </si>
  <si>
    <t>Steam coconut rice 3/2</t>
  </si>
  <si>
    <t>Steam coconut rice 3/3</t>
  </si>
  <si>
    <t>Steam coconut rice 4/1</t>
  </si>
  <si>
    <t>Steam coconut rice 4/2</t>
  </si>
  <si>
    <t>Steam coconut rice 4/3</t>
  </si>
  <si>
    <t>Steam coconut rice 5/1</t>
  </si>
  <si>
    <t>Steam coconut rice 5/2</t>
  </si>
  <si>
    <t>Steam coconut rice 5/3</t>
  </si>
  <si>
    <t>Steam coconut rice 6/1</t>
  </si>
  <si>
    <t>Steam coconut rice 6/2</t>
  </si>
  <si>
    <t>Steam coconut rice 6/3</t>
  </si>
  <si>
    <t>Vegetable Sauct B.1-6</t>
  </si>
  <si>
    <t>Andong Sauce B.1</t>
  </si>
  <si>
    <t>Blanched Noodle B.1</t>
  </si>
  <si>
    <t>Blanched Green Chilli B.1</t>
  </si>
  <si>
    <t>Blanched Red Chilli B.1</t>
  </si>
  <si>
    <t>Blanched Spring Onion B.1</t>
  </si>
  <si>
    <t>Steamed Rice 1/1</t>
  </si>
  <si>
    <t>Roasted White Sesame feed B.1</t>
  </si>
  <si>
    <t xml:space="preserve">Trial run : Chicken Bulgogi With Steamed Rice </t>
  </si>
  <si>
    <t>Bulgogi Suce B.1</t>
  </si>
  <si>
    <t>Knife/Scissors</t>
  </si>
  <si>
    <r>
      <rPr>
        <sz val="16"/>
        <color rgb="FF000000"/>
        <rFont val="AngsanaUPC"/>
        <family val="1"/>
      </rPr>
      <t xml:space="preserve">Baked Pasta with Chicken Tomato Ragout  </t>
    </r>
    <r>
      <rPr>
        <sz val="16"/>
        <color rgb="FFFF0000"/>
        <rFont val="AngsanaUPC"/>
        <family val="1"/>
      </rPr>
      <t>(Bento)</t>
    </r>
  </si>
  <si>
    <t>Tomato Sauce/Carrot Chop 10 B.</t>
  </si>
  <si>
    <t>Tomato Sauce/Celery Chop 10 B.</t>
  </si>
  <si>
    <t>Creamy Mushroom/Garlic Chop 5 B.</t>
  </si>
  <si>
    <t>Creamy Mushroom/Onion Chop 5 B.</t>
  </si>
  <si>
    <t>Creamy Mushroom/Mushroom Slice 5 B.</t>
  </si>
  <si>
    <t>Fried dry red chili/Cutting Red Chili 4 B.</t>
  </si>
  <si>
    <t>3-5 mm</t>
  </si>
  <si>
    <t>Fried dry red chili/Cutting Red Chili 1.5 B.</t>
  </si>
  <si>
    <t>Blanched Chye Sim/Washing Chye Sim 5.5 B.</t>
  </si>
  <si>
    <t>Blanched Baby Corn/Cutting Baby Corn 2 B.</t>
  </si>
  <si>
    <t>12-15 mm</t>
  </si>
  <si>
    <t>Steam fried garlic B.1-B.5</t>
  </si>
  <si>
    <t>Asian mix B.1-B.5</t>
  </si>
  <si>
    <t>Mixed oil B.1-B.5</t>
  </si>
  <si>
    <t>Fried dry red chill B.1-5</t>
  </si>
  <si>
    <t>Baked cashew nut B.1-B.5</t>
  </si>
  <si>
    <t>Gong bao sauce B.1-B.2</t>
  </si>
  <si>
    <t>Gong bao sauce B.3-B.4</t>
  </si>
  <si>
    <r>
      <rPr>
        <sz val="16"/>
        <color rgb="FF000000"/>
        <rFont val="AngsanaUPC"/>
        <family val="1"/>
      </rPr>
      <t>Gong bao sauce B.5-B.6</t>
    </r>
    <r>
      <rPr>
        <sz val="16"/>
        <color rgb="FFFF0000"/>
        <rFont val="AngsanaUPC"/>
        <family val="1"/>
      </rPr>
      <t>(0.5)</t>
    </r>
  </si>
  <si>
    <t>Steam rice B.2/3</t>
  </si>
  <si>
    <t>Steam rice B.3/3</t>
  </si>
  <si>
    <t>Steam rice B.4/3</t>
  </si>
  <si>
    <t>\</t>
  </si>
  <si>
    <t>Steam rice B.5/3</t>
  </si>
  <si>
    <t>Steam rice B.5/4</t>
  </si>
  <si>
    <r>
      <rPr>
        <sz val="16"/>
        <color rgb="FF000000"/>
        <rFont val="AngsanaUPC"/>
        <family val="1"/>
      </rPr>
      <t xml:space="preserve">Creamy Chicken and Mushroom with Pasta </t>
    </r>
    <r>
      <rPr>
        <sz val="16"/>
        <color rgb="FFFF0000"/>
        <rFont val="AngsanaUPC"/>
        <family val="1"/>
      </rPr>
      <t>(Bento)</t>
    </r>
  </si>
  <si>
    <t>Steamed parmesan cheese B.1-B.5</t>
  </si>
  <si>
    <r>
      <rPr>
        <sz val="16"/>
        <color rgb="FF000000"/>
        <rFont val="AngsanaUPC"/>
        <family val="1"/>
      </rPr>
      <t xml:space="preserve">Baked Pasta with Chicken Tomato Ragout </t>
    </r>
    <r>
      <rPr>
        <sz val="16"/>
        <color rgb="FFFF0000"/>
        <rFont val="AngsanaUPC"/>
        <family val="1"/>
      </rPr>
      <t>(Bento)</t>
    </r>
  </si>
  <si>
    <t>Chicken tomato ragout B.1</t>
  </si>
  <si>
    <t>Chicken tomato ragout B.2</t>
  </si>
  <si>
    <t>Chicken tomato ragout B.3</t>
  </si>
  <si>
    <t>Chicken tomato ragout B.4</t>
  </si>
  <si>
    <t>Chicken tomato ragout B.5</t>
  </si>
  <si>
    <t>Chicken tomato ragout B.6</t>
  </si>
  <si>
    <t>Chicken tomato ragout B.7</t>
  </si>
  <si>
    <t>Chicken tomato ragout B.8</t>
  </si>
  <si>
    <t>Chicken tomato ragout B.9</t>
  </si>
  <si>
    <t>Chicken tomato ragout B.10</t>
  </si>
  <si>
    <t>Steam parmesan cheese B.1-B.10</t>
  </si>
  <si>
    <t>Steam parmesan cheese B.11-B.20</t>
  </si>
  <si>
    <t>Tomato Sauce/Garlic Chop 14 B.</t>
  </si>
  <si>
    <t>Tomato Sauce/Onion Chop 14 B.</t>
  </si>
  <si>
    <t>Tomato Sauce/Tomato Chop 14 B.</t>
  </si>
  <si>
    <t>Paprika Sauce/Prepare Parsley</t>
  </si>
  <si>
    <t>Paprika Sauce/Parsley Chop 14 B.</t>
  </si>
  <si>
    <t>Creamy Spinach/Squeeze Spinach 14 B.</t>
  </si>
  <si>
    <t>Creamy Spinach/Cutting Spinach 5 B.</t>
  </si>
  <si>
    <t>Chicken ragout sauce/Garlic Chop 7 B.</t>
  </si>
  <si>
    <t>Chicken ragout sauce/Onion Chop 7 B.</t>
  </si>
  <si>
    <t>Tomato concasse for Meatball/Garlic Chop 6 B.</t>
  </si>
  <si>
    <t>Tomato concasse for Meatball/Onion Chop 6 B.</t>
  </si>
  <si>
    <t>Tomato concasse for Meatball/Tomato Chop 6 B.</t>
  </si>
  <si>
    <t>Tomato concasse for Meatball/Italian Chop 6 B.</t>
  </si>
  <si>
    <t>Parsley Chop 6 B.</t>
  </si>
  <si>
    <t>Rendang Sauce/pick kaffir lime leaves 6 B</t>
  </si>
  <si>
    <t>Rendang Sauce/Garlic 5 B.</t>
  </si>
  <si>
    <t>Rendang Sauce/Batching Lemongrass 5 B.</t>
  </si>
  <si>
    <t>Rendang Sauce/Red Onion 5 B.</t>
  </si>
  <si>
    <t>Rendang Sauce/Galangal Puree 6 B.</t>
  </si>
  <si>
    <t>Rendang Sauce/Coconut Milk 6 B.</t>
  </si>
  <si>
    <t>Rendang Sauce/Krisik 6 B.</t>
  </si>
  <si>
    <t>Rendang Sauce/Dry red chili 2 B.</t>
  </si>
  <si>
    <t>Rendang Sauce/Dry red chili 4 B.</t>
  </si>
  <si>
    <t>Tomato Sauce B.1-3</t>
  </si>
  <si>
    <t>Tomato Sauce B.4-6</t>
  </si>
  <si>
    <t>Tomato Sauce B.7-9</t>
  </si>
  <si>
    <t>Tomato Sauce B.10-12</t>
  </si>
  <si>
    <t>Tomato Sauce B.13-14</t>
  </si>
  <si>
    <t>Fried Potato B.13</t>
  </si>
  <si>
    <t>Fried Potato B.14</t>
  </si>
  <si>
    <t>Paprika Sauce B.1-7</t>
  </si>
  <si>
    <t>Paprika Sauce B.8-14</t>
  </si>
  <si>
    <t xml:space="preserve">Steam parsley B.1-7 </t>
  </si>
  <si>
    <t>Rendang Sauce B.1</t>
  </si>
  <si>
    <t>Rendang Sauce B.2</t>
  </si>
  <si>
    <t>Rendang Sauce B.3</t>
  </si>
  <si>
    <t>Rendang Sauce B.4</t>
  </si>
  <si>
    <t>Rendang Sauce B.5</t>
  </si>
  <si>
    <t>Kerisik B.1-7</t>
  </si>
  <si>
    <t>Roasted desiccated B.1-7</t>
  </si>
  <si>
    <t>Stir-Fried Chicken B.1</t>
  </si>
  <si>
    <t>Stir-Fried Chicken B.2</t>
  </si>
  <si>
    <t>Stir-Fried Chicken B.3</t>
  </si>
  <si>
    <t>Stir-Fried Chicken B.4</t>
  </si>
  <si>
    <t>Stir-Fried Chicken B.5</t>
  </si>
  <si>
    <r>
      <rPr>
        <sz val="16"/>
        <color rgb="FF000000"/>
        <rFont val="AngsanaUPC"/>
        <family val="1"/>
      </rPr>
      <t xml:space="preserve">Stir-Fried Chicken B.6  </t>
    </r>
    <r>
      <rPr>
        <sz val="16"/>
        <color rgb="FFFF0000"/>
        <rFont val="AngsanaUPC"/>
        <family val="1"/>
      </rPr>
      <t>(0.5)</t>
    </r>
  </si>
  <si>
    <t xml:space="preserve">Stir-Fried Chicken B.7 </t>
  </si>
  <si>
    <t>Cooking Chicken B.1</t>
  </si>
  <si>
    <t>Cooking Chicken B.2</t>
  </si>
  <si>
    <t>Cooking Chicken B.3</t>
  </si>
  <si>
    <t>Cooking Chicken B.4</t>
  </si>
  <si>
    <t>Cooking Chicken B.5</t>
  </si>
  <si>
    <r>
      <rPr>
        <sz val="16"/>
        <color rgb="FF000000"/>
        <rFont val="AngsanaUPC"/>
        <family val="1"/>
      </rPr>
      <t xml:space="preserve">Cooking Chicken B.6  </t>
    </r>
    <r>
      <rPr>
        <sz val="16"/>
        <color rgb="FFFF0000"/>
        <rFont val="AngsanaUPC"/>
        <family val="1"/>
      </rPr>
      <t>(0.5)</t>
    </r>
  </si>
  <si>
    <t>Cooking Chicken B.7</t>
  </si>
  <si>
    <t>Tomato concasse for Meatball B.1-6</t>
  </si>
  <si>
    <t>Onion Chop</t>
  </si>
  <si>
    <t>Garlic Chop</t>
  </si>
  <si>
    <t>Ayam Taliwang Nasi Udak</t>
  </si>
  <si>
    <t>Arrabiata Fish with Fusilli Pasta &amp; Egg plant, Mushroom</t>
  </si>
  <si>
    <t>Parsley Chop</t>
  </si>
  <si>
    <t>Mushroom Slice</t>
  </si>
  <si>
    <t>Green Beans Cut</t>
  </si>
  <si>
    <t>size 2.5-3 cm</t>
  </si>
  <si>
    <t xml:space="preserve">Prepare Beansprout </t>
  </si>
  <si>
    <t>Cabbage cut</t>
  </si>
  <si>
    <t>size 0.5-0.7x10-13 cm</t>
  </si>
  <si>
    <t>Trim Kaffir lime leaves</t>
  </si>
  <si>
    <t>Onion Slice</t>
  </si>
  <si>
    <t>Crush Lemongrass</t>
  </si>
  <si>
    <t>Prepare Galangal</t>
  </si>
  <si>
    <t>Red chili paste</t>
  </si>
  <si>
    <t>Prepare Red Onion</t>
  </si>
  <si>
    <t>Boiled Fusilli Pasta 10/3</t>
  </si>
  <si>
    <t>Coating Sauce B.3-8</t>
  </si>
  <si>
    <t>Coating Sauce B.1-10</t>
  </si>
  <si>
    <t>Stir Fried Mushroom B.1-2</t>
  </si>
  <si>
    <t>Stir Fried Mushroom B.3-4</t>
  </si>
  <si>
    <t>Stir Fried Mushroom B.5-6</t>
  </si>
  <si>
    <t>Stir Fried Mushroom B.7-8</t>
  </si>
  <si>
    <t>Stir Fried Mushroom B.9-10</t>
  </si>
  <si>
    <t>Cooked Spice Mix Urap Sayurun B.1.5</t>
  </si>
  <si>
    <r>
      <rPr>
        <sz val="16"/>
        <color rgb="FF000000"/>
        <rFont val="AngsanaUPC"/>
        <family val="1"/>
      </rPr>
      <t>Taliwang Sauce B.</t>
    </r>
    <r>
      <rPr>
        <sz val="16"/>
        <color rgb="FFFF0000"/>
        <rFont val="AngsanaUPC"/>
        <family val="1"/>
      </rPr>
      <t>0.5</t>
    </r>
  </si>
  <si>
    <t>Stir Fried Veg. B.1</t>
  </si>
  <si>
    <r>
      <rPr>
        <sz val="16"/>
        <color rgb="FF000000"/>
        <rFont val="AngsanaUPC"/>
        <family val="1"/>
      </rPr>
      <t>Stir Fried Veg. B.</t>
    </r>
    <r>
      <rPr>
        <sz val="16"/>
        <color rgb="FFFF0000"/>
        <rFont val="AngsanaUPC"/>
        <family val="1"/>
      </rPr>
      <t>0.5</t>
    </r>
  </si>
  <si>
    <t>Steam Rice 1/1</t>
  </si>
  <si>
    <t>Steam Rice 1/2</t>
  </si>
  <si>
    <t>Steam Rice 1/3</t>
  </si>
  <si>
    <t>*Cooking 2 คน</t>
  </si>
  <si>
    <t>Arrabiata Fish with Fusilli Pasta&amp;Egg Plant,Muhroom</t>
  </si>
  <si>
    <t>Arrabiata Sauce/Garlic Slice 10 B.</t>
  </si>
  <si>
    <t>Arrabiata Sauce/Dry Red Chili 10 B.</t>
  </si>
  <si>
    <t>Sorting  Dry Red Chili</t>
  </si>
  <si>
    <t>Arrabiata Sauce/Tomato Chop 10 B.</t>
  </si>
  <si>
    <t>Arrabiata Sauce/Italian Chop 10 B.</t>
  </si>
  <si>
    <t>Rough Chop</t>
  </si>
  <si>
    <t>Tomato Sauce/Garlic Chop 6 B.</t>
  </si>
  <si>
    <t>Tomato Sauce/Onion Chop 6 B.</t>
  </si>
  <si>
    <t>Tomato Sauce/Tomato Chop 6 B.</t>
  </si>
  <si>
    <t>Creamy Spinach/Squeeze Spinach 5 B.</t>
  </si>
  <si>
    <t>Creamy Spinach/Squeeze Spinach 1 B.</t>
  </si>
  <si>
    <t>Creamy Spinach/Cutting Spinach 6 B.</t>
  </si>
  <si>
    <t>Prepare Spice Mix Paste 1.5 B.</t>
  </si>
  <si>
    <t>Taliwang Sauce/Kaffir Lime Leaves 1.5 B.</t>
  </si>
  <si>
    <t>Dry Red Chilli 90 % 1.5 B.</t>
  </si>
  <si>
    <t>Spice Mix Paste 1.5 B.</t>
  </si>
  <si>
    <t>Fried eggplant B.1</t>
  </si>
  <si>
    <t>Fried eggplant B.2</t>
  </si>
  <si>
    <t>Fried eggplant B.3</t>
  </si>
  <si>
    <t>Fried eggplant B.4</t>
  </si>
  <si>
    <t>Fried eggplant B.5</t>
  </si>
  <si>
    <t>Fried eggplant B.6</t>
  </si>
  <si>
    <t>Fried eggplant B.7</t>
  </si>
  <si>
    <t>Fried eggplant B.8</t>
  </si>
  <si>
    <t>Fried eggplant B.9</t>
  </si>
  <si>
    <t>Fried eggplant B.10</t>
  </si>
  <si>
    <t>Dry Parsley steamed B.1-10</t>
  </si>
  <si>
    <t>Arrabiata Sauce B.1</t>
  </si>
  <si>
    <t>Arrabiata Sauce B.2</t>
  </si>
  <si>
    <t>Arrabiata Sauce B.3</t>
  </si>
  <si>
    <t>Arrabiata Sauce B.4</t>
  </si>
  <si>
    <t>Arrabiata Sauce B.5</t>
  </si>
  <si>
    <t>Arrabiata Sauce B.6</t>
  </si>
  <si>
    <t>Arrabiata Sauce B.7</t>
  </si>
  <si>
    <t>Arrabiata Sauce B.8</t>
  </si>
  <si>
    <t>Arrabiata Sauce B.9</t>
  </si>
  <si>
    <t>Arrabiata Sauce B.10</t>
  </si>
  <si>
    <t>Fried Potato B.8</t>
  </si>
  <si>
    <t>Paprailka Sauce B.1-6</t>
  </si>
  <si>
    <r>
      <rPr>
        <sz val="16"/>
        <color rgb="FF000000"/>
        <rFont val="AngsanaUPC"/>
        <family val="1"/>
      </rPr>
      <t>Taliwang  SauceB.1</t>
    </r>
    <r>
      <rPr>
        <sz val="16"/>
        <color rgb="FFFF0000"/>
        <rFont val="AngsanaUPC"/>
        <family val="1"/>
      </rPr>
      <t xml:space="preserve"> (*1.5)</t>
    </r>
  </si>
  <si>
    <t>Cooked Chicken Ayam Taliwang B.1</t>
  </si>
  <si>
    <t>Cooked Chicken Ayam Taliwang B.2</t>
  </si>
  <si>
    <r>
      <rPr>
        <sz val="16"/>
        <color rgb="FF000000"/>
        <rFont val="AngsanaUPC"/>
        <family val="1"/>
      </rPr>
      <t xml:space="preserve">Roasted Desiccated Coconut B.1 </t>
    </r>
    <r>
      <rPr>
        <sz val="16"/>
        <color rgb="FFFF0000"/>
        <rFont val="AngsanaUPC"/>
        <family val="1"/>
      </rPr>
      <t>(*1.5)</t>
    </r>
  </si>
  <si>
    <t>Red Chilli Chop</t>
  </si>
  <si>
    <t>Spring Onion Cut</t>
  </si>
  <si>
    <t>Tomato Chop</t>
  </si>
  <si>
    <t>Italian Basil Cut</t>
  </si>
  <si>
    <t xml:space="preserve">Dry Red Chili Chop </t>
  </si>
  <si>
    <t>Prepare Italian Basil</t>
  </si>
  <si>
    <t>Prepare Dry Red Chili</t>
  </si>
  <si>
    <t xml:space="preserve">Nasi Lemak Rendang </t>
  </si>
  <si>
    <t>Fried Egg 6 batch</t>
  </si>
  <si>
    <t xml:space="preserve">Baked Pasta with Chicken Tomato Ragout </t>
  </si>
  <si>
    <t>Boiled Fusilli Pasta 12/1</t>
  </si>
  <si>
    <t>Boiled Fusilli Pasta 12/2</t>
  </si>
  <si>
    <t>Boiled Fusilli Pasta 13/1</t>
  </si>
  <si>
    <t>Boiled Fusilli Pasta 13/2</t>
  </si>
  <si>
    <t>Boiled Fusilli Pasta 14/1</t>
  </si>
  <si>
    <t>Boiled Fusilli Pasta 14/2</t>
  </si>
  <si>
    <t>Boiled Fusilli Pasta 15/1</t>
  </si>
  <si>
    <t>Boiled Fusilli Pasta 15/2</t>
  </si>
  <si>
    <t>Boiled Fusilli Pasta 16/1</t>
  </si>
  <si>
    <t>Boiled Fusilli Pasta 16/2</t>
  </si>
  <si>
    <t>Boiled Fusilli Pasta 17/1</t>
  </si>
  <si>
    <t>Boiled Fusilli Pasta 17/2</t>
  </si>
  <si>
    <t>Boiled Fusilli Pasta 18/1</t>
  </si>
  <si>
    <t>Boiled Fusilli Pasta 18/2</t>
  </si>
  <si>
    <t>Boiled Fusilli Pasta 18/3</t>
  </si>
  <si>
    <t>Coating Sauce B.1-2</t>
  </si>
  <si>
    <t>Fried Egg B.1</t>
  </si>
  <si>
    <t>Fried Egg B.2</t>
  </si>
  <si>
    <t>Fried Egg B.3</t>
  </si>
  <si>
    <t>Fried Egg B.4</t>
  </si>
  <si>
    <t>Fried Egg B.5</t>
  </si>
  <si>
    <t>Fried Egg B.6</t>
  </si>
  <si>
    <t>*Cooking 4 คน</t>
  </si>
  <si>
    <t>Tomato Sauce/Garlic Chop 18 B.</t>
  </si>
  <si>
    <t>20:00-22:00</t>
  </si>
  <si>
    <t>Tomato Sauce/Onion Chop 18 B.</t>
  </si>
  <si>
    <t>Tomato Sauce/Tomato Chop 18 B.</t>
  </si>
  <si>
    <t>Tomato Sauce/Carrot Chop 18 B.</t>
  </si>
  <si>
    <t>Prepare Celery</t>
  </si>
  <si>
    <t>Tomato Sauce/Celery Chop 18 B.</t>
  </si>
  <si>
    <t>Arrabiata Sauce/Dry Red Chili 3 B.</t>
  </si>
  <si>
    <t>Arrabiata Sauce/Open Tomato</t>
  </si>
  <si>
    <t>Arrabiata Sauce/Tomato Chop 3 B.</t>
  </si>
  <si>
    <t>Arrabiata Sauce/Italian Chop 3 B.</t>
  </si>
  <si>
    <t>Fried Egg Plant/Cutting Egg Plant 5 B.</t>
  </si>
  <si>
    <t>15-18 mm</t>
  </si>
  <si>
    <t>Tomato concasse for patties/Garlic Chop 4 B.</t>
  </si>
  <si>
    <t>Tomato concasse for patties/Onion Chop 4 B.</t>
  </si>
  <si>
    <t>Tomato concasse for patties/Open Tomato</t>
  </si>
  <si>
    <t>Tomato concasse for patties/Tomato Chop 4 B.</t>
  </si>
  <si>
    <t>Tomato concasse for patties/Italian Chop 4 B.</t>
  </si>
  <si>
    <t>Parsley Chop 3 B.</t>
  </si>
  <si>
    <t>Steam parmesan cheese B.1-13</t>
  </si>
  <si>
    <t>Steam parmesan cheese B.14-18</t>
  </si>
  <si>
    <t>Steam Bread crumb parsley B.1-18</t>
  </si>
  <si>
    <r>
      <t>Chicken tomato ragout B.2</t>
    </r>
    <r>
      <rPr>
        <sz val="11"/>
        <color theme="1"/>
        <rFont val="Calibri"/>
        <family val="2"/>
        <scheme val="minor"/>
      </rPr>
      <t/>
    </r>
  </si>
  <si>
    <r>
      <t>Chicken tomato ragout B.3</t>
    </r>
    <r>
      <rPr>
        <sz val="11"/>
        <color theme="1"/>
        <rFont val="Calibri"/>
        <family val="2"/>
        <scheme val="minor"/>
      </rPr>
      <t/>
    </r>
  </si>
  <si>
    <r>
      <t>Chicken tomato ragout B.4</t>
    </r>
    <r>
      <rPr>
        <sz val="11"/>
        <color theme="1"/>
        <rFont val="Calibri"/>
        <family val="2"/>
        <scheme val="minor"/>
      </rPr>
      <t/>
    </r>
  </si>
  <si>
    <r>
      <t>Chicken tomato ragout B.5</t>
    </r>
    <r>
      <rPr>
        <sz val="11"/>
        <color theme="1"/>
        <rFont val="Calibri"/>
        <family val="2"/>
        <scheme val="minor"/>
      </rPr>
      <t/>
    </r>
  </si>
  <si>
    <r>
      <t>Chicken tomato ragout B.6</t>
    </r>
    <r>
      <rPr>
        <sz val="11"/>
        <color theme="1"/>
        <rFont val="Calibri"/>
        <family val="2"/>
        <scheme val="minor"/>
      </rPr>
      <t/>
    </r>
  </si>
  <si>
    <r>
      <t>Chicken tomato ragout B.7</t>
    </r>
    <r>
      <rPr>
        <sz val="11"/>
        <color theme="1"/>
        <rFont val="Calibri"/>
        <family val="2"/>
        <scheme val="minor"/>
      </rPr>
      <t/>
    </r>
  </si>
  <si>
    <r>
      <t>Chicken tomato ragout B.8</t>
    </r>
    <r>
      <rPr>
        <sz val="11"/>
        <color theme="1"/>
        <rFont val="Calibri"/>
        <family val="2"/>
        <scheme val="minor"/>
      </rPr>
      <t/>
    </r>
  </si>
  <si>
    <r>
      <t>Chicken tomato ragout B.9</t>
    </r>
    <r>
      <rPr>
        <sz val="11"/>
        <color theme="1"/>
        <rFont val="Calibri"/>
        <family val="2"/>
        <scheme val="minor"/>
      </rPr>
      <t/>
    </r>
  </si>
  <si>
    <r>
      <t>Chicken tomato ragout B.10</t>
    </r>
    <r>
      <rPr>
        <sz val="11"/>
        <color theme="1"/>
        <rFont val="Calibri"/>
        <family val="2"/>
        <scheme val="minor"/>
      </rPr>
      <t/>
    </r>
  </si>
  <si>
    <r>
      <t>Chicken tomato ragout B.11</t>
    </r>
    <r>
      <rPr>
        <sz val="11"/>
        <color theme="1"/>
        <rFont val="Calibri"/>
        <family val="2"/>
        <scheme val="minor"/>
      </rPr>
      <t/>
    </r>
  </si>
  <si>
    <t>Tomato concasse for patties B.1-B.4</t>
  </si>
  <si>
    <t>7/3/2026</t>
  </si>
  <si>
    <t>Baked fish with herb sauce</t>
  </si>
  <si>
    <t>Sauté spinach/White onion dice</t>
  </si>
  <si>
    <t>Sauté spinach/Garlic chop</t>
  </si>
  <si>
    <t>Herb sauce/Prepare sweet basil</t>
  </si>
  <si>
    <t>Herb sauce/Prepare Ittalian basil</t>
  </si>
  <si>
    <t>Pesto paste</t>
  </si>
  <si>
    <t>Stir-Fried vegeta/Green Bean cut</t>
  </si>
  <si>
    <t>Sambal sauce/Red onion chop</t>
  </si>
  <si>
    <t>Sambal sauce/White onion chop</t>
  </si>
  <si>
    <t>Baked pasta with chicken tomato</t>
  </si>
  <si>
    <t>Support Cleanning  equipment room</t>
  </si>
  <si>
    <t>Baked chicken patties 0/5 batch</t>
  </si>
  <si>
    <t>Baked chicken patties 5 batch</t>
  </si>
  <si>
    <t>Herb sauce B.4-6</t>
  </si>
  <si>
    <t>Herb sauce B.7-8</t>
  </si>
  <si>
    <t>Herb sauce B.9-10</t>
  </si>
  <si>
    <t>Blanched Basil B.4</t>
  </si>
  <si>
    <t>Blanched Basil B.5</t>
  </si>
  <si>
    <t>Blanched Basil B.6</t>
  </si>
  <si>
    <t>Blanched Basil B.7</t>
  </si>
  <si>
    <t>Blanched Basil B.8</t>
  </si>
  <si>
    <t>Blanched Basil B.9</t>
  </si>
  <si>
    <t>Blanched Basil B.10</t>
  </si>
  <si>
    <t>Pesto paste B.4-6</t>
  </si>
  <si>
    <t>Pesto paste B.7-8</t>
  </si>
  <si>
    <t>Sauté spinach B.1</t>
  </si>
  <si>
    <t>Sauté spinach B.2</t>
  </si>
  <si>
    <t>Sauté spinach B.3</t>
  </si>
  <si>
    <t>Sauté spinach B.4</t>
  </si>
  <si>
    <t>Sauté spinach B.5</t>
  </si>
  <si>
    <t>Sauté spinach B.6</t>
  </si>
  <si>
    <t>Sauté spinach B.7</t>
  </si>
  <si>
    <t>Sauté spinach B.8</t>
  </si>
  <si>
    <t>Sauté spinach B.9</t>
  </si>
  <si>
    <t>Sauté spinach B.10</t>
  </si>
  <si>
    <t>Boiled fusilli pasta 1/1</t>
  </si>
  <si>
    <t>Boiled fusilli pasta 1/2</t>
  </si>
  <si>
    <t>Boiled fusilli pasta 1/3</t>
  </si>
  <si>
    <t>Boiled fusilli pasta 2/1</t>
  </si>
  <si>
    <t>Boiled fusilli pasta 2/2</t>
  </si>
  <si>
    <t>Boiled fusilli pasta 3/1</t>
  </si>
  <si>
    <t>Boiled fusilli pasta 3/2</t>
  </si>
  <si>
    <t>Boiled fusilli pasta 4/1</t>
  </si>
  <si>
    <t>Boiled fusilli pasta 4/2</t>
  </si>
  <si>
    <t>Coating sauce B.1-4</t>
  </si>
  <si>
    <t>Stir-Fried vegeta B.1</t>
  </si>
  <si>
    <t>Stir-Fried vegeta B.2</t>
  </si>
  <si>
    <t>Stir-Fried vegeta B.3</t>
  </si>
  <si>
    <t>Stir-Fried vegeta B.4</t>
  </si>
  <si>
    <t>Stir-Fried vegeta B.5</t>
  </si>
  <si>
    <t>Stir-Fried vegeta B.6</t>
  </si>
  <si>
    <t>Cooking room &amp; Prepare Vegetable Support</t>
  </si>
  <si>
    <t xml:space="preserve">Baked fish with herb sauce </t>
  </si>
  <si>
    <t>Veg. Sauce/Prepare Chives</t>
  </si>
  <si>
    <t>Veg. Sauce/Chives Chop 10 B</t>
  </si>
  <si>
    <t>Herb sauce/Garlic Chop</t>
  </si>
  <si>
    <t>Herb sauce/Prepare sweet basil/Ittalian basil</t>
  </si>
  <si>
    <t>Arrabiata Sauce/Garlic Slice 4 B.</t>
  </si>
  <si>
    <t>Arrabiata Sauce/Dry Red Chili 4 B.</t>
  </si>
  <si>
    <t>Arrabiata Sauce/Tomato Chop 4 B.</t>
  </si>
  <si>
    <t>Arrabiata Sauce/Italian Chop 4B.</t>
  </si>
  <si>
    <t>Stir-Fried Mushroom/Mushroom Slice 4 B.</t>
  </si>
  <si>
    <t>Slice 5-8 mm</t>
  </si>
  <si>
    <t>Stir-Fried Mushroom/Garlic Chop 4 B.</t>
  </si>
  <si>
    <t>Parsley Chop 4 B.</t>
  </si>
  <si>
    <t>Tomato concasse for patties/Garlic Chop 5 B.</t>
  </si>
  <si>
    <t>Tomato concasse for patties/Onion Chop 5 B.</t>
  </si>
  <si>
    <t>Veg.sauce/Garlic 6 B.</t>
  </si>
  <si>
    <t>Rendang Sauce/Garlic 6 B.</t>
  </si>
  <si>
    <t>Rendang Sauce/Prepare Red Onion</t>
  </si>
  <si>
    <t>Rendang Sauce/Red Onion 6 B.</t>
  </si>
  <si>
    <t>Rendang Sauce/Red Chili Paste 6 B.</t>
  </si>
  <si>
    <t>Rendang Sauce/Kerisik 6 B.</t>
  </si>
  <si>
    <t>Saute Spinch with Onion/Prapare Spinch 6 B.</t>
  </si>
  <si>
    <t>Saute Spinch with Onion/Prapare Spinch 2 B.</t>
  </si>
  <si>
    <t>Saute Spinch with Onion/Cutting Spinch 1 B.</t>
  </si>
  <si>
    <t>Sauce for vegeta B.1-B.10</t>
  </si>
  <si>
    <t>Herd sauce B.1-B.3</t>
  </si>
  <si>
    <t>Roasted potato B.1</t>
  </si>
  <si>
    <t>Roasted potato B.2</t>
  </si>
  <si>
    <t>Roasted potato B.3</t>
  </si>
  <si>
    <t>Roasted potato B.4</t>
  </si>
  <si>
    <t>Roasted potato B.5</t>
  </si>
  <si>
    <t>Dry Parsley steamed B.1-B.4</t>
  </si>
  <si>
    <t>Stir fried mushroom B.1-B.2</t>
  </si>
  <si>
    <t>Stir fried mushroom B.3-B.4</t>
  </si>
  <si>
    <t xml:space="preserve">Nasi lemak rendang </t>
  </si>
  <si>
    <t>Rendang sauce B.1</t>
  </si>
  <si>
    <t>Rendang sauce B.2</t>
  </si>
  <si>
    <t>Rendang sauce B.3</t>
  </si>
  <si>
    <t>Rendang sauce B.4</t>
  </si>
  <si>
    <t>Rendang sauce B.5</t>
  </si>
  <si>
    <t>Rendang sauce B.6</t>
  </si>
  <si>
    <t>Stir-fried Chicken B.1</t>
  </si>
  <si>
    <t>Stir-fried Chicken B.2</t>
  </si>
  <si>
    <t>Stir-fried Chicken B.3</t>
  </si>
  <si>
    <t>Stir-fried Chicken B.4</t>
  </si>
  <si>
    <t>Stir-fried Chicken B.5</t>
  </si>
  <si>
    <t>Stir-fried Chicken B.6</t>
  </si>
  <si>
    <r>
      <rPr>
        <sz val="16"/>
        <color rgb="FF000000"/>
        <rFont val="AngsanaUPC"/>
        <family val="1"/>
      </rPr>
      <t>Cooking chicken B.7</t>
    </r>
    <r>
      <rPr>
        <sz val="16"/>
        <color rgb="FFFF0000"/>
        <rFont val="AngsanaUPC"/>
        <family val="1"/>
      </rPr>
      <t xml:space="preserve"> (0.5)</t>
    </r>
  </si>
  <si>
    <t>Vegetta sauce B.1-B.6</t>
  </si>
  <si>
    <t xml:space="preserve">Baked Cheese Omelette with Chicken Patties, Paprika Potatoes and Creaed Spinach </t>
  </si>
  <si>
    <t>6/3/2026</t>
  </si>
  <si>
    <t>Fresh fine chives</t>
  </si>
  <si>
    <t>Black Pepper Chicken with Steamed Rice</t>
  </si>
  <si>
    <t>Blanched chye sim/Chye sim cut</t>
  </si>
  <si>
    <t>Prepare lemon glass</t>
  </si>
  <si>
    <t>Egg plant cut</t>
  </si>
  <si>
    <t>Blanched Basil B.1</t>
  </si>
  <si>
    <t>Blanched Basil B.2</t>
  </si>
  <si>
    <t>Blanched Basil B.3</t>
  </si>
  <si>
    <t>Blanched Basil B.9 (0.5 batch)</t>
  </si>
  <si>
    <t>Sauté spinach B.8 (1.5 batch)</t>
  </si>
  <si>
    <t>Herb sauce B.1-3</t>
  </si>
  <si>
    <t>Herb sauce B.7-9</t>
  </si>
  <si>
    <t>Pesto paste B.1-3</t>
  </si>
  <si>
    <t>Pesto paste B.7-9</t>
  </si>
  <si>
    <t>Fried potato B.9 (0.5 batch)</t>
  </si>
  <si>
    <r>
      <rPr>
        <sz val="16"/>
        <color rgb="FF000000"/>
        <rFont val="AngsanaUPC"/>
        <family val="1"/>
      </rPr>
      <t xml:space="preserve">Fried potato B.1 </t>
    </r>
    <r>
      <rPr>
        <sz val="16"/>
        <color rgb="FFFF0000"/>
        <rFont val="AngsanaUPC"/>
        <family val="1"/>
      </rPr>
      <t>LOI.066</t>
    </r>
  </si>
  <si>
    <r>
      <rPr>
        <sz val="16"/>
        <color rgb="FF000000"/>
        <rFont val="AngsanaUPC"/>
        <family val="1"/>
      </rPr>
      <t xml:space="preserve">Fried potato B.2 </t>
    </r>
    <r>
      <rPr>
        <sz val="16"/>
        <color rgb="FFFF0000"/>
        <rFont val="AngsanaUPC"/>
        <family val="1"/>
      </rPr>
      <t>LOI.066</t>
    </r>
  </si>
  <si>
    <t>Steam white Rice B.1/1</t>
  </si>
  <si>
    <t>Steam white Rice B.1/2</t>
  </si>
  <si>
    <t>Steam white Rice B.1/3</t>
  </si>
  <si>
    <t>Steam white Rice B.2/1</t>
  </si>
  <si>
    <t>Steam white Rice B.2/2</t>
  </si>
  <si>
    <t>Steam white Rice B.2/3</t>
  </si>
  <si>
    <t>Steam white Rice B.3/1</t>
  </si>
  <si>
    <t>Steam white Rice B.3/2</t>
  </si>
  <si>
    <t>Steam white Rice B.3/3</t>
  </si>
  <si>
    <t>Steam white  Rice B.4/1</t>
  </si>
  <si>
    <t>Steam white Rice B.4/2</t>
  </si>
  <si>
    <t>Steam white Rice B.4/3</t>
  </si>
  <si>
    <t>Steam white rice 5/1</t>
  </si>
  <si>
    <t>Steam white rice 5/2</t>
  </si>
  <si>
    <t>Steam white rice 5/3</t>
  </si>
  <si>
    <t>Steam white rice 6/1</t>
  </si>
  <si>
    <t>Steam white rice 6/2</t>
  </si>
  <si>
    <t>Steam white rice 6/3</t>
  </si>
  <si>
    <t>Steam white rice 7/1</t>
  </si>
  <si>
    <t>Steam white rice 7/2</t>
  </si>
  <si>
    <t>Steam white rice 7/3</t>
  </si>
  <si>
    <t>Steam white rice 8/1</t>
  </si>
  <si>
    <t>Steam white rice 8/2</t>
  </si>
  <si>
    <t>Steam white rice 8/3</t>
  </si>
  <si>
    <t>Steam white rice 9/1</t>
  </si>
  <si>
    <t>Steam white rice 9/2</t>
  </si>
  <si>
    <t>Steam white rice 9/3</t>
  </si>
  <si>
    <t>Steam white rice 10/1</t>
  </si>
  <si>
    <t>Steam white rice 10/2</t>
  </si>
  <si>
    <t>Steam white rice 10/3</t>
  </si>
  <si>
    <t>Steam white rice 11/1</t>
  </si>
  <si>
    <t>Steam white rice 11/2</t>
  </si>
  <si>
    <t>Steam white rice 11/3</t>
  </si>
  <si>
    <t>Steam white rice 12/1</t>
  </si>
  <si>
    <t>Steam white rice 12/2</t>
  </si>
  <si>
    <t>Steam white rice 12/3</t>
  </si>
  <si>
    <t>Desciceted coconut for (ontop) 6 batch</t>
  </si>
  <si>
    <t>Desciceted coconut for Kerisik B.1 (3 Batch)</t>
  </si>
  <si>
    <t>Desciceted coconut for Kerisik B.2 (3 Batch)</t>
  </si>
  <si>
    <t>Black pepper sauce/Garlic Chop 12 B.</t>
  </si>
  <si>
    <t>Black pepper sauce/Prepare Ginger</t>
  </si>
  <si>
    <t>Black pepper sauce/Ginger Chop 12 B.</t>
  </si>
  <si>
    <t>Black pepper sauce/Onion Chop 12 B.</t>
  </si>
  <si>
    <t>Blanched Chye Sim/Cutting Chye sim 2 B.</t>
  </si>
  <si>
    <t>Veg. Sauce/Chives Chop 8.5 B.</t>
  </si>
  <si>
    <t>Saute Spinch with Onion/Onion Dice 8.5 B.</t>
  </si>
  <si>
    <t>Saute Spinch with Onion/Cutting Spinch 5.5 B.</t>
  </si>
  <si>
    <t>Saute Spinch with Onion/Cutting Spinch 3 B.</t>
  </si>
  <si>
    <t>Sauce for vegeta B.1-B.8.5</t>
  </si>
  <si>
    <t>Roasted potato B.6</t>
  </si>
  <si>
    <t>Roasted potato B.7</t>
  </si>
  <si>
    <t xml:space="preserve">Black Pepper Chicken with Steamed Rice </t>
  </si>
  <si>
    <t>Vegeta sauce B.1-B.6</t>
  </si>
  <si>
    <t>Vegeta sauce B.7-B.12</t>
  </si>
  <si>
    <t>Black pepper sauce B.1-B.2</t>
  </si>
  <si>
    <t>Black pepper sauce B.3-B.4</t>
  </si>
  <si>
    <t>Black pepper sauce B.5-B.6</t>
  </si>
  <si>
    <t>Black pepper sauce B.7-B.8</t>
  </si>
  <si>
    <t>Black pepper sauce B.9-B.10</t>
  </si>
  <si>
    <t>Black pepper sauce B.11-B.12</t>
  </si>
  <si>
    <t>Stir Fried Chicken 1/1</t>
  </si>
  <si>
    <t>Stir Fried Chicken 1/2</t>
  </si>
  <si>
    <t>Stir Fried Chicken 2/1</t>
  </si>
  <si>
    <t>Stir Fried Chicken 2/2</t>
  </si>
  <si>
    <t>Stir Fried Chicken 3/1</t>
  </si>
  <si>
    <t>Stir Fried Chicken 3/2</t>
  </si>
  <si>
    <t>Stir Fried Chicken 4/1</t>
  </si>
  <si>
    <t>Stir Fried Chicken 4/2</t>
  </si>
  <si>
    <t>Stir Fried Chicken 5/1</t>
  </si>
  <si>
    <t>Stir Fried Chicken 5/2</t>
  </si>
  <si>
    <t>Stir Fried Chicken 6/1</t>
  </si>
  <si>
    <t>Stir Fried Chicken 6/2</t>
  </si>
  <si>
    <t>Stir Fried Chicken 7/1</t>
  </si>
  <si>
    <t>Stir Fried Chicken 7/2</t>
  </si>
  <si>
    <t>Stir Fried Chicken 8/1</t>
  </si>
  <si>
    <t>Stir Fried Chicken 8/2</t>
  </si>
  <si>
    <t>Stir Fried Chicken 9/1</t>
  </si>
  <si>
    <t>Stir Fried Chicken 9/2</t>
  </si>
  <si>
    <t>Stir Fried Chicken 10/1</t>
  </si>
  <si>
    <t>Stir Fried Chicken 10/2</t>
  </si>
  <si>
    <t>Stir Fried Chicken 11/1</t>
  </si>
  <si>
    <t>Stir Fried Chicken 11/2</t>
  </si>
  <si>
    <t>Stir Fried Chicken12/1</t>
  </si>
  <si>
    <t>Stir Fried Chicken12/2</t>
  </si>
  <si>
    <r>
      <rPr>
        <sz val="16"/>
        <color rgb="FF000000"/>
        <rFont val="AngsanaUPC"/>
        <family val="1"/>
      </rPr>
      <t xml:space="preserve">Stir Fried Chicken 13/1 </t>
    </r>
    <r>
      <rPr>
        <sz val="16"/>
        <color rgb="FFFF0000"/>
        <rFont val="AngsanaUPC"/>
        <family val="1"/>
      </rPr>
      <t>(0.5)</t>
    </r>
  </si>
  <si>
    <t>Cooked Chicken 1/1</t>
  </si>
  <si>
    <t>Cooked Chicken 1/2</t>
  </si>
  <si>
    <t>Cooked Chicken 2/1</t>
  </si>
  <si>
    <t>Cooked Chicken 2/2</t>
  </si>
  <si>
    <t>Cooked Chicken 3/1</t>
  </si>
  <si>
    <t>Cooked Chicken 3/2</t>
  </si>
  <si>
    <t>Cooked Chicken 4/1</t>
  </si>
  <si>
    <t>Cooked Chicken 4/2</t>
  </si>
  <si>
    <t>Cooked Chicken 5/1</t>
  </si>
  <si>
    <t>Cooked Chicken 5/2</t>
  </si>
  <si>
    <t>Cooked Chicken 6/1</t>
  </si>
  <si>
    <t>Cooked Chicken 6/2</t>
  </si>
  <si>
    <t>Cooked Chicken 7/1</t>
  </si>
  <si>
    <t>Cooked Chicken 7/2</t>
  </si>
  <si>
    <t>Cooked Chicken 8/1</t>
  </si>
  <si>
    <t>Cooked Chicken 8/2</t>
  </si>
  <si>
    <t>Cooked Chicken 9/1</t>
  </si>
  <si>
    <t>Cooked Chicken 9/2</t>
  </si>
  <si>
    <t>Cooked Chicken 10/1</t>
  </si>
  <si>
    <t>Cooked Chicken 10/2</t>
  </si>
  <si>
    <t>Cooked Chicken 11/1</t>
  </si>
  <si>
    <t>Cooked Chicken 11/2</t>
  </si>
  <si>
    <t>Cooked Chicken 12/1</t>
  </si>
  <si>
    <t>Cooked Chicken 12/2</t>
  </si>
  <si>
    <r>
      <rPr>
        <sz val="16"/>
        <color rgb="FF000000"/>
        <rFont val="AngsanaUPC"/>
        <family val="1"/>
      </rPr>
      <t xml:space="preserve">Cooked Chicken 13/1 </t>
    </r>
    <r>
      <rPr>
        <sz val="16"/>
        <color rgb="FFFF0000"/>
        <rFont val="AngsanaUPC"/>
        <family val="1"/>
      </rPr>
      <t>(0.5)</t>
    </r>
  </si>
  <si>
    <t>5/3/2026</t>
  </si>
  <si>
    <t>Chasseur sauce/Garlic chop</t>
  </si>
  <si>
    <t>Chasseur sauce/White Onion chop</t>
  </si>
  <si>
    <t>Chasseur sauce/Tin chop tomato</t>
  </si>
  <si>
    <t>Champinon mushroom Slice</t>
  </si>
  <si>
    <t>size 5 mm</t>
  </si>
  <si>
    <t>Open tomato</t>
  </si>
  <si>
    <t>Prepare Veg. &amp;</t>
  </si>
  <si>
    <t xml:space="preserve">Cooking room </t>
  </si>
  <si>
    <t>Support</t>
  </si>
  <si>
    <t>Chasseur sauce B.9</t>
  </si>
  <si>
    <t>Chasseur sauce B.10</t>
  </si>
  <si>
    <t>Steam fish 9/1</t>
  </si>
  <si>
    <t>Steam fish 9/2</t>
  </si>
  <si>
    <t>Steam fish 9/3</t>
  </si>
  <si>
    <t>Steam fish 9/4</t>
  </si>
  <si>
    <t>Black pepper sauce/Prepare Onion</t>
  </si>
  <si>
    <t>Blanched Chye Sim/Washing Chye Sim 12 B.</t>
  </si>
  <si>
    <t>Chasseur Sauce/Garlic Chop 5 B.</t>
  </si>
  <si>
    <t>Chasseur Sauce/Onion Chop 5 B.</t>
  </si>
  <si>
    <t>Chasseur Sauce/Tomato Chop 5 B.</t>
  </si>
  <si>
    <t>Chasseur Sauce/Mushroom Slice 4 B.</t>
  </si>
  <si>
    <t>Chasseur Sauce/Mushroom Slice 1 B.</t>
  </si>
  <si>
    <t>Vegeta sauce B.1-6</t>
  </si>
  <si>
    <t>Vegeta sauce B.7-12</t>
  </si>
  <si>
    <t>Steam White Rice B.1/1</t>
  </si>
  <si>
    <t>Steam White Rice B.1/2</t>
  </si>
  <si>
    <t>Steam White Rice B.1/3</t>
  </si>
  <si>
    <t>Steam White Rice B.2/1</t>
  </si>
  <si>
    <t>Steam White Rice B.2/2</t>
  </si>
  <si>
    <t>Steam White Rice B.2/3</t>
  </si>
  <si>
    <t>Steam White Rice B.3/1</t>
  </si>
  <si>
    <t>Steam White Rice B.3/2</t>
  </si>
  <si>
    <t>Steam White Rice B.3/3</t>
  </si>
  <si>
    <t>Steam White Rice B.4/1</t>
  </si>
  <si>
    <t>Steam White Rice B.4/2</t>
  </si>
  <si>
    <t>Steam White Rice B.4/3</t>
  </si>
  <si>
    <t>Black pepper sauce B.1-2</t>
  </si>
  <si>
    <t>Black pepper sauce B.3-4</t>
  </si>
  <si>
    <t>Black pepper sauce B.5-6</t>
  </si>
  <si>
    <t>Black pepper sauce B.7-8</t>
  </si>
  <si>
    <t>Black pepper sauce B.9-10</t>
  </si>
  <si>
    <t>Black pepper sauce B.11-12</t>
  </si>
  <si>
    <t>Stir Fried Chicken 13/1</t>
  </si>
  <si>
    <t>Stir Fried Chicken 13/2</t>
  </si>
  <si>
    <t>Cooked Chicken 13/1</t>
  </si>
  <si>
    <t>Cooked Chicken 13/2</t>
  </si>
  <si>
    <t>Steam parmesan &amp; parsley B.1-10</t>
  </si>
  <si>
    <t>Chasseur Sauce B.1</t>
  </si>
  <si>
    <t>Chasseur Sauce B.2</t>
  </si>
  <si>
    <t>Chasseur Sauce B.3</t>
  </si>
  <si>
    <t>Chasseur Sauce B.4</t>
  </si>
  <si>
    <t>Chasseur Sauce B.5</t>
  </si>
  <si>
    <t>Fried peanut B. 1-8</t>
  </si>
  <si>
    <t>Seafood Tom Yum Bee Hoon (Bento)</t>
  </si>
  <si>
    <t>Red Chilli Cut</t>
  </si>
  <si>
    <t>Prepare Bean Sprout</t>
  </si>
  <si>
    <t>Chives Cut</t>
  </si>
  <si>
    <t>Arrabiata Fish With Pasta&amp;Eggpla</t>
  </si>
  <si>
    <t>Chives Chop</t>
  </si>
  <si>
    <t>Black Pepper Chicken With Steamed Rice</t>
  </si>
  <si>
    <t>Chye Sim Cut</t>
  </si>
  <si>
    <t>Fried Egg 4 batch</t>
  </si>
  <si>
    <t>Spring Onion Chicken with Noodles (MU)</t>
  </si>
  <si>
    <t>Steam Spring Onion B.1-4</t>
  </si>
  <si>
    <t>Blanched Noodle B.2</t>
  </si>
  <si>
    <t>Blanched Noodle B.3</t>
  </si>
  <si>
    <t>Blanched Noodle B.4</t>
  </si>
  <si>
    <t>Baked Pasta with Chicken Tomato Ragout  (Bento)</t>
  </si>
  <si>
    <t>Boiled Penne Pasta B.1/1</t>
  </si>
  <si>
    <t>Boiled Penne Pasta B.1/2</t>
  </si>
  <si>
    <t>Boiled Penne Pasta B.2/1</t>
  </si>
  <si>
    <t>Boiled Penne Pasta B.2/2</t>
  </si>
  <si>
    <t>Boiled Penne Pasta B.3/1</t>
  </si>
  <si>
    <t>Boiled Penne Pasta B.3/2</t>
  </si>
  <si>
    <t>Boiled Penne Pasta B.4/1</t>
  </si>
  <si>
    <t>Boiled Penne Pasta B.4/2</t>
  </si>
  <si>
    <t>Boiled Penne Pasta B.5/1</t>
  </si>
  <si>
    <t>Boiled Penne Pasta B.5/2</t>
  </si>
  <si>
    <t>Boiled Penne Pasta B.6/1</t>
  </si>
  <si>
    <t>Boiled Penne Pasta B.6/2</t>
  </si>
  <si>
    <t>Boiled Penne Pasta B.7/1</t>
  </si>
  <si>
    <t>Boiled Penne Pasta B.7/2</t>
  </si>
  <si>
    <t>Boiled Penne Pasta B.8/1</t>
  </si>
  <si>
    <t>Boiled Penne Pasta B.8/2</t>
  </si>
  <si>
    <t>Boiled Penne Pasta B.9/1</t>
  </si>
  <si>
    <t>Boiled Penne Pasta B.9/2</t>
  </si>
  <si>
    <t>Boiled Penne Pasta B.10/1</t>
  </si>
  <si>
    <t>Boiled Penne Pasta B.10/2</t>
  </si>
  <si>
    <t>Boiled Penne Pasta B.11/1</t>
  </si>
  <si>
    <t>Boiled Penne Pasta B.11/2</t>
  </si>
  <si>
    <t>Boiled Penne Pasta B.12/1</t>
  </si>
  <si>
    <t>Boiled Penne Pasta B.12/2</t>
  </si>
  <si>
    <t>Boiled Penne Pasta B.13/1</t>
  </si>
  <si>
    <t>Boiled Penne Pasta B.13/2</t>
  </si>
  <si>
    <t>Boiled Penne Pasta B.14/1</t>
  </si>
  <si>
    <t>Boiled Penne Pasta B.14/2</t>
  </si>
  <si>
    <t>Boiled Penne Pasta B.15/1</t>
  </si>
  <si>
    <t>Boiled Penne Pasta B.15/2</t>
  </si>
  <si>
    <t>Boiled Penne Pasta B.16/1</t>
  </si>
  <si>
    <t>Boiled Penne Pasta B.16/2</t>
  </si>
  <si>
    <t>Boiled Penne Pasta B.17/1</t>
  </si>
  <si>
    <t>Boiled Penne Pasta B.17/2</t>
  </si>
  <si>
    <t>Boiled Penne Pasta B.18/1</t>
  </si>
  <si>
    <t>Boiled Penne Pasta B.18/2</t>
  </si>
  <si>
    <t>Boiled Penne Pasta B.19/1</t>
  </si>
  <si>
    <t>Boiled Penne Pasta B.19/2</t>
  </si>
  <si>
    <t>Chicken Tomato Ragout Sauce B.16</t>
  </si>
  <si>
    <t>Chicken Tomato Ragout Sauce B.17</t>
  </si>
  <si>
    <t>Seafood tomyum bee hon (Bento)</t>
  </si>
  <si>
    <t>Blanched Chives B.2</t>
  </si>
  <si>
    <t>Blanched Chives B.3</t>
  </si>
  <si>
    <t>Blanched Chives B.4</t>
  </si>
  <si>
    <t>Blanched Chives B.5</t>
  </si>
  <si>
    <t>Blanched Chives B.6</t>
  </si>
  <si>
    <t>Blanched Spring Onion B.2</t>
  </si>
  <si>
    <t>Blanched Spring Onion B.3</t>
  </si>
  <si>
    <t>Blanched Spring Onion B.4</t>
  </si>
  <si>
    <t>Blanched Spring Onion B.5</t>
  </si>
  <si>
    <t>Blanched Spring Onion B.6</t>
  </si>
  <si>
    <t>Blanched Red Chilli B.2</t>
  </si>
  <si>
    <t>Blanched Red Chilli B.3</t>
  </si>
  <si>
    <t>Blanched Red Chilli B.4</t>
  </si>
  <si>
    <t>Blanched Red Chilli B.5</t>
  </si>
  <si>
    <t>Blanched Red Chilli B.6</t>
  </si>
  <si>
    <t>Blanched Culantro B.1</t>
  </si>
  <si>
    <t>Blanched Culantro B.2</t>
  </si>
  <si>
    <t>Blanched Culantro B.3</t>
  </si>
  <si>
    <t>Blanched Culantro B.4</t>
  </si>
  <si>
    <t>Blanched Culantro B.5</t>
  </si>
  <si>
    <t>Blanched Culantro B.6</t>
  </si>
  <si>
    <t>Stir-Fried Vegetable B.1</t>
  </si>
  <si>
    <t>Stir-Fried Vegetable B.2</t>
  </si>
  <si>
    <t>Stir-Fried Vegetable B.3</t>
  </si>
  <si>
    <t>Stir-Fried Vegetable B.4</t>
  </si>
  <si>
    <t>Stir-Fried Vegetable B.5</t>
  </si>
  <si>
    <t>Stir-Fried Vegetable B.6</t>
  </si>
  <si>
    <t>Blanched Noodle B.5</t>
  </si>
  <si>
    <t>Blanched Noodle B.6</t>
  </si>
  <si>
    <t>Gong bao chicken with staeam rice</t>
  </si>
  <si>
    <r>
      <t xml:space="preserve">Fried chicken B.6 </t>
    </r>
    <r>
      <rPr>
        <sz val="16"/>
        <color rgb="FFFF0000"/>
        <rFont val="AngsanaUPC"/>
        <family val="1"/>
      </rPr>
      <t>(0.5)</t>
    </r>
  </si>
  <si>
    <t>Steam Egg B.1</t>
  </si>
  <si>
    <t>Steam Egg B.2</t>
  </si>
  <si>
    <t>Steam Egg B.3</t>
  </si>
  <si>
    <t>Steam Egg B.4</t>
  </si>
  <si>
    <t>Tomato Sauce/Garlic Chop 17 B.</t>
  </si>
  <si>
    <t>Tomato Sauce/Onion Chop 17 B.</t>
  </si>
  <si>
    <t>Tomato Sauce/Tomato Chop 17 B.</t>
  </si>
  <si>
    <t>Tomato Sauce/Carrot Chop 15 B.</t>
  </si>
  <si>
    <t>Tomato Sauce/Celery Chop 17 B.</t>
  </si>
  <si>
    <r>
      <rPr>
        <sz val="16"/>
        <color rgb="FF000000"/>
        <rFont val="AngsanaUPC"/>
        <family val="1"/>
      </rPr>
      <t xml:space="preserve">Spring Onion Chicken with Noodles </t>
    </r>
    <r>
      <rPr>
        <sz val="16"/>
        <color rgb="FFFF0000"/>
        <rFont val="AngsanaUPC"/>
        <family val="1"/>
      </rPr>
      <t>(MU)</t>
    </r>
  </si>
  <si>
    <t>Noodle sauce/Garlic Chop 4 B.</t>
  </si>
  <si>
    <t>Prepare Spring onion ginger oil 4 B.</t>
  </si>
  <si>
    <t>Steam Spring Onion/Cutting Spring Onion 4 B.</t>
  </si>
  <si>
    <t>Washing Bok Choy 4 B.</t>
  </si>
  <si>
    <t>Stir Fried Veg./Cutting Cabbage 6 B.</t>
  </si>
  <si>
    <t>Blanched Spring Onion/Cutting Spring Onion 6 B.</t>
  </si>
  <si>
    <t>Blanched Chives /Cutting Chives 6 B.</t>
  </si>
  <si>
    <t>Blanched Culantro/Cutting Culantro 6 B.</t>
  </si>
  <si>
    <t>Baked Pasta with Chicken Tomato Ragout  (ฺBento)</t>
  </si>
  <si>
    <t>Steam parmesan cheese B.1-B.13</t>
  </si>
  <si>
    <t>Steam parmesan cheese B.4-B.17</t>
  </si>
  <si>
    <t>Cooked ginger chicken B.1</t>
  </si>
  <si>
    <t>Cooked ginger chicken B.2</t>
  </si>
  <si>
    <t>Cooked ginger chicken B.3</t>
  </si>
  <si>
    <t>Cooked ginger chicken B.4</t>
  </si>
  <si>
    <t>Spring onion ginger oil B.1-B.4</t>
  </si>
  <si>
    <t>Black coating sauce B.1-B.4</t>
  </si>
  <si>
    <t>Noodle sauce B.1-B.2</t>
  </si>
  <si>
    <t>Noodle sauce B.3-B .4</t>
  </si>
  <si>
    <t>Oriental Sauce B.1-B.2</t>
  </si>
  <si>
    <t>Oriental Sauce B.3-B.4</t>
  </si>
  <si>
    <t>Blanched Squid B1</t>
  </si>
  <si>
    <t>Blanched Squid B2</t>
  </si>
  <si>
    <t>Blanched Squid B3</t>
  </si>
  <si>
    <t>Blanched Squid B4</t>
  </si>
  <si>
    <r>
      <rPr>
        <sz val="16"/>
        <color rgb="FF000000"/>
        <rFont val="AngsanaUPC"/>
        <family val="1"/>
      </rPr>
      <t xml:space="preserve">Blanched Squid B.5 </t>
    </r>
    <r>
      <rPr>
        <sz val="16"/>
        <color rgb="FFFF0000"/>
        <rFont val="AngsanaUPC"/>
        <family val="1"/>
      </rPr>
      <t>(0.5)</t>
    </r>
  </si>
  <si>
    <r>
      <rPr>
        <sz val="16"/>
        <color rgb="FF000000"/>
        <rFont val="AngsanaUPC"/>
        <family val="1"/>
      </rPr>
      <t>Fried chicken B.4</t>
    </r>
    <r>
      <rPr>
        <sz val="16"/>
        <color rgb="FFFF0000"/>
        <rFont val="AngsanaUPC"/>
        <family val="1"/>
      </rPr>
      <t xml:space="preserve"> *ยังทอดไม่จบ*</t>
    </r>
  </si>
  <si>
    <t>3/3/2026</t>
  </si>
  <si>
    <t>Baked Fish with Herb Sauce</t>
  </si>
  <si>
    <t>Meen Malabari with Pulao &amp; Lobia Gajar Poriyal, Plain Paratha</t>
  </si>
  <si>
    <t>Malabari curry paste/Garlic chop</t>
  </si>
  <si>
    <t>Malabari curry paste/Ginger paste</t>
  </si>
  <si>
    <t>Malabari curry paste/White onion chop</t>
  </si>
  <si>
    <t>size 4-5 mm</t>
  </si>
  <si>
    <t>Malabari curry paste/Green chili chop</t>
  </si>
  <si>
    <t>Malabari curry paste/Tomato chop</t>
  </si>
  <si>
    <t>Prepare Coconut milk</t>
  </si>
  <si>
    <t>Black eye pea carrot poriyal/Red dry chili</t>
  </si>
  <si>
    <t>Black eye pea carrot poriyal/Green coriander chop</t>
  </si>
  <si>
    <t xml:space="preserve">Stir-Fried cabbage/Cut cabbage </t>
  </si>
  <si>
    <t>size 10-10 mm</t>
  </si>
  <si>
    <t>Grill Chicken Breast with Thyme Jus</t>
  </si>
  <si>
    <t>Baked pasta with chicken tomato ragout (MU)</t>
  </si>
  <si>
    <t>Bread crump Parsley B.1-9</t>
  </si>
  <si>
    <t>Stir Fried Veg.B.5-7</t>
  </si>
  <si>
    <t>Steam Oil Mix Fried Rice B.1-7</t>
  </si>
  <si>
    <t>Steam Rice 5/1</t>
  </si>
  <si>
    <t>Steam Rice 5/2</t>
  </si>
  <si>
    <t>Malabi Sauce B.1</t>
  </si>
  <si>
    <t>Malabi Sauce B.2</t>
  </si>
  <si>
    <t>Boild Black Eye Pea (2batch)</t>
  </si>
  <si>
    <t>Black eye pea carrot poriyal B.1</t>
  </si>
  <si>
    <t>Black eye pea carrot poriyal B.2</t>
  </si>
  <si>
    <t>Malabari curry paste B.1-2</t>
  </si>
  <si>
    <t>Stir-Fried cabbage 4 batch</t>
  </si>
  <si>
    <t>Scramble egg B.1-2</t>
  </si>
  <si>
    <t>Scramble egg B.3-4</t>
  </si>
  <si>
    <t>Garlic Paste 7 B.</t>
  </si>
  <si>
    <t>Stir fried Veg./Green Capsicum 7 B.</t>
  </si>
  <si>
    <t>Stir fried Veg./Red Capsicum 0.5 B.</t>
  </si>
  <si>
    <t>Stir fried Veg./Red Capsicum 6.5 B.</t>
  </si>
  <si>
    <t>Blanched Spring Onion/Cutting Spring Onion 7 B.</t>
  </si>
  <si>
    <t>5-6 mm</t>
  </si>
  <si>
    <t>Washing Chye Sim 7 B.</t>
  </si>
  <si>
    <r>
      <rPr>
        <sz val="16"/>
        <color rgb="FF000000"/>
        <rFont val="AngsanaUPC"/>
        <family val="1"/>
      </rPr>
      <t xml:space="preserve">Baked Pasta with Chicken Tomato Ragout  </t>
    </r>
    <r>
      <rPr>
        <sz val="16"/>
        <color rgb="FFFF0000"/>
        <rFont val="AngsanaUPC"/>
        <family val="1"/>
      </rPr>
      <t>(Mu)</t>
    </r>
  </si>
  <si>
    <t>Tomato Sauce/Garlic Chop 11 B.</t>
  </si>
  <si>
    <t>Tomato Sauce/Prepare Onion</t>
  </si>
  <si>
    <t>Tomato Sauce/Onion Chop 11 B.</t>
  </si>
  <si>
    <t>Tomato Sauce/Carrot Chop 11 B.</t>
  </si>
  <si>
    <t>Tomato Sauce/Celery Chop 12 B.</t>
  </si>
  <si>
    <t>Sambal Sauce/Garlic chop 4 B.</t>
  </si>
  <si>
    <t>Sambal Sauce/Prepare Red onion</t>
  </si>
  <si>
    <t>Sambal Sauce/Red Onion Chop 4 B.</t>
  </si>
  <si>
    <t>Sambal Sauce/Dry Red Chili 90% 4 B.</t>
  </si>
  <si>
    <t>Steam parmesan cheese B.1-B.11</t>
  </si>
  <si>
    <t>Steam bread crumb parsley B.1-B.11</t>
  </si>
  <si>
    <t>Vegetable sauce B.1-B.7</t>
  </si>
  <si>
    <t>Fried chiccken B.1</t>
  </si>
  <si>
    <t>Fried chiccken B.2</t>
  </si>
  <si>
    <t>Fried chiccken B.3</t>
  </si>
  <si>
    <t>Fried chiccken B.0.5</t>
  </si>
  <si>
    <t>Sambal sauce B.1-2</t>
  </si>
  <si>
    <t>Sambal sauce B.3-4</t>
  </si>
  <si>
    <t>2/3/2026</t>
  </si>
  <si>
    <t>size 3-6 mm</t>
  </si>
  <si>
    <t xml:space="preserve">Blanched Chye sim/Wash Chye sim </t>
  </si>
  <si>
    <t>Ratatouille/White onion dice</t>
  </si>
  <si>
    <t>size 20-22 mm</t>
  </si>
  <si>
    <t>Ratatouille/Green Capsicum cut</t>
  </si>
  <si>
    <t>Ratatouille/Yellow Capsicum cut</t>
  </si>
  <si>
    <t>Ratatouille/Garlic chop</t>
  </si>
  <si>
    <t>Thyme Jus/White onion chop</t>
  </si>
  <si>
    <t>Ratatouille/Open tomato</t>
  </si>
  <si>
    <t>Ratatouille/Tomato chop</t>
  </si>
  <si>
    <t>Blend 75 %</t>
  </si>
  <si>
    <t>Ratatouille/Red Capsicum cut</t>
  </si>
  <si>
    <t>Cutting fish 7 batch</t>
  </si>
  <si>
    <t>Ratatouille B.1</t>
  </si>
  <si>
    <t>Ratatouille B.2</t>
  </si>
  <si>
    <t>Ratatouille B.3</t>
  </si>
  <si>
    <t>Ratatouille B.4</t>
  </si>
  <si>
    <t>Ratatouille B.5 (1.5 batch)</t>
  </si>
  <si>
    <t>Thyme Jus B.1 (3 batch)</t>
  </si>
  <si>
    <t>Thyme Jus B.2 (2.5 batch)</t>
  </si>
  <si>
    <t>Saute Bread Crumb Parsley B.1-3</t>
  </si>
  <si>
    <t>Tomato Sauce/Garlic Chop 12 B.</t>
  </si>
  <si>
    <t>Tomato Sauce/Onion Chop 12 B.</t>
  </si>
  <si>
    <t>Tomato Sauce/Carrot Chop 12 B.</t>
  </si>
  <si>
    <t>Boil Potato/Dice Potato 5.6 B.</t>
  </si>
  <si>
    <t>20*20</t>
  </si>
  <si>
    <t>Blending Potato 5.6 B.</t>
  </si>
  <si>
    <t>Brown Stock/Garlic Chop 5.5 B.</t>
  </si>
  <si>
    <t>Brown Stock/Onion Chop 5.5 B.</t>
  </si>
  <si>
    <t>Brown Stock/Celery Chop 5.5 B.</t>
  </si>
  <si>
    <t>Brown Stock/Carrot Chop 5.5 B.</t>
  </si>
  <si>
    <t>Prepare Leek</t>
  </si>
  <si>
    <t>Brown Stock/Leek Chop 5.5 B.</t>
  </si>
  <si>
    <t>Ratatouille/Cutting Egg Plant 5.5 B.</t>
  </si>
  <si>
    <t>20-22 mm</t>
  </si>
  <si>
    <t xml:space="preserve">Ratatouille/Prepare Green Capsicum </t>
  </si>
  <si>
    <t>Steam parmesan cheese B.1-B.12</t>
  </si>
  <si>
    <t>Mashed Potato1/1</t>
  </si>
  <si>
    <t>Mashed Potato 2/4</t>
  </si>
  <si>
    <t>Mashed Potato 4/4</t>
  </si>
  <si>
    <t>Brown stock B.1-2</t>
  </si>
  <si>
    <t>Brown stock B.3-4</t>
  </si>
  <si>
    <t>Brown stock B.5.5</t>
  </si>
  <si>
    <t>Blender</t>
  </si>
  <si>
    <t>Peeling</t>
  </si>
  <si>
    <t>Robocoub dicer</t>
  </si>
  <si>
    <t>Egg filing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</si>
</sst>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[$-409]h:mm\ AM/PM;@"/>
    <numFmt numFmtId="166" formatCode="[$-1000000]h:mm:ss;@"/>
    <numFmt numFmtId="167" formatCode="h:mm;@"/>
    <numFmt numFmtId="168" formatCode="0.0%"/>
    <numFmt numFmtId="169" formatCode="0.0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AngsanaUPC"/>
      <family val="1"/>
    </font>
    <font>
      <sz val="16"/>
      <color theme="1"/>
      <name val="Calibri"/>
      <family val="2"/>
      <charset val="222"/>
      <scheme val="minor"/>
    </font>
    <font>
      <sz val="16"/>
      <color theme="1"/>
      <name val="AngsanaUPC"/>
      <family val="1"/>
    </font>
    <font>
      <sz val="16"/>
      <color rgb="FF000000"/>
      <name val="AngsanaUPC"/>
      <family val="1"/>
    </font>
    <font>
      <sz val="16"/>
      <color rgb="FFFF0000"/>
      <name val="AngsanaUPC"/>
      <family val="1"/>
    </font>
    <font>
      <sz val="16"/>
      <color theme="1"/>
      <name val="Angsana New"/>
      <family val="1"/>
    </font>
    <font>
      <sz val="11"/>
      <color theme="1"/>
      <name val="Calibri"/>
      <family val="2"/>
      <scheme val="minor"/>
    </font>
    <font>
      <b/>
      <sz val="26"/>
      <color theme="1"/>
      <name val="AngsanaUPC"/>
      <family val="1"/>
      <charset val="222"/>
    </font>
    <font>
      <b/>
      <u/>
      <sz val="16"/>
      <color theme="1"/>
      <name val="AngsanaUPC"/>
      <family val="1"/>
    </font>
    <font>
      <sz val="8"/>
      <name val="Calibri"/>
      <family val="2"/>
      <scheme val="minor"/>
    </font>
    <font>
      <sz val="16"/>
      <color rgb="FF242424"/>
      <name val="AngsanaUPC"/>
      <family val="1"/>
    </font>
    <font>
      <sz val="16"/>
      <name val="AngsanaUPC"/>
      <family val="1"/>
    </font>
    <font>
      <sz val="11"/>
      <color rgb="FF242424"/>
      <name val="Aptos Narrow"/>
      <family val="2"/>
    </font>
    <font>
      <sz val="16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11"/>
      <color rgb="FFFF0000"/>
      <name val="Calibri"/>
      <family val="2"/>
      <charset val="222"/>
      <scheme val="minor"/>
    </font>
    <font>
      <sz val="16"/>
      <color rgb="FF000000"/>
      <name val="AngsanaUPC"/>
      <charset val="1"/>
    </font>
    <font>
      <sz val="14"/>
      <color rgb="FF000000"/>
      <name val="AngsanaUPC"/>
      <family val="1"/>
    </font>
    <font>
      <sz val="14"/>
      <color rgb="FFFF0000"/>
      <name val="AngsanaUPC"/>
      <family val="1"/>
    </font>
    <font>
      <sz val="16"/>
      <color rgb="FF000000"/>
      <name val="AngsanaUPC"/>
    </font>
    <font>
      <sz val="16"/>
      <color rgb="FFFF0000"/>
      <name val="AngsanaUPC"/>
    </font>
    <font>
      <sz val="16"/>
      <color theme="1"/>
      <name val="AngsanaUPC"/>
    </font>
    <font>
      <sz val="14"/>
      <color rgb="FF000000"/>
      <name val="AngsanaUPC"/>
    </font>
    <font>
      <sz val="14"/>
      <color rgb="FFFF0000"/>
      <name val="AngsanaUPC"/>
    </font>
    <font>
      <sz val="16"/>
      <color rgb="FF242424"/>
      <name val="AngsanaUPC"/>
    </font>
    <font>
      <sz val="20"/>
      <color rgb="FFFF0000"/>
      <name val="AngsanaUPC"/>
      <family val="1"/>
    </font>
    <font>
      <sz val="18"/>
      <color rgb="FFFF0000"/>
      <name val="AngsanaUPC"/>
      <family val="1"/>
    </font>
    <font>
      <sz val="16"/>
      <color rgb="FFFF0000"/>
      <name val="Angsana New"/>
      <family val="1"/>
    </font>
    <font>
      <sz val="16"/>
      <color rgb="FFFF0000"/>
      <name val="Angsana New"/>
    </font>
    <font>
      <sz val="26"/>
      <color theme="1"/>
      <name val="AngsanaUPC"/>
      <family val="1"/>
      <charset val="22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</cellStyleXfs>
  <cellXfs count="227">
    <xf numFmtId="0" fontId="0" fillId="0" borderId="0" xfId="0"/>
    <xf numFmtId="0" fontId="2" fillId="2" borderId="1" xfId="0" applyFont="1" applyFill="1" applyBorder="1" applyAlignment="1">
      <alignment horizontal="center" vertical="top"/>
    </xf>
    <xf numFmtId="0" fontId="3" fillId="0" borderId="0" xfId="0" applyFont="1"/>
    <xf numFmtId="165" fontId="2" fillId="2" borderId="1" xfId="0" applyNumberFormat="1" applyFont="1" applyFill="1" applyBorder="1" applyAlignment="1">
      <alignment horizontal="center" vertical="top" wrapText="1"/>
    </xf>
    <xf numFmtId="0" fontId="2" fillId="2" borderId="0" xfId="0" applyFont="1" applyFill="1" applyAlignment="1">
      <alignment horizontal="center" vertical="top"/>
    </xf>
    <xf numFmtId="15" fontId="4" fillId="0" borderId="1" xfId="0" quotePrefix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/>
    </xf>
    <xf numFmtId="167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2" fontId="6" fillId="0" borderId="1" xfId="0" applyNumberFormat="1" applyFont="1" applyBorder="1" applyAlignment="1">
      <alignment horizontal="center"/>
    </xf>
    <xf numFmtId="0" fontId="5" fillId="0" borderId="4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center"/>
    </xf>
    <xf numFmtId="167" fontId="4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3" fillId="3" borderId="0" xfId="0" applyFont="1" applyFill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15" fontId="4" fillId="3" borderId="5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/>
    </xf>
    <xf numFmtId="165" fontId="4" fillId="3" borderId="5" xfId="0" applyNumberFormat="1" applyFont="1" applyFill="1" applyBorder="1" applyAlignment="1">
      <alignment horizontal="center"/>
    </xf>
    <xf numFmtId="167" fontId="4" fillId="3" borderId="5" xfId="0" applyNumberFormat="1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164" fontId="9" fillId="4" borderId="8" xfId="1" applyFont="1" applyFill="1" applyBorder="1" applyAlignment="1">
      <alignment horizontal="center" vertical="center"/>
    </xf>
    <xf numFmtId="168" fontId="9" fillId="4" borderId="8" xfId="2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5" fontId="10" fillId="0" borderId="0" xfId="0" applyNumberFormat="1" applyFont="1"/>
    <xf numFmtId="165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5" fillId="0" borderId="9" xfId="0" applyFont="1" applyBorder="1"/>
    <xf numFmtId="9" fontId="4" fillId="0" borderId="3" xfId="0" applyNumberFormat="1" applyFont="1" applyBorder="1" applyAlignment="1">
      <alignment horizontal="center" vertical="center"/>
    </xf>
    <xf numFmtId="0" fontId="5" fillId="0" borderId="6" xfId="0" applyFont="1" applyBorder="1"/>
    <xf numFmtId="16" fontId="4" fillId="0" borderId="5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" fontId="4" fillId="0" borderId="3" xfId="0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0" fontId="4" fillId="0" borderId="1" xfId="0" quotePrefix="1" applyFont="1" applyBorder="1" applyAlignment="1">
      <alignment horizontal="left" vertical="center"/>
    </xf>
    <xf numFmtId="2" fontId="6" fillId="0" borderId="1" xfId="0" quotePrefix="1" applyNumberFormat="1" applyFont="1" applyBorder="1" applyAlignment="1">
      <alignment horizontal="center"/>
    </xf>
    <xf numFmtId="0" fontId="4" fillId="0" borderId="2" xfId="0" applyFont="1" applyBorder="1" applyAlignment="1">
      <alignment vertical="center" wrapText="1"/>
    </xf>
    <xf numFmtId="0" fontId="4" fillId="0" borderId="11" xfId="0" applyFont="1" applyBorder="1" applyAlignment="1">
      <alignment horizontal="left" vertical="center"/>
    </xf>
    <xf numFmtId="0" fontId="5" fillId="0" borderId="1" xfId="0" applyFont="1" applyBorder="1"/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vertical="center"/>
    </xf>
    <xf numFmtId="0" fontId="3" fillId="0" borderId="12" xfId="0" applyFont="1" applyBorder="1"/>
    <xf numFmtId="0" fontId="4" fillId="0" borderId="5" xfId="0" applyFont="1" applyBorder="1" applyAlignment="1">
      <alignment horizontal="left" vertical="center" wrapText="1"/>
    </xf>
    <xf numFmtId="20" fontId="3" fillId="0" borderId="0" xfId="0" applyNumberFormat="1" applyFont="1"/>
    <xf numFmtId="0" fontId="2" fillId="2" borderId="1" xfId="0" applyFont="1" applyFill="1" applyBorder="1" applyAlignment="1">
      <alignment horizontal="center" vertical="top" wrapText="1"/>
    </xf>
    <xf numFmtId="15" fontId="4" fillId="0" borderId="5" xfId="0" applyNumberFormat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/>
    </xf>
    <xf numFmtId="0" fontId="4" fillId="0" borderId="5" xfId="0" quotePrefix="1" applyFont="1" applyBorder="1" applyAlignment="1">
      <alignment horizontal="center" vertical="center"/>
    </xf>
    <xf numFmtId="167" fontId="4" fillId="0" borderId="5" xfId="0" applyNumberFormat="1" applyFont="1" applyBorder="1" applyAlignment="1">
      <alignment horizontal="center"/>
    </xf>
    <xf numFmtId="2" fontId="4" fillId="0" borderId="5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quotePrefix="1" applyFont="1" applyBorder="1" applyAlignment="1">
      <alignment horizontal="center" vertical="center" wrapText="1"/>
    </xf>
    <xf numFmtId="0" fontId="4" fillId="0" borderId="4" xfId="3" applyFont="1" applyBorder="1" applyAlignment="1">
      <alignment horizontal="left" vertical="center"/>
    </xf>
    <xf numFmtId="0" fontId="5" fillId="0" borderId="3" xfId="0" quotePrefix="1" applyFont="1" applyBorder="1" applyAlignment="1">
      <alignment horizontal="center" vertical="center"/>
    </xf>
    <xf numFmtId="20" fontId="4" fillId="0" borderId="1" xfId="0" applyNumberFormat="1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/>
    </xf>
    <xf numFmtId="0" fontId="3" fillId="5" borderId="0" xfId="0" applyFont="1" applyFill="1"/>
    <xf numFmtId="15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 wrapText="1"/>
    </xf>
    <xf numFmtId="0" fontId="4" fillId="5" borderId="1" xfId="0" quotePrefix="1" applyFont="1" applyFill="1" applyBorder="1" applyAlignment="1">
      <alignment horizontal="center" vertical="center"/>
    </xf>
    <xf numFmtId="165" fontId="4" fillId="5" borderId="1" xfId="0" applyNumberFormat="1" applyFont="1" applyFill="1" applyBorder="1" applyAlignment="1">
      <alignment horizontal="center"/>
    </xf>
    <xf numFmtId="167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169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5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 wrapText="1"/>
    </xf>
    <xf numFmtId="9" fontId="4" fillId="6" borderId="3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/>
    </xf>
    <xf numFmtId="167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2" fontId="6" fillId="6" borderId="1" xfId="0" applyNumberFormat="1" applyFon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0" fontId="3" fillId="6" borderId="0" xfId="0" applyFont="1" applyFill="1"/>
    <xf numFmtId="0" fontId="4" fillId="0" borderId="11" xfId="0" applyFont="1" applyBorder="1" applyAlignment="1">
      <alignment horizontal="left" vertical="center" wrapText="1"/>
    </xf>
    <xf numFmtId="0" fontId="3" fillId="0" borderId="4" xfId="0" applyFont="1" applyBorder="1"/>
    <xf numFmtId="0" fontId="4" fillId="0" borderId="14" xfId="0" applyFont="1" applyBorder="1" applyAlignment="1">
      <alignment horizontal="left" vertical="center" wrapText="1"/>
    </xf>
    <xf numFmtId="0" fontId="4" fillId="0" borderId="11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12" fillId="0" borderId="4" xfId="0" applyFont="1" applyBorder="1"/>
    <xf numFmtId="0" fontId="4" fillId="0" borderId="4" xfId="0" applyFont="1" applyBorder="1"/>
    <xf numFmtId="0" fontId="4" fillId="0" borderId="0" xfId="0" applyFont="1" applyAlignment="1">
      <alignment horizontal="center" vertical="center"/>
    </xf>
    <xf numFmtId="0" fontId="5" fillId="0" borderId="13" xfId="0" applyFont="1" applyBorder="1"/>
    <xf numFmtId="0" fontId="5" fillId="0" borderId="0" xfId="0" applyFont="1"/>
    <xf numFmtId="0" fontId="4" fillId="0" borderId="6" xfId="0" applyFont="1" applyBorder="1"/>
    <xf numFmtId="0" fontId="4" fillId="0" borderId="9" xfId="0" applyFont="1" applyBorder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/>
    <xf numFmtId="0" fontId="6" fillId="0" borderId="0" xfId="0" applyFont="1"/>
    <xf numFmtId="0" fontId="6" fillId="0" borderId="1" xfId="0" applyFont="1" applyBorder="1" applyAlignment="1">
      <alignment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0" borderId="15" xfId="0" applyFont="1" applyBorder="1" applyAlignment="1">
      <alignment horizontal="left" vertical="center" wrapText="1"/>
    </xf>
    <xf numFmtId="0" fontId="4" fillId="0" borderId="4" xfId="0" quotePrefix="1" applyFont="1" applyBorder="1" applyAlignment="1">
      <alignment horizontal="center" vertical="center"/>
    </xf>
    <xf numFmtId="0" fontId="13" fillId="0" borderId="16" xfId="0" applyFont="1" applyBorder="1" applyAlignment="1">
      <alignment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7" xfId="0" applyFont="1" applyBorder="1" applyAlignment="1">
      <alignment horizontal="left" vertical="center" wrapText="1"/>
    </xf>
    <xf numFmtId="165" fontId="4" fillId="0" borderId="3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5" borderId="1" xfId="0" applyFont="1" applyFill="1" applyBorder="1" applyAlignment="1">
      <alignment horizontal="left" vertical="center"/>
    </xf>
    <xf numFmtId="0" fontId="14" fillId="5" borderId="0" xfId="0" applyFont="1" applyFill="1" applyAlignment="1">
      <alignment vertical="center"/>
    </xf>
    <xf numFmtId="16" fontId="4" fillId="0" borderId="1" xfId="0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15" fillId="0" borderId="0" xfId="0" applyFont="1"/>
    <xf numFmtId="0" fontId="16" fillId="0" borderId="0" xfId="0" applyFont="1"/>
    <xf numFmtId="0" fontId="5" fillId="0" borderId="18" xfId="0" applyFont="1" applyBorder="1"/>
    <xf numFmtId="0" fontId="5" fillId="0" borderId="18" xfId="0" applyFont="1" applyBorder="1" applyAlignment="1">
      <alignment wrapText="1"/>
    </xf>
    <xf numFmtId="0" fontId="4" fillId="0" borderId="18" xfId="0" applyFont="1" applyBorder="1" applyAlignment="1">
      <alignment vertical="center"/>
    </xf>
    <xf numFmtId="0" fontId="15" fillId="0" borderId="19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2" xfId="0" applyFont="1" applyBorder="1"/>
    <xf numFmtId="0" fontId="4" fillId="0" borderId="4" xfId="0" applyFont="1" applyBorder="1" applyAlignment="1">
      <alignment horizontal="center" vertical="center"/>
    </xf>
    <xf numFmtId="0" fontId="4" fillId="5" borderId="0" xfId="0" applyFont="1" applyFill="1"/>
    <xf numFmtId="0" fontId="18" fillId="0" borderId="4" xfId="0" applyFont="1" applyBorder="1"/>
    <xf numFmtId="0" fontId="5" fillId="0" borderId="20" xfId="0" applyFont="1" applyBorder="1" applyAlignment="1">
      <alignment horizontal="left" vertical="center"/>
    </xf>
    <xf numFmtId="0" fontId="18" fillId="0" borderId="6" xfId="0" applyFont="1" applyBorder="1"/>
    <xf numFmtId="0" fontId="5" fillId="0" borderId="21" xfId="0" applyFont="1" applyBorder="1"/>
    <xf numFmtId="0" fontId="19" fillId="0" borderId="2" xfId="0" applyFont="1" applyBorder="1" applyAlignment="1">
      <alignment vertical="center"/>
    </xf>
    <xf numFmtId="0" fontId="21" fillId="0" borderId="18" xfId="0" applyFont="1" applyBorder="1" applyAlignment="1">
      <alignment wrapText="1"/>
    </xf>
    <xf numFmtId="0" fontId="23" fillId="0" borderId="2" xfId="0" applyFont="1" applyBorder="1" applyAlignment="1">
      <alignment vertical="center"/>
    </xf>
    <xf numFmtId="0" fontId="18" fillId="3" borderId="4" xfId="0" applyFont="1" applyFill="1" applyBorder="1"/>
    <xf numFmtId="2" fontId="6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1" fillId="0" borderId="18" xfId="0" applyFont="1" applyBorder="1" applyAlignment="1">
      <alignment horizontal="left" wrapText="1"/>
    </xf>
    <xf numFmtId="0" fontId="4" fillId="3" borderId="3" xfId="0" quotePrefix="1" applyFont="1" applyFill="1" applyBorder="1" applyAlignment="1">
      <alignment horizontal="center" vertical="center"/>
    </xf>
    <xf numFmtId="0" fontId="24" fillId="0" borderId="2" xfId="0" applyFont="1" applyBorder="1" applyAlignment="1">
      <alignment vertical="center"/>
    </xf>
    <xf numFmtId="0" fontId="26" fillId="0" borderId="4" xfId="0" applyFont="1" applyBorder="1"/>
    <xf numFmtId="0" fontId="26" fillId="0" borderId="9" xfId="0" applyFont="1" applyBorder="1"/>
    <xf numFmtId="0" fontId="26" fillId="0" borderId="6" xfId="0" applyFont="1" applyBorder="1"/>
    <xf numFmtId="0" fontId="4" fillId="0" borderId="18" xfId="0" applyFont="1" applyBorder="1" applyAlignment="1">
      <alignment vertical="center" wrapText="1"/>
    </xf>
    <xf numFmtId="0" fontId="12" fillId="0" borderId="6" xfId="0" applyFont="1" applyBorder="1"/>
    <xf numFmtId="0" fontId="5" fillId="0" borderId="22" xfId="0" applyFont="1" applyBorder="1"/>
    <xf numFmtId="0" fontId="21" fillId="0" borderId="1" xfId="0" applyFont="1" applyBorder="1" applyAlignment="1">
      <alignment wrapText="1"/>
    </xf>
    <xf numFmtId="0" fontId="23" fillId="0" borderId="1" xfId="0" applyFont="1" applyBorder="1" applyAlignment="1">
      <alignment horizontal="left" vertical="center"/>
    </xf>
    <xf numFmtId="0" fontId="29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2" fontId="4" fillId="3" borderId="5" xfId="0" applyNumberFormat="1" applyFont="1" applyFill="1" applyBorder="1" applyAlignment="1">
      <alignment horizontal="center"/>
    </xf>
    <xf numFmtId="2" fontId="4" fillId="0" borderId="1" xfId="0" quotePrefix="1" applyNumberFormat="1" applyFont="1" applyBorder="1" applyAlignment="1">
      <alignment horizontal="center"/>
    </xf>
    <xf numFmtId="0" fontId="22" fillId="0" borderId="1" xfId="0" applyFont="1" applyBorder="1" applyAlignment="1">
      <alignment vertical="center" wrapText="1"/>
    </xf>
    <xf numFmtId="0" fontId="23" fillId="0" borderId="1" xfId="0" applyFont="1" applyBorder="1" applyAlignment="1">
      <alignment horizontal="left" vertical="center" wrapText="1"/>
    </xf>
    <xf numFmtId="0" fontId="23" fillId="0" borderId="1" xfId="0" applyFont="1" applyBorder="1" applyAlignment="1">
      <alignment vertical="center"/>
    </xf>
    <xf numFmtId="20" fontId="4" fillId="0" borderId="1" xfId="0" applyNumberFormat="1" applyFont="1" applyBorder="1" applyAlignment="1">
      <alignment horizontal="center"/>
    </xf>
    <xf numFmtId="0" fontId="4" fillId="0" borderId="2" xfId="0" applyFont="1" applyBorder="1"/>
    <xf numFmtId="9" fontId="4" fillId="0" borderId="1" xfId="0" quotePrefix="1" applyNumberFormat="1" applyFont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4" fillId="3" borderId="1" xfId="0" quotePrefix="1" applyFont="1" applyFill="1" applyBorder="1" applyAlignment="1">
      <alignment horizontal="center" vertical="center"/>
    </xf>
    <xf numFmtId="15" fontId="4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horizontal="left" vertical="center"/>
    </xf>
    <xf numFmtId="0" fontId="4" fillId="7" borderId="1" xfId="0" quotePrefix="1" applyFont="1" applyFill="1" applyBorder="1" applyAlignment="1">
      <alignment horizontal="center" vertical="center"/>
    </xf>
    <xf numFmtId="165" fontId="4" fillId="7" borderId="1" xfId="0" applyNumberFormat="1" applyFont="1" applyFill="1" applyBorder="1" applyAlignment="1">
      <alignment horizontal="center"/>
    </xf>
    <xf numFmtId="167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2" fontId="6" fillId="7" borderId="1" xfId="0" applyNumberFormat="1" applyFont="1" applyFill="1" applyBorder="1" applyAlignment="1">
      <alignment horizontal="center"/>
    </xf>
    <xf numFmtId="2" fontId="4" fillId="7" borderId="1" xfId="0" applyNumberFormat="1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/>
    </xf>
    <xf numFmtId="0" fontId="3" fillId="7" borderId="0" xfId="0" applyFont="1" applyFill="1"/>
    <xf numFmtId="0" fontId="23" fillId="0" borderId="1" xfId="0" applyFont="1" applyBorder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23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9" fontId="4" fillId="0" borderId="2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0" borderId="23" xfId="0" applyFont="1" applyBorder="1" applyAlignment="1">
      <alignment vertical="center" wrapText="1"/>
    </xf>
    <xf numFmtId="0" fontId="21" fillId="0" borderId="2" xfId="0" applyFont="1" applyBorder="1" applyAlignment="1">
      <alignment vertical="center"/>
    </xf>
    <xf numFmtId="0" fontId="31" fillId="4" borderId="8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top"/>
    </xf>
    <xf numFmtId="0" fontId="2" fillId="2" borderId="24" xfId="0" applyFont="1" applyFill="1" applyBorder="1" applyAlignment="1">
      <alignment horizontal="center" vertical="top" wrapText="1"/>
    </xf>
    <xf numFmtId="0" fontId="2" fillId="2" borderId="25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165" fontId="2" fillId="2" borderId="2" xfId="0" applyNumberFormat="1" applyFont="1" applyFill="1" applyBorder="1" applyAlignment="1">
      <alignment horizontal="center" vertical="top" wrapText="1"/>
    </xf>
    <xf numFmtId="0" fontId="28" fillId="0" borderId="2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/>
    </xf>
    <xf numFmtId="0" fontId="2" fillId="2" borderId="10" xfId="0" applyFont="1" applyFill="1" applyBorder="1" applyAlignment="1">
      <alignment horizontal="center" vertical="top"/>
    </xf>
    <xf numFmtId="0" fontId="2" fillId="2" borderId="3" xfId="0" applyFont="1" applyFill="1" applyBorder="1" applyAlignment="1">
      <alignment horizontal="center" vertical="top"/>
    </xf>
    <xf numFmtId="0" fontId="27" fillId="0" borderId="2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17" fillId="3" borderId="19" xfId="0" applyFont="1" applyFill="1" applyBorder="1" applyAlignment="1">
      <alignment horizontal="center" vertical="center"/>
    </xf>
    <xf numFmtId="0" fontId="17" fillId="3" borderId="0" xfId="0" applyFont="1" applyFill="1" applyAlignment="1">
      <alignment horizontal="center" vertical="center"/>
    </xf>
  </cellXfs>
  <cellStyles count="4">
    <cellStyle name="Comma" xfId="1" builtinId="3"/>
    <cellStyle name="Normal" xfId="0" builtinId="0"/>
    <cellStyle name="Normal 2" xfId="3" xr:uid="{2E5BF3F2-FAC9-4DA0-9365-529978CE8B9D}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9FF50-6423-4243-A783-28077A4F4F4C}">
  <sheetPr>
    <pageSetUpPr fitToPage="1"/>
  </sheetPr>
  <dimension ref="A1:AL132"/>
  <sheetViews>
    <sheetView zoomScale="70" zoomScaleNormal="7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/>
      <c r="C4" s="60" t="s">
        <v>40</v>
      </c>
      <c r="D4" s="6"/>
      <c r="E4" s="7" t="s">
        <v>41</v>
      </c>
      <c r="F4" s="8" t="s">
        <v>42</v>
      </c>
      <c r="G4" s="9"/>
      <c r="H4" s="9"/>
      <c r="I4" s="10">
        <f t="shared" ref="I4:I32" si="0">H4-G4</f>
        <v>0</v>
      </c>
      <c r="J4" s="11"/>
      <c r="K4" s="11"/>
      <c r="L4" s="16" t="str">
        <f t="shared" ref="L4:L32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/>
      <c r="E5" s="15"/>
      <c r="F5" s="55"/>
      <c r="G5" s="9"/>
      <c r="H5" s="9"/>
      <c r="I5" s="10">
        <f t="shared" si="0"/>
        <v>0</v>
      </c>
      <c r="J5" s="11"/>
      <c r="K5" s="11"/>
      <c r="L5" s="16" t="str">
        <f t="shared" si="1"/>
        <v>0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/>
      <c r="F6" s="55"/>
      <c r="G6" s="9"/>
      <c r="H6" s="9"/>
      <c r="I6" s="10">
        <f t="shared" si="0"/>
        <v>0</v>
      </c>
      <c r="J6" s="11"/>
      <c r="K6" s="11"/>
      <c r="L6" s="16" t="str">
        <f t="shared" si="1"/>
        <v>0</v>
      </c>
      <c r="M6" s="11"/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/>
      <c r="F7" s="55"/>
      <c r="G7" s="9"/>
      <c r="H7" s="9"/>
      <c r="I7" s="10">
        <f t="shared" si="0"/>
        <v>0</v>
      </c>
      <c r="J7" s="11"/>
      <c r="K7" s="11"/>
      <c r="L7" s="16" t="str">
        <f t="shared" si="1"/>
        <v>0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/>
      <c r="F8" s="55"/>
      <c r="G8" s="9"/>
      <c r="H8" s="9"/>
      <c r="I8" s="10">
        <f t="shared" si="0"/>
        <v>0</v>
      </c>
      <c r="J8" s="11"/>
      <c r="K8" s="11"/>
      <c r="L8" s="16" t="str">
        <f t="shared" si="1"/>
        <v>0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/>
      <c r="F9" s="55"/>
      <c r="G9" s="9"/>
      <c r="H9" s="9"/>
      <c r="I9" s="10">
        <f t="shared" si="0"/>
        <v>0</v>
      </c>
      <c r="J9" s="11"/>
      <c r="K9" s="11"/>
      <c r="L9" s="16" t="str">
        <f t="shared" si="1"/>
        <v>0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/>
      <c r="F10" s="55"/>
      <c r="G10" s="9"/>
      <c r="H10" s="9"/>
      <c r="I10" s="10">
        <f t="shared" si="0"/>
        <v>0</v>
      </c>
      <c r="J10" s="11"/>
      <c r="K10" s="11"/>
      <c r="L10" s="16" t="str">
        <f t="shared" si="1"/>
        <v>0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/>
      <c r="F11" s="55"/>
      <c r="G11" s="9"/>
      <c r="H11" s="9"/>
      <c r="I11" s="10">
        <f t="shared" si="0"/>
        <v>0</v>
      </c>
      <c r="J11" s="11"/>
      <c r="K11" s="11"/>
      <c r="L11" s="16" t="str">
        <f t="shared" si="1"/>
        <v>0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/>
      <c r="F12" s="55"/>
      <c r="G12" s="9"/>
      <c r="H12" s="9"/>
      <c r="I12" s="10">
        <f t="shared" si="0"/>
        <v>0</v>
      </c>
      <c r="J12" s="11"/>
      <c r="K12" s="11"/>
      <c r="L12" s="16" t="str">
        <f t="shared" si="1"/>
        <v>0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/>
      <c r="F13" s="55"/>
      <c r="G13" s="9"/>
      <c r="H13" s="9"/>
      <c r="I13" s="10">
        <f t="shared" si="0"/>
        <v>0</v>
      </c>
      <c r="J13" s="11"/>
      <c r="K13" s="11"/>
      <c r="L13" s="16" t="str">
        <f t="shared" si="1"/>
        <v>0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/>
      <c r="F14" s="55"/>
      <c r="G14" s="9"/>
      <c r="H14" s="9"/>
      <c r="I14" s="10">
        <f t="shared" si="0"/>
        <v>0</v>
      </c>
      <c r="J14" s="11"/>
      <c r="K14" s="11"/>
      <c r="L14" s="16" t="str">
        <f t="shared" si="1"/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/>
      <c r="F15" s="55"/>
      <c r="G15" s="9"/>
      <c r="H15" s="9"/>
      <c r="I15" s="10">
        <f t="shared" si="0"/>
        <v>0</v>
      </c>
      <c r="J15" s="11"/>
      <c r="K15" s="11"/>
      <c r="L15" s="16" t="str">
        <f t="shared" si="1"/>
        <v>0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/>
      <c r="F16" s="55"/>
      <c r="G16" s="9"/>
      <c r="H16" s="9"/>
      <c r="I16" s="10">
        <f t="shared" si="0"/>
        <v>0</v>
      </c>
      <c r="J16" s="11"/>
      <c r="K16" s="11"/>
      <c r="L16" s="16" t="str">
        <f t="shared" si="1"/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2:38" ht="25.05" customHeight="1">
      <c r="B17" s="13"/>
      <c r="C17" s="14"/>
      <c r="D17" s="6"/>
      <c r="E17" s="15"/>
      <c r="F17" s="55"/>
      <c r="G17" s="9"/>
      <c r="H17" s="9"/>
      <c r="I17" s="10">
        <f t="shared" si="0"/>
        <v>0</v>
      </c>
      <c r="J17" s="11"/>
      <c r="K17" s="11"/>
      <c r="L17" s="16" t="str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2:38" ht="25.5" customHeight="1">
      <c r="B18" s="13"/>
      <c r="C18" s="14"/>
      <c r="D18" s="6"/>
      <c r="E18" s="15"/>
      <c r="F18" s="55"/>
      <c r="G18" s="9"/>
      <c r="H18" s="9"/>
      <c r="I18" s="10">
        <f t="shared" si="0"/>
        <v>0</v>
      </c>
      <c r="J18" s="11"/>
      <c r="K18" s="11"/>
      <c r="L18" s="16" t="str">
        <f t="shared" si="1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2:38" ht="25.5" customHeight="1">
      <c r="B19" s="13"/>
      <c r="C19" s="14"/>
      <c r="D19" s="6"/>
      <c r="E19" s="15"/>
      <c r="F19" s="55"/>
      <c r="G19" s="9"/>
      <c r="H19" s="9"/>
      <c r="I19" s="10">
        <f t="shared" si="0"/>
        <v>0</v>
      </c>
      <c r="J19" s="11"/>
      <c r="K19" s="11"/>
      <c r="L19" s="16" t="str">
        <f t="shared" si="1"/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2:38" ht="25.05" customHeight="1">
      <c r="B20" s="13"/>
      <c r="C20" s="14"/>
      <c r="D20" s="6"/>
      <c r="E20" s="15"/>
      <c r="F20" s="55"/>
      <c r="G20" s="9"/>
      <c r="H20" s="9"/>
      <c r="I20" s="10">
        <f t="shared" si="0"/>
        <v>0</v>
      </c>
      <c r="J20" s="11"/>
      <c r="K20" s="11"/>
      <c r="L20" s="16" t="str">
        <f t="shared" si="1"/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2:38" ht="25.05" customHeight="1">
      <c r="B21" s="13"/>
      <c r="C21" s="14"/>
      <c r="D21" s="6"/>
      <c r="E21" s="15"/>
      <c r="F21" s="55"/>
      <c r="G21" s="9"/>
      <c r="H21" s="9"/>
      <c r="I21" s="10">
        <f t="shared" si="0"/>
        <v>0</v>
      </c>
      <c r="J21" s="11"/>
      <c r="K21" s="11"/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2:38" ht="25.05" customHeight="1">
      <c r="B22" s="13"/>
      <c r="C22" s="14"/>
      <c r="D22" s="6"/>
      <c r="E22" s="15"/>
      <c r="F22" s="55"/>
      <c r="G22" s="9"/>
      <c r="H22" s="9"/>
      <c r="I22" s="10">
        <f t="shared" si="0"/>
        <v>0</v>
      </c>
      <c r="J22" s="11"/>
      <c r="K22" s="11"/>
      <c r="L22" s="16" t="str">
        <f t="shared" si="1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2:38" ht="25.05" customHeight="1">
      <c r="B23" s="13"/>
      <c r="C23" s="14"/>
      <c r="D23" s="6"/>
      <c r="E23" s="15"/>
      <c r="F23" s="55"/>
      <c r="G23" s="9"/>
      <c r="H23" s="9"/>
      <c r="I23" s="10">
        <f t="shared" si="0"/>
        <v>0</v>
      </c>
      <c r="J23" s="11"/>
      <c r="K23" s="11"/>
      <c r="L23" s="16" t="str">
        <f t="shared" si="1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2:38" ht="25.05" customHeight="1">
      <c r="B24" s="13"/>
      <c r="C24" s="14"/>
      <c r="D24" s="6"/>
      <c r="E24" s="15"/>
      <c r="F24" s="55"/>
      <c r="G24" s="9"/>
      <c r="H24" s="9"/>
      <c r="I24" s="10">
        <f t="shared" si="0"/>
        <v>0</v>
      </c>
      <c r="J24" s="11"/>
      <c r="K24" s="11"/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2:38" ht="25.05" customHeight="1">
      <c r="B25" s="13"/>
      <c r="C25" s="14"/>
      <c r="D25" s="6"/>
      <c r="E25" s="15"/>
      <c r="F25" s="55"/>
      <c r="G25" s="9"/>
      <c r="H25" s="9"/>
      <c r="I25" s="10">
        <f t="shared" si="0"/>
        <v>0</v>
      </c>
      <c r="J25" s="11"/>
      <c r="K25" s="11"/>
      <c r="L25" s="16" t="str">
        <f t="shared" si="1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2:38" ht="25.05" customHeight="1">
      <c r="B26" s="13"/>
      <c r="C26" s="14"/>
      <c r="D26" s="6"/>
      <c r="E26" s="15"/>
      <c r="F26" s="55"/>
      <c r="G26" s="9"/>
      <c r="H26" s="9"/>
      <c r="I26" s="10">
        <f t="shared" si="0"/>
        <v>0</v>
      </c>
      <c r="J26" s="11"/>
      <c r="K26" s="11"/>
      <c r="L26" s="16" t="str">
        <f t="shared" si="1"/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2:38" ht="25.05" customHeight="1">
      <c r="B27" s="13"/>
      <c r="C27" s="14"/>
      <c r="D27" s="6"/>
      <c r="E27" s="15"/>
      <c r="F27" s="55"/>
      <c r="G27" s="9"/>
      <c r="H27" s="9"/>
      <c r="I27" s="10">
        <f t="shared" si="0"/>
        <v>0</v>
      </c>
      <c r="J27" s="11"/>
      <c r="K27" s="11"/>
      <c r="L27" s="16" t="str">
        <f t="shared" si="1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2:38" ht="25.05" customHeight="1">
      <c r="B28" s="13"/>
      <c r="C28" s="14"/>
      <c r="D28" s="6"/>
      <c r="E28" s="15"/>
      <c r="F28" s="55"/>
      <c r="G28" s="9"/>
      <c r="H28" s="9"/>
      <c r="I28" s="10">
        <f t="shared" si="0"/>
        <v>0</v>
      </c>
      <c r="J28" s="11"/>
      <c r="K28" s="11"/>
      <c r="L28" s="16" t="str">
        <f t="shared" si="1"/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2:38" ht="25.05" customHeight="1">
      <c r="B29" s="13"/>
      <c r="C29" s="14"/>
      <c r="D29" s="6"/>
      <c r="E29" s="15"/>
      <c r="F29" s="55"/>
      <c r="G29" s="9"/>
      <c r="H29" s="9"/>
      <c r="I29" s="10">
        <f t="shared" si="0"/>
        <v>0</v>
      </c>
      <c r="J29" s="11"/>
      <c r="K29" s="11"/>
      <c r="L29" s="16" t="str">
        <f t="shared" si="1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2:38" ht="25.05" customHeight="1">
      <c r="B30" s="13"/>
      <c r="C30" s="14"/>
      <c r="D30" s="6"/>
      <c r="E30" s="15"/>
      <c r="F30" s="55"/>
      <c r="G30" s="9"/>
      <c r="H30" s="9"/>
      <c r="I30" s="10">
        <f t="shared" si="0"/>
        <v>0</v>
      </c>
      <c r="J30" s="11"/>
      <c r="K30" s="11"/>
      <c r="L30" s="16" t="str">
        <f t="shared" si="1"/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2:38" ht="25.05" customHeight="1">
      <c r="B31" s="13"/>
      <c r="C31" s="14"/>
      <c r="D31" s="6"/>
      <c r="E31" s="15"/>
      <c r="F31" s="55"/>
      <c r="G31" s="9"/>
      <c r="H31" s="9"/>
      <c r="I31" s="10">
        <f t="shared" si="0"/>
        <v>0</v>
      </c>
      <c r="J31" s="11"/>
      <c r="K31" s="11"/>
      <c r="L31" s="16" t="str">
        <f t="shared" si="1"/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2:38" ht="25.05" customHeight="1">
      <c r="B32" s="13"/>
      <c r="C32" s="14"/>
      <c r="D32" s="6"/>
      <c r="E32" s="15"/>
      <c r="F32" s="55"/>
      <c r="G32" s="9"/>
      <c r="H32" s="9"/>
      <c r="I32" s="10">
        <f t="shared" si="0"/>
        <v>0</v>
      </c>
      <c r="J32" s="11"/>
      <c r="K32" s="11"/>
      <c r="L32" s="16" t="str">
        <f t="shared" si="1"/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s="28" customFormat="1" ht="25.05" customHeight="1">
      <c r="A33" s="2"/>
      <c r="B33" s="21"/>
      <c r="C33" s="22"/>
      <c r="D33" s="23"/>
      <c r="E33" s="24"/>
      <c r="F33" s="24"/>
      <c r="G33" s="25"/>
      <c r="H33" s="25"/>
      <c r="I33" s="26"/>
      <c r="J33" s="27"/>
      <c r="K33" s="27">
        <f t="shared" ref="K33:AI33" si="2">SUM(K4:K25)</f>
        <v>0</v>
      </c>
      <c r="L33" s="39">
        <f t="shared" si="2"/>
        <v>0</v>
      </c>
      <c r="M33" s="27">
        <f t="shared" si="2"/>
        <v>0</v>
      </c>
      <c r="N33" s="27">
        <f t="shared" si="2"/>
        <v>0</v>
      </c>
      <c r="O33" s="27">
        <f t="shared" si="2"/>
        <v>0</v>
      </c>
      <c r="P33" s="27">
        <f t="shared" si="2"/>
        <v>0</v>
      </c>
      <c r="Q33" s="27">
        <f t="shared" si="2"/>
        <v>0</v>
      </c>
      <c r="R33" s="27">
        <f t="shared" si="2"/>
        <v>0</v>
      </c>
      <c r="S33" s="27">
        <f t="shared" si="2"/>
        <v>0</v>
      </c>
      <c r="T33" s="27">
        <f t="shared" si="2"/>
        <v>0</v>
      </c>
      <c r="U33" s="27">
        <f t="shared" si="2"/>
        <v>0</v>
      </c>
      <c r="V33" s="27">
        <f t="shared" si="2"/>
        <v>0</v>
      </c>
      <c r="W33" s="27">
        <f t="shared" si="2"/>
        <v>0</v>
      </c>
      <c r="X33" s="27">
        <f t="shared" si="2"/>
        <v>0</v>
      </c>
      <c r="Y33" s="27">
        <f t="shared" si="2"/>
        <v>0</v>
      </c>
      <c r="Z33" s="27">
        <f t="shared" si="2"/>
        <v>0</v>
      </c>
      <c r="AA33" s="27">
        <f t="shared" si="2"/>
        <v>0</v>
      </c>
      <c r="AB33" s="27">
        <f t="shared" si="2"/>
        <v>0</v>
      </c>
      <c r="AC33" s="27">
        <f t="shared" si="2"/>
        <v>0</v>
      </c>
      <c r="AD33" s="27">
        <f t="shared" si="2"/>
        <v>0</v>
      </c>
      <c r="AE33" s="27">
        <f t="shared" si="2"/>
        <v>0</v>
      </c>
      <c r="AF33" s="27">
        <f t="shared" si="2"/>
        <v>0</v>
      </c>
      <c r="AG33" s="27">
        <f t="shared" si="2"/>
        <v>0</v>
      </c>
      <c r="AH33" s="27">
        <f t="shared" si="2"/>
        <v>0</v>
      </c>
      <c r="AI33" s="27">
        <f t="shared" si="2"/>
        <v>0</v>
      </c>
      <c r="AJ33" s="27">
        <f>SUM(AJ4:AJ25)</f>
        <v>0</v>
      </c>
      <c r="AK33" s="27">
        <f>SUM(AK4:AK25)</f>
        <v>0</v>
      </c>
      <c r="AL33" s="27">
        <f>SUM(AL4:AL25)</f>
        <v>0</v>
      </c>
    </row>
    <row r="34" spans="1:38" ht="25.05" customHeight="1">
      <c r="B34" s="13"/>
      <c r="C34" s="14" t="s">
        <v>43</v>
      </c>
      <c r="D34" s="6"/>
      <c r="E34" s="7" t="s">
        <v>41</v>
      </c>
      <c r="F34" s="8" t="s">
        <v>42</v>
      </c>
      <c r="G34" s="9"/>
      <c r="H34" s="9"/>
      <c r="I34" s="10">
        <f>H34-G34</f>
        <v>0</v>
      </c>
      <c r="J34" s="11"/>
      <c r="K34" s="11"/>
      <c r="L34" s="16" t="str">
        <f>IFERROR(((K34/(J34*I34)/24)),"0")</f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25.05" customHeight="1">
      <c r="B35" s="13"/>
      <c r="C35" s="14"/>
      <c r="D35" s="18"/>
      <c r="E35" s="6"/>
      <c r="F35" s="14"/>
      <c r="G35" s="9"/>
      <c r="H35" s="9"/>
      <c r="I35" s="10"/>
      <c r="J35" s="11"/>
      <c r="K35" s="11"/>
      <c r="L35" s="16"/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s="28" customFormat="1" ht="25.05" customHeight="1">
      <c r="A36" s="2"/>
      <c r="B36" s="21"/>
      <c r="C36" s="22"/>
      <c r="D36" s="23"/>
      <c r="E36" s="24"/>
      <c r="F36" s="22"/>
      <c r="G36" s="25"/>
      <c r="H36" s="25"/>
      <c r="I36" s="26"/>
      <c r="J36" s="27"/>
      <c r="K36" s="27">
        <f t="shared" ref="K36:AI36" si="3">SUM(K34:K35)</f>
        <v>0</v>
      </c>
      <c r="L36" s="27">
        <f t="shared" si="3"/>
        <v>0</v>
      </c>
      <c r="M36" s="27">
        <f t="shared" si="3"/>
        <v>0</v>
      </c>
      <c r="N36" s="27">
        <f t="shared" si="3"/>
        <v>0</v>
      </c>
      <c r="O36" s="27">
        <f t="shared" si="3"/>
        <v>0</v>
      </c>
      <c r="P36" s="27">
        <f t="shared" si="3"/>
        <v>0</v>
      </c>
      <c r="Q36" s="27">
        <f t="shared" si="3"/>
        <v>0</v>
      </c>
      <c r="R36" s="27">
        <f t="shared" si="3"/>
        <v>0</v>
      </c>
      <c r="S36" s="27">
        <f t="shared" si="3"/>
        <v>0</v>
      </c>
      <c r="T36" s="27">
        <f t="shared" si="3"/>
        <v>0</v>
      </c>
      <c r="U36" s="27">
        <f t="shared" si="3"/>
        <v>0</v>
      </c>
      <c r="V36" s="27">
        <f t="shared" si="3"/>
        <v>0</v>
      </c>
      <c r="W36" s="27">
        <f t="shared" si="3"/>
        <v>0</v>
      </c>
      <c r="X36" s="27">
        <f t="shared" si="3"/>
        <v>0</v>
      </c>
      <c r="Y36" s="27">
        <f t="shared" si="3"/>
        <v>0</v>
      </c>
      <c r="Z36" s="27">
        <f t="shared" si="3"/>
        <v>0</v>
      </c>
      <c r="AA36" s="27">
        <f t="shared" si="3"/>
        <v>0</v>
      </c>
      <c r="AB36" s="27">
        <f t="shared" si="3"/>
        <v>0</v>
      </c>
      <c r="AC36" s="27">
        <f t="shared" si="3"/>
        <v>0</v>
      </c>
      <c r="AD36" s="27">
        <f t="shared" si="3"/>
        <v>0</v>
      </c>
      <c r="AE36" s="27">
        <f t="shared" si="3"/>
        <v>0</v>
      </c>
      <c r="AF36" s="27">
        <f t="shared" si="3"/>
        <v>0</v>
      </c>
      <c r="AG36" s="27">
        <f t="shared" si="3"/>
        <v>0</v>
      </c>
      <c r="AH36" s="27">
        <f t="shared" si="3"/>
        <v>0</v>
      </c>
      <c r="AI36" s="27">
        <f t="shared" si="3"/>
        <v>0</v>
      </c>
      <c r="AJ36" s="27">
        <f>SUM(AJ34:AJ35)</f>
        <v>0</v>
      </c>
      <c r="AK36" s="27">
        <f>SUM(AK34:AK35)</f>
        <v>0</v>
      </c>
      <c r="AL36" s="27">
        <f>SUM(AL34:AL35)</f>
        <v>0</v>
      </c>
    </row>
    <row r="37" spans="1:38" ht="25.05" customHeight="1">
      <c r="B37" s="5"/>
      <c r="C37" s="29" t="s">
        <v>44</v>
      </c>
      <c r="D37" s="30"/>
      <c r="E37" s="7" t="s">
        <v>41</v>
      </c>
      <c r="F37" s="8" t="s">
        <v>42</v>
      </c>
      <c r="G37" s="9"/>
      <c r="H37" s="9"/>
      <c r="I37" s="10">
        <f t="shared" ref="I37:I62" si="4">H37-G37</f>
        <v>0</v>
      </c>
      <c r="J37" s="11"/>
      <c r="K37" s="11"/>
      <c r="L37" s="16" t="str">
        <f t="shared" ref="L37:L62" si="5">IFERROR(((K37/(J37*I37)/24)),"0")</f>
        <v>0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/>
      <c r="E38" s="19"/>
      <c r="F38" s="8" t="s">
        <v>42</v>
      </c>
      <c r="G38" s="9"/>
      <c r="H38" s="9"/>
      <c r="I38" s="10">
        <f t="shared" si="4"/>
        <v>0</v>
      </c>
      <c r="J38" s="11"/>
      <c r="K38" s="11"/>
      <c r="L38" s="16" t="str">
        <f t="shared" si="5"/>
        <v>0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/>
      <c r="F39" s="8" t="s">
        <v>42</v>
      </c>
      <c r="G39" s="9"/>
      <c r="H39" s="9"/>
      <c r="I39" s="10">
        <f t="shared" si="4"/>
        <v>0</v>
      </c>
      <c r="J39" s="11"/>
      <c r="K39" s="11"/>
      <c r="L39" s="16" t="str">
        <f t="shared" si="5"/>
        <v>0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/>
      <c r="F40" s="8" t="s">
        <v>42</v>
      </c>
      <c r="G40" s="9"/>
      <c r="H40" s="9"/>
      <c r="I40" s="10">
        <f t="shared" si="4"/>
        <v>0</v>
      </c>
      <c r="J40" s="11"/>
      <c r="K40" s="11"/>
      <c r="L40" s="16" t="str">
        <f t="shared" si="5"/>
        <v>0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/>
      <c r="F41" s="8" t="s">
        <v>42</v>
      </c>
      <c r="G41" s="9"/>
      <c r="H41" s="9"/>
      <c r="I41" s="10">
        <f t="shared" si="4"/>
        <v>0</v>
      </c>
      <c r="J41" s="11"/>
      <c r="K41" s="11"/>
      <c r="L41" s="16" t="str">
        <f t="shared" si="5"/>
        <v>0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/>
      <c r="F42" s="8" t="s">
        <v>42</v>
      </c>
      <c r="G42" s="9"/>
      <c r="H42" s="9"/>
      <c r="I42" s="10">
        <f t="shared" si="4"/>
        <v>0</v>
      </c>
      <c r="J42" s="11"/>
      <c r="K42" s="11"/>
      <c r="L42" s="16" t="str">
        <f t="shared" si="5"/>
        <v>0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/>
      <c r="F43" s="8" t="s">
        <v>42</v>
      </c>
      <c r="G43" s="9"/>
      <c r="H43" s="9"/>
      <c r="I43" s="10">
        <f t="shared" si="4"/>
        <v>0</v>
      </c>
      <c r="J43" s="11"/>
      <c r="K43" s="11"/>
      <c r="L43" s="16" t="str">
        <f t="shared" si="5"/>
        <v>0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/>
      <c r="F44" s="8" t="s">
        <v>42</v>
      </c>
      <c r="G44" s="9"/>
      <c r="H44" s="9"/>
      <c r="I44" s="10">
        <f t="shared" si="4"/>
        <v>0</v>
      </c>
      <c r="J44" s="11"/>
      <c r="K44" s="11"/>
      <c r="L44" s="16" t="str">
        <f t="shared" si="5"/>
        <v>0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/>
      <c r="F45" s="8" t="s">
        <v>42</v>
      </c>
      <c r="G45" s="9"/>
      <c r="H45" s="9"/>
      <c r="I45" s="10">
        <f t="shared" si="4"/>
        <v>0</v>
      </c>
      <c r="J45" s="11"/>
      <c r="K45" s="11"/>
      <c r="L45" s="16" t="str">
        <f t="shared" si="5"/>
        <v>0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/>
      <c r="F46" s="8" t="s">
        <v>42</v>
      </c>
      <c r="G46" s="9"/>
      <c r="H46" s="9"/>
      <c r="I46" s="10">
        <f t="shared" si="4"/>
        <v>0</v>
      </c>
      <c r="J46" s="11"/>
      <c r="K46" s="11"/>
      <c r="L46" s="16" t="str">
        <f t="shared" si="5"/>
        <v>0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/>
      <c r="F47" s="8" t="s">
        <v>42</v>
      </c>
      <c r="G47" s="9"/>
      <c r="H47" s="9"/>
      <c r="I47" s="10">
        <f t="shared" si="4"/>
        <v>0</v>
      </c>
      <c r="J47" s="11"/>
      <c r="K47" s="11"/>
      <c r="L47" s="16" t="str">
        <f t="shared" si="5"/>
        <v>0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/>
      <c r="F48" s="8" t="s">
        <v>42</v>
      </c>
      <c r="G48" s="9"/>
      <c r="H48" s="9"/>
      <c r="I48" s="10">
        <f t="shared" si="4"/>
        <v>0</v>
      </c>
      <c r="J48" s="11"/>
      <c r="K48" s="11"/>
      <c r="L48" s="16" t="str">
        <f t="shared" si="5"/>
        <v>0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/>
      <c r="F49" s="8" t="s">
        <v>42</v>
      </c>
      <c r="G49" s="9"/>
      <c r="H49" s="9"/>
      <c r="I49" s="10">
        <f t="shared" si="4"/>
        <v>0</v>
      </c>
      <c r="J49" s="11"/>
      <c r="K49" s="11"/>
      <c r="L49" s="16" t="str">
        <f t="shared" si="5"/>
        <v>0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/>
      <c r="F50" s="8" t="s">
        <v>42</v>
      </c>
      <c r="G50" s="9"/>
      <c r="H50" s="9"/>
      <c r="I50" s="10">
        <f t="shared" si="4"/>
        <v>0</v>
      </c>
      <c r="J50" s="11"/>
      <c r="K50" s="11"/>
      <c r="L50" s="16" t="str">
        <f t="shared" si="5"/>
        <v>0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/>
      <c r="F51" s="8" t="s">
        <v>42</v>
      </c>
      <c r="G51" s="9"/>
      <c r="H51" s="9"/>
      <c r="I51" s="10">
        <f t="shared" si="4"/>
        <v>0</v>
      </c>
      <c r="J51" s="11"/>
      <c r="K51" s="11"/>
      <c r="L51" s="16" t="str">
        <f t="shared" si="5"/>
        <v>0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/>
      <c r="F52" s="8" t="s">
        <v>42</v>
      </c>
      <c r="G52" s="9"/>
      <c r="H52" s="9"/>
      <c r="I52" s="10">
        <f t="shared" si="4"/>
        <v>0</v>
      </c>
      <c r="J52" s="11"/>
      <c r="K52" s="11"/>
      <c r="L52" s="16" t="str">
        <f t="shared" si="5"/>
        <v>0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/>
      <c r="F53" s="8" t="s">
        <v>42</v>
      </c>
      <c r="G53" s="9"/>
      <c r="H53" s="9"/>
      <c r="I53" s="10">
        <f t="shared" si="4"/>
        <v>0</v>
      </c>
      <c r="J53" s="11"/>
      <c r="K53" s="11"/>
      <c r="L53" s="16" t="str">
        <f t="shared" si="5"/>
        <v>0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/>
      <c r="F54" s="8" t="s">
        <v>42</v>
      </c>
      <c r="G54" s="9"/>
      <c r="H54" s="9"/>
      <c r="I54" s="10">
        <f t="shared" si="4"/>
        <v>0</v>
      </c>
      <c r="J54" s="11"/>
      <c r="K54" s="11"/>
      <c r="L54" s="16" t="str">
        <f t="shared" si="5"/>
        <v>0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/>
      <c r="F55" s="8" t="s">
        <v>42</v>
      </c>
      <c r="G55" s="9"/>
      <c r="H55" s="9"/>
      <c r="I55" s="10">
        <f t="shared" si="4"/>
        <v>0</v>
      </c>
      <c r="J55" s="11"/>
      <c r="K55" s="11"/>
      <c r="L55" s="16" t="str">
        <f t="shared" si="5"/>
        <v>0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/>
      <c r="F56" s="8" t="s">
        <v>42</v>
      </c>
      <c r="G56" s="9"/>
      <c r="H56" s="9"/>
      <c r="I56" s="10">
        <f t="shared" si="4"/>
        <v>0</v>
      </c>
      <c r="J56" s="11"/>
      <c r="K56" s="11"/>
      <c r="L56" s="16" t="str">
        <f t="shared" si="5"/>
        <v>0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/>
      <c r="F57" s="8" t="s">
        <v>42</v>
      </c>
      <c r="G57" s="9"/>
      <c r="H57" s="9"/>
      <c r="I57" s="10">
        <f t="shared" si="4"/>
        <v>0</v>
      </c>
      <c r="J57" s="11"/>
      <c r="K57" s="11"/>
      <c r="L57" s="16" t="str">
        <f t="shared" si="5"/>
        <v>0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/>
      <c r="F58" s="8" t="s">
        <v>42</v>
      </c>
      <c r="G58" s="9"/>
      <c r="H58" s="9"/>
      <c r="I58" s="10">
        <f t="shared" si="4"/>
        <v>0</v>
      </c>
      <c r="J58" s="11"/>
      <c r="K58" s="11"/>
      <c r="L58" s="16" t="str">
        <f t="shared" si="5"/>
        <v>0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/>
      <c r="F59" s="8" t="s">
        <v>42</v>
      </c>
      <c r="G59" s="9"/>
      <c r="H59" s="9"/>
      <c r="I59" s="10">
        <f t="shared" si="4"/>
        <v>0</v>
      </c>
      <c r="J59" s="11"/>
      <c r="K59" s="11"/>
      <c r="L59" s="16" t="str">
        <f t="shared" si="5"/>
        <v>0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/>
      <c r="F60" s="8" t="s">
        <v>42</v>
      </c>
      <c r="G60" s="9"/>
      <c r="H60" s="9"/>
      <c r="I60" s="10">
        <f t="shared" si="4"/>
        <v>0</v>
      </c>
      <c r="J60" s="11"/>
      <c r="K60" s="11"/>
      <c r="L60" s="16" t="str">
        <f t="shared" si="5"/>
        <v>0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/>
      <c r="F61" s="8" t="s">
        <v>42</v>
      </c>
      <c r="G61" s="9"/>
      <c r="H61" s="9"/>
      <c r="I61" s="10">
        <f t="shared" si="4"/>
        <v>0</v>
      </c>
      <c r="J61" s="11"/>
      <c r="K61" s="11"/>
      <c r="L61" s="16" t="str">
        <f t="shared" si="5"/>
        <v>0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/>
      <c r="F62" s="8" t="s">
        <v>42</v>
      </c>
      <c r="G62" s="9"/>
      <c r="H62" s="9"/>
      <c r="I62" s="10">
        <f t="shared" si="4"/>
        <v>0</v>
      </c>
      <c r="J62" s="11"/>
      <c r="K62" s="11"/>
      <c r="L62" s="16" t="str">
        <f t="shared" si="5"/>
        <v>0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/>
      <c r="F63" s="14"/>
      <c r="G63" s="9"/>
      <c r="H63" s="9"/>
      <c r="I63" s="10"/>
      <c r="J63" s="11"/>
      <c r="K63" s="11"/>
      <c r="L63" s="16"/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/>
      <c r="F64" s="8" t="s">
        <v>42</v>
      </c>
      <c r="G64" s="9"/>
      <c r="H64" s="9"/>
      <c r="I64" s="10">
        <f t="shared" ref="I64:I75" si="6">H64-G64</f>
        <v>0</v>
      </c>
      <c r="J64" s="11"/>
      <c r="K64" s="11"/>
      <c r="L64" s="16" t="str">
        <f t="shared" ref="L64:L75" si="7">IFERROR(((K64/(J64*I64)/24)),"0")</f>
        <v>0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/>
      <c r="F65" s="8" t="s">
        <v>42</v>
      </c>
      <c r="G65" s="9"/>
      <c r="H65" s="9"/>
      <c r="I65" s="10">
        <f t="shared" si="6"/>
        <v>0</v>
      </c>
      <c r="J65" s="11"/>
      <c r="K65" s="11"/>
      <c r="L65" s="16" t="str">
        <f t="shared" si="7"/>
        <v>0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/>
      <c r="F66" s="8" t="s">
        <v>42</v>
      </c>
      <c r="G66" s="9"/>
      <c r="H66" s="9"/>
      <c r="I66" s="10">
        <f t="shared" si="6"/>
        <v>0</v>
      </c>
      <c r="J66" s="11"/>
      <c r="K66" s="11"/>
      <c r="L66" s="16" t="str">
        <f t="shared" si="7"/>
        <v>0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/>
      <c r="F67" s="8" t="s">
        <v>42</v>
      </c>
      <c r="G67" s="9"/>
      <c r="H67" s="9"/>
      <c r="I67" s="10">
        <f t="shared" si="6"/>
        <v>0</v>
      </c>
      <c r="J67" s="11"/>
      <c r="K67" s="11"/>
      <c r="L67" s="16" t="str">
        <f t="shared" si="7"/>
        <v>0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/>
      <c r="F68" s="8" t="s">
        <v>42</v>
      </c>
      <c r="G68" s="9"/>
      <c r="H68" s="9"/>
      <c r="I68" s="10">
        <f t="shared" si="6"/>
        <v>0</v>
      </c>
      <c r="J68" s="11"/>
      <c r="K68" s="11"/>
      <c r="L68" s="16" t="str">
        <f t="shared" si="7"/>
        <v>0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/>
      <c r="F69" s="8" t="s">
        <v>42</v>
      </c>
      <c r="G69" s="9"/>
      <c r="H69" s="9"/>
      <c r="I69" s="10">
        <f t="shared" si="6"/>
        <v>0</v>
      </c>
      <c r="J69" s="11"/>
      <c r="K69" s="11"/>
      <c r="L69" s="16" t="str">
        <f t="shared" si="7"/>
        <v>0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/>
      <c r="F70" s="8" t="s">
        <v>42</v>
      </c>
      <c r="G70" s="9"/>
      <c r="H70" s="9"/>
      <c r="I70" s="10">
        <f t="shared" si="6"/>
        <v>0</v>
      </c>
      <c r="J70" s="11"/>
      <c r="K70" s="11"/>
      <c r="L70" s="16" t="str">
        <f t="shared" si="7"/>
        <v>0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/>
      <c r="F71" s="8" t="s">
        <v>42</v>
      </c>
      <c r="G71" s="9"/>
      <c r="H71" s="9"/>
      <c r="I71" s="10">
        <f t="shared" si="6"/>
        <v>0</v>
      </c>
      <c r="J71" s="11"/>
      <c r="K71" s="11"/>
      <c r="L71" s="16" t="str">
        <f t="shared" si="7"/>
        <v>0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/>
      <c r="F72" s="8" t="s">
        <v>42</v>
      </c>
      <c r="G72" s="9"/>
      <c r="H72" s="9"/>
      <c r="I72" s="10">
        <f t="shared" si="6"/>
        <v>0</v>
      </c>
      <c r="J72" s="11"/>
      <c r="K72" s="11"/>
      <c r="L72" s="16" t="str">
        <f t="shared" si="7"/>
        <v>0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/>
      <c r="F73" s="8" t="s">
        <v>42</v>
      </c>
      <c r="G73" s="9"/>
      <c r="H73" s="9"/>
      <c r="I73" s="10">
        <f t="shared" si="6"/>
        <v>0</v>
      </c>
      <c r="J73" s="11"/>
      <c r="K73" s="11"/>
      <c r="L73" s="16" t="str">
        <f t="shared" si="7"/>
        <v>0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/>
      <c r="F74" s="8" t="s">
        <v>42</v>
      </c>
      <c r="G74" s="9"/>
      <c r="H74" s="9"/>
      <c r="I74" s="10">
        <f t="shared" si="6"/>
        <v>0</v>
      </c>
      <c r="J74" s="11"/>
      <c r="K74" s="11"/>
      <c r="L74" s="16" t="str">
        <f t="shared" si="7"/>
        <v>0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/>
      <c r="F75" s="8" t="s">
        <v>42</v>
      </c>
      <c r="G75" s="9"/>
      <c r="H75" s="9"/>
      <c r="I75" s="10">
        <f t="shared" si="6"/>
        <v>0</v>
      </c>
      <c r="J75" s="11"/>
      <c r="K75" s="11"/>
      <c r="L75" s="16" t="str">
        <f t="shared" si="7"/>
        <v>0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/>
      <c r="F76" s="14"/>
      <c r="G76" s="9"/>
      <c r="H76" s="9"/>
      <c r="I76" s="10"/>
      <c r="J76" s="11"/>
      <c r="K76" s="11"/>
      <c r="L76" s="16"/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/>
      <c r="F77" s="8" t="s">
        <v>42</v>
      </c>
      <c r="G77" s="9"/>
      <c r="H77" s="9"/>
      <c r="I77" s="10">
        <f t="shared" ref="I77:I89" si="8">H77-G77</f>
        <v>0</v>
      </c>
      <c r="J77" s="11"/>
      <c r="K77" s="11"/>
      <c r="L77" s="16" t="str">
        <f t="shared" ref="L77:L89" si="9">IFERROR(((K77/(J77*I77)/24)),"0")</f>
        <v>0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/>
      <c r="F78" s="8" t="s">
        <v>42</v>
      </c>
      <c r="G78" s="9"/>
      <c r="H78" s="9"/>
      <c r="I78" s="10">
        <f t="shared" si="8"/>
        <v>0</v>
      </c>
      <c r="J78" s="11"/>
      <c r="K78" s="11"/>
      <c r="L78" s="16" t="str">
        <f t="shared" si="9"/>
        <v>0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/>
      <c r="F79" s="8" t="s">
        <v>42</v>
      </c>
      <c r="G79" s="9"/>
      <c r="H79" s="9"/>
      <c r="I79" s="10">
        <f t="shared" si="8"/>
        <v>0</v>
      </c>
      <c r="J79" s="11"/>
      <c r="K79" s="11"/>
      <c r="L79" s="16" t="str">
        <f t="shared" si="9"/>
        <v>0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/>
      <c r="F80" s="8" t="s">
        <v>42</v>
      </c>
      <c r="G80" s="9"/>
      <c r="H80" s="9"/>
      <c r="I80" s="10">
        <f t="shared" si="8"/>
        <v>0</v>
      </c>
      <c r="J80" s="11"/>
      <c r="K80" s="11"/>
      <c r="L80" s="16" t="str">
        <f t="shared" si="9"/>
        <v>0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/>
      <c r="F81" s="8" t="s">
        <v>42</v>
      </c>
      <c r="G81" s="9"/>
      <c r="H81" s="9"/>
      <c r="I81" s="10">
        <f t="shared" si="8"/>
        <v>0</v>
      </c>
      <c r="J81" s="11"/>
      <c r="K81" s="11"/>
      <c r="L81" s="16" t="str">
        <f t="shared" si="9"/>
        <v>0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/>
      <c r="F82" s="8" t="s">
        <v>42</v>
      </c>
      <c r="G82" s="9"/>
      <c r="H82" s="9"/>
      <c r="I82" s="10">
        <f t="shared" si="8"/>
        <v>0</v>
      </c>
      <c r="J82" s="11"/>
      <c r="K82" s="11"/>
      <c r="L82" s="16" t="str">
        <f t="shared" si="9"/>
        <v>0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/>
      <c r="F83" s="8" t="s">
        <v>42</v>
      </c>
      <c r="G83" s="9"/>
      <c r="H83" s="9"/>
      <c r="I83" s="10">
        <f t="shared" si="8"/>
        <v>0</v>
      </c>
      <c r="J83" s="11"/>
      <c r="K83" s="11"/>
      <c r="L83" s="16" t="str">
        <f t="shared" si="9"/>
        <v>0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/>
      <c r="F84" s="8" t="s">
        <v>42</v>
      </c>
      <c r="G84" s="9"/>
      <c r="H84" s="9"/>
      <c r="I84" s="10">
        <f t="shared" si="8"/>
        <v>0</v>
      </c>
      <c r="J84" s="11"/>
      <c r="K84" s="11"/>
      <c r="L84" s="16" t="str">
        <f t="shared" si="9"/>
        <v>0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/>
      <c r="F85" s="8" t="s">
        <v>42</v>
      </c>
      <c r="G85" s="9"/>
      <c r="H85" s="9"/>
      <c r="I85" s="10">
        <f t="shared" si="8"/>
        <v>0</v>
      </c>
      <c r="J85" s="11"/>
      <c r="K85" s="11"/>
      <c r="L85" s="16" t="str">
        <f t="shared" si="9"/>
        <v>0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/>
      <c r="F86" s="8" t="s">
        <v>42</v>
      </c>
      <c r="G86" s="9"/>
      <c r="H86" s="9"/>
      <c r="I86" s="10">
        <f t="shared" si="8"/>
        <v>0</v>
      </c>
      <c r="J86" s="11"/>
      <c r="K86" s="11"/>
      <c r="L86" s="16" t="str">
        <f t="shared" si="9"/>
        <v>0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/>
      <c r="F87" s="8" t="s">
        <v>42</v>
      </c>
      <c r="G87" s="9"/>
      <c r="H87" s="9"/>
      <c r="I87" s="10">
        <f t="shared" si="8"/>
        <v>0</v>
      </c>
      <c r="J87" s="11"/>
      <c r="K87" s="11"/>
      <c r="L87" s="16" t="str">
        <f t="shared" si="9"/>
        <v>0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/>
      <c r="F88" s="8" t="s">
        <v>42</v>
      </c>
      <c r="G88" s="9"/>
      <c r="H88" s="9"/>
      <c r="I88" s="10">
        <f t="shared" si="8"/>
        <v>0</v>
      </c>
      <c r="J88" s="11"/>
      <c r="K88" s="11"/>
      <c r="L88" s="16" t="str">
        <f t="shared" si="9"/>
        <v>0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/>
      <c r="F89" s="8" t="s">
        <v>42</v>
      </c>
      <c r="G89" s="9"/>
      <c r="H89" s="9"/>
      <c r="I89" s="10">
        <f t="shared" si="8"/>
        <v>0</v>
      </c>
      <c r="J89" s="11"/>
      <c r="K89" s="11"/>
      <c r="L89" s="16" t="str">
        <f t="shared" si="9"/>
        <v>0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/>
      <c r="F90" s="8" t="s">
        <v>42</v>
      </c>
      <c r="G90" s="9"/>
      <c r="H90" s="9"/>
      <c r="I90" s="10"/>
      <c r="J90" s="11"/>
      <c r="K90" s="11"/>
      <c r="L90" s="16"/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/>
      <c r="F91" s="8" t="s">
        <v>42</v>
      </c>
      <c r="G91" s="9"/>
      <c r="H91" s="9"/>
      <c r="I91" s="10">
        <f t="shared" ref="I91:I99" si="10">H91-G91</f>
        <v>0</v>
      </c>
      <c r="J91" s="11"/>
      <c r="K91" s="11"/>
      <c r="L91" s="16" t="str">
        <f t="shared" ref="L91:L99" si="11">IFERROR(((K91/(J91*I91)/24)),"0")</f>
        <v>0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/>
      <c r="F92" s="8" t="s">
        <v>42</v>
      </c>
      <c r="G92" s="9"/>
      <c r="H92" s="9"/>
      <c r="I92" s="10">
        <f t="shared" si="10"/>
        <v>0</v>
      </c>
      <c r="J92" s="11"/>
      <c r="K92" s="11"/>
      <c r="L92" s="16" t="str">
        <f t="shared" si="11"/>
        <v>0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/>
      <c r="F93" s="8" t="s">
        <v>42</v>
      </c>
      <c r="G93" s="9"/>
      <c r="H93" s="9"/>
      <c r="I93" s="10">
        <f t="shared" si="10"/>
        <v>0</v>
      </c>
      <c r="J93" s="11"/>
      <c r="K93" s="11"/>
      <c r="L93" s="16" t="str">
        <f t="shared" si="11"/>
        <v>0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/>
      <c r="F94" s="8" t="s">
        <v>42</v>
      </c>
      <c r="G94" s="9"/>
      <c r="H94" s="9"/>
      <c r="I94" s="10">
        <f t="shared" si="10"/>
        <v>0</v>
      </c>
      <c r="J94" s="11"/>
      <c r="K94" s="11"/>
      <c r="L94" s="16" t="str">
        <f t="shared" si="11"/>
        <v>0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/>
      <c r="F95" s="8" t="s">
        <v>42</v>
      </c>
      <c r="G95" s="9"/>
      <c r="H95" s="9"/>
      <c r="I95" s="10">
        <f t="shared" si="10"/>
        <v>0</v>
      </c>
      <c r="J95" s="11"/>
      <c r="K95" s="11"/>
      <c r="L95" s="16" t="str">
        <f t="shared" si="11"/>
        <v>0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/>
      <c r="F96" s="8" t="s">
        <v>42</v>
      </c>
      <c r="G96" s="9"/>
      <c r="H96" s="9"/>
      <c r="I96" s="10">
        <f t="shared" si="10"/>
        <v>0</v>
      </c>
      <c r="J96" s="11"/>
      <c r="K96" s="11"/>
      <c r="L96" s="16" t="str">
        <f t="shared" si="11"/>
        <v>0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/>
      <c r="F97" s="8" t="s">
        <v>42</v>
      </c>
      <c r="G97" s="9"/>
      <c r="H97" s="9"/>
      <c r="I97" s="10">
        <f t="shared" si="10"/>
        <v>0</v>
      </c>
      <c r="J97" s="11"/>
      <c r="K97" s="11"/>
      <c r="L97" s="16" t="str">
        <f t="shared" si="11"/>
        <v>0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/>
      <c r="F98" s="8" t="s">
        <v>42</v>
      </c>
      <c r="G98" s="9"/>
      <c r="H98" s="9"/>
      <c r="I98" s="10">
        <f t="shared" si="10"/>
        <v>0</v>
      </c>
      <c r="J98" s="11"/>
      <c r="K98" s="11"/>
      <c r="L98" s="16" t="str">
        <f t="shared" si="11"/>
        <v>0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/>
      <c r="F99" s="8" t="s">
        <v>42</v>
      </c>
      <c r="G99" s="9"/>
      <c r="H99" s="9"/>
      <c r="I99" s="10">
        <f t="shared" si="10"/>
        <v>0</v>
      </c>
      <c r="J99" s="11"/>
      <c r="K99" s="11"/>
      <c r="L99" s="16" t="str">
        <f t="shared" si="11"/>
        <v>0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/>
      <c r="F100" s="8" t="s">
        <v>42</v>
      </c>
      <c r="G100" s="9"/>
      <c r="H100" s="9"/>
      <c r="I100" s="10"/>
      <c r="J100" s="11"/>
      <c r="K100" s="11"/>
      <c r="L100" s="16"/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/>
      <c r="F101" s="8" t="s">
        <v>42</v>
      </c>
      <c r="G101" s="9"/>
      <c r="H101" s="9"/>
      <c r="I101" s="10">
        <f t="shared" ref="I101:I114" si="12">H101-G101</f>
        <v>0</v>
      </c>
      <c r="J101" s="11"/>
      <c r="K101" s="11"/>
      <c r="L101" s="16" t="str">
        <f t="shared" ref="L101:L114" si="13">IFERROR(((K101/(J101*I101)/24)),"0")</f>
        <v>0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/>
      <c r="F102" s="8" t="s">
        <v>42</v>
      </c>
      <c r="G102" s="9"/>
      <c r="H102" s="9"/>
      <c r="I102" s="10">
        <f t="shared" si="12"/>
        <v>0</v>
      </c>
      <c r="J102" s="11"/>
      <c r="K102" s="11"/>
      <c r="L102" s="16" t="str">
        <f t="shared" si="13"/>
        <v>0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/>
      <c r="F103" s="8" t="s">
        <v>42</v>
      </c>
      <c r="G103" s="9"/>
      <c r="H103" s="9"/>
      <c r="I103" s="10">
        <f t="shared" si="12"/>
        <v>0</v>
      </c>
      <c r="J103" s="11"/>
      <c r="K103" s="11"/>
      <c r="L103" s="16" t="str">
        <f t="shared" si="13"/>
        <v>0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/>
      <c r="F104" s="8" t="s">
        <v>42</v>
      </c>
      <c r="G104" s="9"/>
      <c r="H104" s="9"/>
      <c r="I104" s="10">
        <f t="shared" si="12"/>
        <v>0</v>
      </c>
      <c r="J104" s="11"/>
      <c r="K104" s="11"/>
      <c r="L104" s="16" t="str">
        <f t="shared" si="13"/>
        <v>0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/>
      <c r="F105" s="8" t="s">
        <v>42</v>
      </c>
      <c r="G105" s="9"/>
      <c r="H105" s="9"/>
      <c r="I105" s="10">
        <f t="shared" si="12"/>
        <v>0</v>
      </c>
      <c r="J105" s="11"/>
      <c r="K105" s="11"/>
      <c r="L105" s="16" t="str">
        <f t="shared" si="13"/>
        <v>0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/>
      <c r="F106" s="8" t="s">
        <v>42</v>
      </c>
      <c r="G106" s="9"/>
      <c r="H106" s="9"/>
      <c r="I106" s="10">
        <f t="shared" si="12"/>
        <v>0</v>
      </c>
      <c r="J106" s="11"/>
      <c r="K106" s="11"/>
      <c r="L106" s="16" t="str">
        <f t="shared" si="13"/>
        <v>0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/>
      <c r="F107" s="8" t="s">
        <v>42</v>
      </c>
      <c r="G107" s="9"/>
      <c r="H107" s="9"/>
      <c r="I107" s="10">
        <f t="shared" si="12"/>
        <v>0</v>
      </c>
      <c r="J107" s="11"/>
      <c r="K107" s="11"/>
      <c r="L107" s="16" t="str">
        <f t="shared" si="13"/>
        <v>0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/>
      <c r="F108" s="8" t="s">
        <v>42</v>
      </c>
      <c r="G108" s="9"/>
      <c r="H108" s="9"/>
      <c r="I108" s="10">
        <f t="shared" si="12"/>
        <v>0</v>
      </c>
      <c r="J108" s="11"/>
      <c r="K108" s="11"/>
      <c r="L108" s="16" t="str">
        <f t="shared" si="13"/>
        <v>0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/>
      <c r="F109" s="8" t="s">
        <v>42</v>
      </c>
      <c r="G109" s="9"/>
      <c r="H109" s="9"/>
      <c r="I109" s="10">
        <f t="shared" si="12"/>
        <v>0</v>
      </c>
      <c r="J109" s="11"/>
      <c r="K109" s="11"/>
      <c r="L109" s="16" t="str">
        <f t="shared" si="13"/>
        <v>0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/>
      <c r="F110" s="8" t="s">
        <v>42</v>
      </c>
      <c r="G110" s="9"/>
      <c r="H110" s="9"/>
      <c r="I110" s="10">
        <f t="shared" si="12"/>
        <v>0</v>
      </c>
      <c r="J110" s="11"/>
      <c r="K110" s="11"/>
      <c r="L110" s="16" t="str">
        <f t="shared" si="13"/>
        <v>0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/>
      <c r="F111" s="8" t="s">
        <v>42</v>
      </c>
      <c r="G111" s="9"/>
      <c r="H111" s="9"/>
      <c r="I111" s="10">
        <f t="shared" si="12"/>
        <v>0</v>
      </c>
      <c r="J111" s="11"/>
      <c r="K111" s="11"/>
      <c r="L111" s="16" t="str">
        <f t="shared" si="13"/>
        <v>0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/>
      <c r="F112" s="8" t="s">
        <v>42</v>
      </c>
      <c r="G112" s="9"/>
      <c r="H112" s="9"/>
      <c r="I112" s="10">
        <f t="shared" si="12"/>
        <v>0</v>
      </c>
      <c r="J112" s="11"/>
      <c r="K112" s="11"/>
      <c r="L112" s="16" t="str">
        <f t="shared" si="13"/>
        <v>0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1:38" ht="25.05" customHeight="1">
      <c r="B113" s="13"/>
      <c r="C113" s="29"/>
      <c r="D113" s="30"/>
      <c r="E113" s="19"/>
      <c r="F113" s="8" t="s">
        <v>42</v>
      </c>
      <c r="G113" s="9"/>
      <c r="H113" s="9"/>
      <c r="I113" s="10">
        <f t="shared" si="12"/>
        <v>0</v>
      </c>
      <c r="J113" s="11"/>
      <c r="K113" s="11"/>
      <c r="L113" s="16" t="str">
        <f t="shared" si="13"/>
        <v>0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1:38" ht="25.05" customHeight="1">
      <c r="B114" s="13"/>
      <c r="C114" s="29"/>
      <c r="D114" s="30"/>
      <c r="E114" s="19"/>
      <c r="F114" s="8" t="s">
        <v>42</v>
      </c>
      <c r="G114" s="9"/>
      <c r="H114" s="9"/>
      <c r="I114" s="10">
        <f t="shared" si="12"/>
        <v>0</v>
      </c>
      <c r="J114" s="11"/>
      <c r="K114" s="11"/>
      <c r="L114" s="16" t="str">
        <f t="shared" si="13"/>
        <v>0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1:38" ht="25.05" customHeight="1">
      <c r="B115" s="13"/>
      <c r="C115" s="29"/>
      <c r="D115" s="30"/>
      <c r="E115" s="19"/>
      <c r="F115" s="8" t="s">
        <v>42</v>
      </c>
      <c r="G115" s="9"/>
      <c r="H115" s="9"/>
      <c r="I115" s="10"/>
      <c r="J115" s="11"/>
      <c r="K115" s="11"/>
      <c r="L115" s="16"/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1:38" ht="25.05" customHeight="1">
      <c r="B116" s="13"/>
      <c r="C116" s="29"/>
      <c r="D116" s="30"/>
      <c r="E116" s="19"/>
      <c r="F116" s="8" t="s">
        <v>42</v>
      </c>
      <c r="G116" s="9"/>
      <c r="H116" s="9"/>
      <c r="I116" s="10">
        <f>H116-G116</f>
        <v>0</v>
      </c>
      <c r="J116" s="11"/>
      <c r="K116" s="11"/>
      <c r="L116" s="16" t="str">
        <f t="shared" ref="L116:L121" si="14">IFERROR(((K116/(J116*I116)/24)),"0")</f>
        <v>0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1:38" ht="25.05" customHeight="1">
      <c r="B117" s="13"/>
      <c r="C117" s="29"/>
      <c r="D117" s="30"/>
      <c r="E117" s="19"/>
      <c r="F117" s="8" t="s">
        <v>42</v>
      </c>
      <c r="G117" s="9"/>
      <c r="H117" s="9"/>
      <c r="I117" s="10">
        <f>H117-G117</f>
        <v>0</v>
      </c>
      <c r="J117" s="11"/>
      <c r="K117" s="11"/>
      <c r="L117" s="16" t="str">
        <f t="shared" si="14"/>
        <v>0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1:38" ht="25.05" customHeight="1">
      <c r="B118" s="13"/>
      <c r="C118" s="29"/>
      <c r="D118" s="30"/>
      <c r="E118" s="19"/>
      <c r="F118" s="8" t="s">
        <v>42</v>
      </c>
      <c r="G118" s="9"/>
      <c r="H118" s="9"/>
      <c r="I118" s="10">
        <f>H118-G118</f>
        <v>0</v>
      </c>
      <c r="J118" s="11"/>
      <c r="K118" s="11"/>
      <c r="L118" s="16" t="str">
        <f t="shared" si="14"/>
        <v>0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1:38" ht="25.05" customHeight="1">
      <c r="B119" s="13"/>
      <c r="C119" s="29"/>
      <c r="D119" s="30"/>
      <c r="E119" s="19"/>
      <c r="F119" s="8" t="s">
        <v>42</v>
      </c>
      <c r="G119" s="9"/>
      <c r="H119" s="9"/>
      <c r="I119" s="10">
        <f>H119-G119</f>
        <v>0</v>
      </c>
      <c r="J119" s="11"/>
      <c r="K119" s="11"/>
      <c r="L119" s="16" t="str">
        <f t="shared" si="14"/>
        <v>0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1:38" ht="25.05" customHeight="1">
      <c r="B120" s="13"/>
      <c r="C120" s="29"/>
      <c r="D120" s="30"/>
      <c r="E120" s="19"/>
      <c r="F120" s="8" t="s">
        <v>42</v>
      </c>
      <c r="G120" s="9"/>
      <c r="H120" s="9"/>
      <c r="I120" s="10">
        <f>H120-G120</f>
        <v>0</v>
      </c>
      <c r="J120" s="11"/>
      <c r="K120" s="11"/>
      <c r="L120" s="16" t="str">
        <f t="shared" si="14"/>
        <v>0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1:38" ht="25.05" customHeight="1">
      <c r="B121" s="13"/>
      <c r="C121" s="29"/>
      <c r="D121" s="30"/>
      <c r="E121" s="19"/>
      <c r="F121" s="8" t="s">
        <v>42</v>
      </c>
      <c r="G121" s="9"/>
      <c r="H121" s="9"/>
      <c r="I121" s="10">
        <v>4</v>
      </c>
      <c r="J121" s="11"/>
      <c r="K121" s="11"/>
      <c r="L121" s="16" t="str">
        <f t="shared" si="14"/>
        <v>0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1:38" s="28" customFormat="1" ht="25.5" customHeight="1">
      <c r="A122" s="2"/>
      <c r="B122" s="32"/>
      <c r="C122" s="33"/>
      <c r="D122" s="34"/>
      <c r="E122" s="35"/>
      <c r="F122" s="35"/>
      <c r="G122" s="36"/>
      <c r="H122" s="36"/>
      <c r="I122" s="37"/>
      <c r="J122" s="38"/>
      <c r="K122" s="38">
        <f t="shared" ref="K122:AJ122" si="15">SUM(K37:K121)</f>
        <v>0</v>
      </c>
      <c r="L122" s="39">
        <f t="shared" si="15"/>
        <v>0</v>
      </c>
      <c r="M122" s="38">
        <f t="shared" si="15"/>
        <v>0</v>
      </c>
      <c r="N122" s="38">
        <f t="shared" si="15"/>
        <v>0</v>
      </c>
      <c r="O122" s="38">
        <f t="shared" si="15"/>
        <v>0</v>
      </c>
      <c r="P122" s="38">
        <f t="shared" si="15"/>
        <v>0</v>
      </c>
      <c r="Q122" s="38">
        <f t="shared" si="15"/>
        <v>0</v>
      </c>
      <c r="R122" s="38">
        <f t="shared" si="15"/>
        <v>0</v>
      </c>
      <c r="S122" s="38">
        <f t="shared" si="15"/>
        <v>0</v>
      </c>
      <c r="T122" s="38">
        <f t="shared" si="15"/>
        <v>0</v>
      </c>
      <c r="U122" s="38">
        <f t="shared" si="15"/>
        <v>0</v>
      </c>
      <c r="V122" s="38">
        <f t="shared" si="15"/>
        <v>0</v>
      </c>
      <c r="W122" s="38">
        <f t="shared" si="15"/>
        <v>0</v>
      </c>
      <c r="X122" s="38">
        <f t="shared" si="15"/>
        <v>0</v>
      </c>
      <c r="Y122" s="38">
        <f t="shared" si="15"/>
        <v>0</v>
      </c>
      <c r="Z122" s="38">
        <f t="shared" si="15"/>
        <v>0</v>
      </c>
      <c r="AA122" s="38">
        <f t="shared" si="15"/>
        <v>0</v>
      </c>
      <c r="AB122" s="38">
        <f t="shared" si="15"/>
        <v>0</v>
      </c>
      <c r="AC122" s="38">
        <f t="shared" si="15"/>
        <v>0</v>
      </c>
      <c r="AD122" s="38">
        <f t="shared" si="15"/>
        <v>0</v>
      </c>
      <c r="AE122" s="38">
        <f t="shared" si="15"/>
        <v>0</v>
      </c>
      <c r="AF122" s="38">
        <f t="shared" si="15"/>
        <v>0</v>
      </c>
      <c r="AG122" s="38">
        <f t="shared" si="15"/>
        <v>0</v>
      </c>
      <c r="AH122" s="38">
        <f t="shared" si="15"/>
        <v>0</v>
      </c>
      <c r="AI122" s="38">
        <f t="shared" si="15"/>
        <v>0</v>
      </c>
      <c r="AJ122" s="38">
        <f t="shared" si="15"/>
        <v>0</v>
      </c>
      <c r="AK122" s="38">
        <f>SUM(AK37:AK121)</f>
        <v>0</v>
      </c>
      <c r="AL122" s="38">
        <f>SUM(AL37:AL121)</f>
        <v>0</v>
      </c>
    </row>
    <row r="123" spans="1:38" ht="38.1" customHeight="1">
      <c r="B123" s="40" t="s">
        <v>45</v>
      </c>
      <c r="C123" s="41"/>
      <c r="D123" s="41"/>
      <c r="E123" s="41"/>
      <c r="F123" s="41"/>
      <c r="G123" s="41"/>
      <c r="H123" s="41"/>
      <c r="I123" s="41"/>
      <c r="J123" s="41"/>
      <c r="K123" s="42">
        <f>K33+K36+K122</f>
        <v>0</v>
      </c>
      <c r="L123" s="42">
        <f>L33+L36+L122</f>
        <v>0</v>
      </c>
      <c r="M123" s="43">
        <f t="shared" ref="M123:AJ123" si="16">(M33+M36+M122)/(480-15-30)</f>
        <v>0</v>
      </c>
      <c r="N123" s="43">
        <f t="shared" si="16"/>
        <v>0</v>
      </c>
      <c r="O123" s="43">
        <f t="shared" si="16"/>
        <v>0</v>
      </c>
      <c r="P123" s="43">
        <f t="shared" si="16"/>
        <v>0</v>
      </c>
      <c r="Q123" s="43">
        <f t="shared" si="16"/>
        <v>0</v>
      </c>
      <c r="R123" s="43">
        <f t="shared" si="16"/>
        <v>0</v>
      </c>
      <c r="S123" s="43">
        <f t="shared" si="16"/>
        <v>0</v>
      </c>
      <c r="T123" s="43">
        <f t="shared" si="16"/>
        <v>0</v>
      </c>
      <c r="U123" s="43">
        <f t="shared" si="16"/>
        <v>0</v>
      </c>
      <c r="V123" s="43">
        <f t="shared" si="16"/>
        <v>0</v>
      </c>
      <c r="W123" s="43">
        <f t="shared" si="16"/>
        <v>0</v>
      </c>
      <c r="X123" s="43">
        <f t="shared" si="16"/>
        <v>0</v>
      </c>
      <c r="Y123" s="43">
        <f t="shared" si="16"/>
        <v>0</v>
      </c>
      <c r="Z123" s="43">
        <f t="shared" si="16"/>
        <v>0</v>
      </c>
      <c r="AA123" s="43">
        <f t="shared" si="16"/>
        <v>0</v>
      </c>
      <c r="AB123" s="43">
        <f t="shared" si="16"/>
        <v>0</v>
      </c>
      <c r="AC123" s="43">
        <f t="shared" si="16"/>
        <v>0</v>
      </c>
      <c r="AD123" s="43">
        <f t="shared" si="16"/>
        <v>0</v>
      </c>
      <c r="AE123" s="43">
        <f t="shared" si="16"/>
        <v>0</v>
      </c>
      <c r="AF123" s="43">
        <f t="shared" si="16"/>
        <v>0</v>
      </c>
      <c r="AG123" s="43">
        <f t="shared" si="16"/>
        <v>0</v>
      </c>
      <c r="AH123" s="43">
        <f t="shared" si="16"/>
        <v>0</v>
      </c>
      <c r="AI123" s="43">
        <f t="shared" si="16"/>
        <v>0</v>
      </c>
      <c r="AJ123" s="43">
        <f t="shared" si="16"/>
        <v>0</v>
      </c>
      <c r="AK123" s="43">
        <f>(AK33+AK36+AK122)/(480-15-30)</f>
        <v>0</v>
      </c>
      <c r="AL123" s="43">
        <f>(AL33+AL36+AL122)/(480-15-30)</f>
        <v>0</v>
      </c>
    </row>
    <row r="124" spans="1:38" ht="25.05" customHeight="1">
      <c r="B124" s="44"/>
      <c r="C124" s="44"/>
      <c r="D124" s="44"/>
      <c r="E124" s="45"/>
      <c r="F124" s="45"/>
      <c r="G124" s="45"/>
      <c r="H124" s="45"/>
      <c r="I124" s="46"/>
      <c r="J124" s="46"/>
      <c r="K124" s="45"/>
      <c r="L124" s="47"/>
      <c r="M124" s="47"/>
      <c r="N124" s="47"/>
      <c r="O124" s="47"/>
      <c r="P124" s="47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</row>
    <row r="125" spans="1:38" ht="25.05" customHeight="1">
      <c r="B125" s="44"/>
      <c r="C125" s="44"/>
      <c r="D125" s="44"/>
      <c r="E125" s="45"/>
      <c r="F125" s="45"/>
      <c r="G125" s="45"/>
      <c r="H125" s="45"/>
      <c r="I125" s="48" t="s">
        <v>46</v>
      </c>
      <c r="J125" s="46"/>
      <c r="K125" s="45"/>
      <c r="L125" s="47"/>
      <c r="M125" s="47"/>
      <c r="N125" s="47"/>
      <c r="O125" s="47"/>
      <c r="P125" s="47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</row>
    <row r="126" spans="1:38" ht="25.05" customHeight="1">
      <c r="B126" s="44"/>
      <c r="C126" s="44"/>
      <c r="D126" s="44"/>
      <c r="E126" s="45"/>
      <c r="F126" s="45"/>
      <c r="G126" s="45"/>
      <c r="H126" s="45"/>
      <c r="I126" s="49" t="s">
        <v>47</v>
      </c>
      <c r="J126" s="9">
        <v>0</v>
      </c>
      <c r="K126" s="11">
        <v>6</v>
      </c>
      <c r="L126" s="11" t="s">
        <v>48</v>
      </c>
      <c r="M126" s="47"/>
      <c r="N126" s="14">
        <v>2</v>
      </c>
      <c r="O126" s="14"/>
      <c r="P126" s="14"/>
      <c r="Q126" s="50" t="s">
        <v>49</v>
      </c>
      <c r="R126" s="51"/>
      <c r="S126" s="45"/>
      <c r="T126" s="45"/>
      <c r="U126" s="45"/>
      <c r="V126" s="45"/>
      <c r="W126" s="45"/>
      <c r="X126" s="45"/>
      <c r="Y126" s="45"/>
      <c r="Z126" s="45"/>
      <c r="AA126" s="45"/>
      <c r="AC126" s="45"/>
      <c r="AD126" s="45"/>
      <c r="AE126" s="45"/>
      <c r="AF126" s="45"/>
      <c r="AG126" s="45"/>
      <c r="AH126" s="45"/>
    </row>
    <row r="127" spans="1:38" ht="25.05" customHeight="1">
      <c r="B127" s="44"/>
      <c r="C127" s="44"/>
      <c r="D127" s="44"/>
      <c r="E127" s="45"/>
      <c r="F127" s="45"/>
      <c r="G127" s="45"/>
      <c r="H127" s="45"/>
      <c r="I127" s="49" t="s">
        <v>50</v>
      </c>
      <c r="J127" s="9">
        <v>0</v>
      </c>
      <c r="K127" s="11">
        <v>0</v>
      </c>
      <c r="L127" s="11" t="s">
        <v>48</v>
      </c>
      <c r="M127" s="47"/>
      <c r="N127" s="14">
        <v>0</v>
      </c>
      <c r="O127" s="14"/>
      <c r="P127" s="14"/>
      <c r="Q127" s="50" t="s">
        <v>51</v>
      </c>
      <c r="R127" s="51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</row>
    <row r="128" spans="1:38" ht="25.05" customHeight="1">
      <c r="B128" s="44"/>
      <c r="C128" s="44"/>
      <c r="D128" s="44"/>
      <c r="E128" s="45"/>
      <c r="F128" s="45"/>
      <c r="G128" s="45"/>
      <c r="H128" s="45"/>
      <c r="I128" s="49" t="s">
        <v>52</v>
      </c>
      <c r="J128" s="9">
        <v>0</v>
      </c>
      <c r="K128" s="11">
        <v>12</v>
      </c>
      <c r="L128" s="11" t="s">
        <v>48</v>
      </c>
      <c r="M128" s="47"/>
      <c r="N128" s="14">
        <v>0</v>
      </c>
      <c r="O128" s="14"/>
      <c r="P128" s="14"/>
      <c r="Q128" s="50" t="s">
        <v>53</v>
      </c>
      <c r="R128" s="51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</row>
    <row r="129" spans="2:34" ht="25.05" customHeight="1">
      <c r="B129" s="44"/>
      <c r="C129" s="44"/>
      <c r="D129" s="44"/>
      <c r="E129" s="45"/>
      <c r="F129" s="45"/>
      <c r="G129" s="45"/>
      <c r="H129" s="45"/>
      <c r="I129" s="52" t="s">
        <v>54</v>
      </c>
      <c r="J129" s="53">
        <v>0</v>
      </c>
      <c r="K129" s="11">
        <v>2</v>
      </c>
      <c r="L129" s="54" t="s">
        <v>48</v>
      </c>
      <c r="M129" s="47"/>
      <c r="N129" s="14">
        <v>3</v>
      </c>
      <c r="O129" s="14"/>
      <c r="P129" s="14"/>
      <c r="Q129" s="50" t="s">
        <v>55</v>
      </c>
      <c r="R129" s="51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</row>
    <row r="130" spans="2:34" ht="25.05" customHeight="1">
      <c r="B130" s="44"/>
      <c r="C130" s="44"/>
      <c r="D130" s="44"/>
      <c r="E130" s="45"/>
      <c r="F130" s="45"/>
      <c r="G130" s="45"/>
      <c r="H130" s="45"/>
      <c r="I130" s="49" t="s">
        <v>56</v>
      </c>
      <c r="J130" s="9">
        <v>0</v>
      </c>
      <c r="K130" s="11">
        <v>20</v>
      </c>
      <c r="L130" s="11" t="s">
        <v>48</v>
      </c>
      <c r="M130" s="47"/>
      <c r="N130"/>
      <c r="O130"/>
      <c r="P130"/>
      <c r="Q130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</row>
    <row r="131" spans="2:34" ht="25.05" customHeight="1">
      <c r="B131" s="44"/>
      <c r="C131" s="44"/>
      <c r="D131" s="44"/>
      <c r="E131" s="45"/>
      <c r="F131" s="45"/>
      <c r="G131" s="45"/>
      <c r="H131" s="45"/>
      <c r="M131" s="47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</row>
    <row r="132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2329F-F64E-47DC-9DB1-909D28A7A691}">
  <sheetPr>
    <pageSetUpPr fitToPage="1"/>
  </sheetPr>
  <dimension ref="A1:AL152"/>
  <sheetViews>
    <sheetView zoomScale="70" zoomScaleNormal="70" workbookViewId="0">
      <pane xSplit="12" ySplit="3" topLeftCell="M15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8.777343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13" width="16.21875" style="2" customWidth="1"/>
    <col min="14" max="14" width="17.5546875" style="2" customWidth="1"/>
    <col min="15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73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78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4" si="0">H4-G4</f>
        <v>2.0833333333333315E-2</v>
      </c>
      <c r="J4" s="11">
        <v>1</v>
      </c>
      <c r="K4" s="11" t="s">
        <v>42</v>
      </c>
      <c r="L4" s="16" t="str">
        <f t="shared" ref="L4:L24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79</v>
      </c>
      <c r="E5" s="15" t="s">
        <v>80</v>
      </c>
      <c r="F5" s="8" t="s">
        <v>42</v>
      </c>
      <c r="G5" s="9">
        <v>0.29166666666666669</v>
      </c>
      <c r="H5" s="9">
        <v>0.30902777777777779</v>
      </c>
      <c r="I5" s="10">
        <f t="shared" si="0"/>
        <v>1.7361111111111105E-2</v>
      </c>
      <c r="J5" s="11">
        <v>1</v>
      </c>
      <c r="K5" s="11">
        <v>16.899999999999999</v>
      </c>
      <c r="L5" s="16">
        <f t="shared" si="1"/>
        <v>40.560000000000009</v>
      </c>
      <c r="M5" s="11"/>
      <c r="N5" s="11"/>
      <c r="O5" s="11">
        <v>25</v>
      </c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30"/>
      <c r="E6" s="15" t="s">
        <v>81</v>
      </c>
      <c r="F6" s="130" t="s">
        <v>42</v>
      </c>
      <c r="G6" s="9">
        <v>0.29166666666666669</v>
      </c>
      <c r="H6" s="9">
        <v>0.35416666666666669</v>
      </c>
      <c r="I6" s="10">
        <f t="shared" si="0"/>
        <v>6.25E-2</v>
      </c>
      <c r="J6" s="11">
        <v>3</v>
      </c>
      <c r="K6" s="11">
        <v>253</v>
      </c>
      <c r="L6" s="16">
        <f t="shared" si="1"/>
        <v>56.222222222222221</v>
      </c>
      <c r="M6" s="11"/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69" t="s">
        <v>82</v>
      </c>
      <c r="F7" s="8" t="s">
        <v>42</v>
      </c>
      <c r="G7" s="9">
        <v>0.29166666666666669</v>
      </c>
      <c r="H7" s="9">
        <v>0.3125</v>
      </c>
      <c r="I7" s="10">
        <f t="shared" si="0"/>
        <v>2.0833333333333315E-2</v>
      </c>
      <c r="J7" s="11">
        <v>1</v>
      </c>
      <c r="K7" s="11">
        <v>7</v>
      </c>
      <c r="L7" s="16">
        <f t="shared" si="1"/>
        <v>14.000000000000012</v>
      </c>
      <c r="M7" s="11">
        <v>30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0" t="s">
        <v>83</v>
      </c>
      <c r="E8" s="15" t="s">
        <v>84</v>
      </c>
      <c r="F8" s="55" t="s">
        <v>85</v>
      </c>
      <c r="G8" s="9">
        <v>0.33333333333333331</v>
      </c>
      <c r="H8" s="9">
        <v>0.34513888888888888</v>
      </c>
      <c r="I8" s="10">
        <f t="shared" si="0"/>
        <v>1.1805555555555569E-2</v>
      </c>
      <c r="J8" s="11">
        <v>1</v>
      </c>
      <c r="K8" s="11">
        <v>4.9000000000000004</v>
      </c>
      <c r="L8" s="16">
        <f t="shared" si="1"/>
        <v>17.294117647058805</v>
      </c>
      <c r="M8" s="11">
        <v>17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29" t="s">
        <v>86</v>
      </c>
      <c r="F9" s="55" t="s">
        <v>87</v>
      </c>
      <c r="G9" s="9">
        <v>0.34722222222222221</v>
      </c>
      <c r="H9" s="9">
        <v>0.35416666666666669</v>
      </c>
      <c r="I9" s="10">
        <f t="shared" si="0"/>
        <v>6.9444444444444753E-3</v>
      </c>
      <c r="J9" s="11">
        <v>1</v>
      </c>
      <c r="K9" s="11">
        <v>16.8</v>
      </c>
      <c r="L9" s="16">
        <f t="shared" si="1"/>
        <v>100.79999999999956</v>
      </c>
      <c r="M9" s="11">
        <v>10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29" t="s">
        <v>88</v>
      </c>
      <c r="F10" s="55" t="s">
        <v>89</v>
      </c>
      <c r="G10" s="9">
        <v>0.35555555555555557</v>
      </c>
      <c r="H10" s="9">
        <v>0.375</v>
      </c>
      <c r="I10" s="10">
        <f t="shared" si="0"/>
        <v>1.9444444444444431E-2</v>
      </c>
      <c r="J10" s="11">
        <v>1</v>
      </c>
      <c r="K10" s="11">
        <v>42</v>
      </c>
      <c r="L10" s="16">
        <f t="shared" si="1"/>
        <v>90.000000000000057</v>
      </c>
      <c r="M10" s="11">
        <v>28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29" t="s">
        <v>90</v>
      </c>
      <c r="F11" s="8" t="s">
        <v>91</v>
      </c>
      <c r="G11" s="9">
        <v>0.37847222222222221</v>
      </c>
      <c r="H11" s="9">
        <v>0.44444444444444442</v>
      </c>
      <c r="I11" s="10">
        <f t="shared" si="0"/>
        <v>6.597222222222221E-2</v>
      </c>
      <c r="J11" s="11">
        <v>2</v>
      </c>
      <c r="K11" s="11">
        <v>448</v>
      </c>
      <c r="L11" s="16">
        <f t="shared" si="1"/>
        <v>141.47368421052633</v>
      </c>
      <c r="M11" s="11">
        <v>95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31"/>
      <c r="E12" s="15" t="s">
        <v>92</v>
      </c>
      <c r="F12" s="8" t="s">
        <v>42</v>
      </c>
      <c r="G12" s="9">
        <v>0.33333333333333331</v>
      </c>
      <c r="H12" s="9">
        <v>0.375</v>
      </c>
      <c r="I12" s="10">
        <f t="shared" si="0"/>
        <v>4.1666666666666685E-2</v>
      </c>
      <c r="J12" s="11">
        <v>2</v>
      </c>
      <c r="K12" s="11">
        <v>285</v>
      </c>
      <c r="L12" s="16">
        <f t="shared" si="1"/>
        <v>142.49999999999994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30"/>
      <c r="E13" s="129" t="s">
        <v>93</v>
      </c>
      <c r="F13" s="8" t="s">
        <v>42</v>
      </c>
      <c r="G13" s="9">
        <v>0.33333333333333331</v>
      </c>
      <c r="H13" s="9">
        <v>0.375</v>
      </c>
      <c r="I13" s="10">
        <f t="shared" si="0"/>
        <v>4.1666666666666685E-2</v>
      </c>
      <c r="J13" s="11">
        <v>2</v>
      </c>
      <c r="K13" s="11">
        <f>112*4.03</f>
        <v>451.36</v>
      </c>
      <c r="L13" s="16">
        <f t="shared" si="1"/>
        <v>225.67999999999992</v>
      </c>
      <c r="M13" s="11"/>
      <c r="N13" s="11"/>
      <c r="O13" s="11"/>
      <c r="P13" s="11"/>
      <c r="Q13" s="11">
        <v>60</v>
      </c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166"/>
      <c r="E14" s="15" t="s">
        <v>94</v>
      </c>
      <c r="F14" s="8" t="s">
        <v>42</v>
      </c>
      <c r="G14" s="9">
        <v>0.33333333333333331</v>
      </c>
      <c r="H14" s="9">
        <v>0.40277777777777779</v>
      </c>
      <c r="I14" s="10">
        <f t="shared" si="0"/>
        <v>6.9444444444444475E-2</v>
      </c>
      <c r="J14" s="11">
        <v>6</v>
      </c>
      <c r="K14" s="11" t="s">
        <v>42</v>
      </c>
      <c r="L14" s="16" t="str">
        <f t="shared" si="1"/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 t="s">
        <v>62</v>
      </c>
      <c r="E15" s="111" t="s">
        <v>95</v>
      </c>
      <c r="F15" s="8" t="s">
        <v>42</v>
      </c>
      <c r="G15" s="9">
        <v>0.40625</v>
      </c>
      <c r="H15" s="9">
        <v>0.44444444444444442</v>
      </c>
      <c r="I15" s="10">
        <f t="shared" si="0"/>
        <v>3.819444444444442E-2</v>
      </c>
      <c r="J15" s="11">
        <v>9</v>
      </c>
      <c r="K15" s="11">
        <v>200</v>
      </c>
      <c r="L15" s="16">
        <f t="shared" si="1"/>
        <v>24.24242424242426</v>
      </c>
      <c r="M15" s="11"/>
      <c r="N15" s="11"/>
      <c r="O15" s="11"/>
      <c r="P15" s="11">
        <v>55</v>
      </c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96</v>
      </c>
      <c r="F16" s="8" t="s">
        <v>42</v>
      </c>
      <c r="G16" s="9">
        <v>0.44444444444444442</v>
      </c>
      <c r="H16" s="9">
        <v>0.45833333333333331</v>
      </c>
      <c r="I16" s="10">
        <f t="shared" ref="I16:I17" si="2">H16-G16</f>
        <v>1.3888888888888895E-2</v>
      </c>
      <c r="J16" s="11">
        <v>11</v>
      </c>
      <c r="K16" s="11" t="s">
        <v>42</v>
      </c>
      <c r="L16" s="16" t="str">
        <f t="shared" ref="L16:L17" si="3">IFERROR(((K16/(J16*I16)/24)),"0")</f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 t="s">
        <v>62</v>
      </c>
      <c r="E17" s="111" t="s">
        <v>95</v>
      </c>
      <c r="F17" s="8" t="s">
        <v>42</v>
      </c>
      <c r="G17" s="9">
        <v>0.5</v>
      </c>
      <c r="H17" s="9">
        <v>0.58333333333333337</v>
      </c>
      <c r="I17" s="10">
        <f t="shared" si="2"/>
        <v>8.333333333333337E-2</v>
      </c>
      <c r="J17" s="11">
        <v>5</v>
      </c>
      <c r="K17" s="11">
        <v>344</v>
      </c>
      <c r="L17" s="16">
        <f t="shared" si="3"/>
        <v>34.399999999999984</v>
      </c>
      <c r="M17" s="11"/>
      <c r="N17" s="11"/>
      <c r="O17" s="11"/>
      <c r="P17" s="11">
        <v>120</v>
      </c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/>
      <c r="E18" s="111" t="s">
        <v>97</v>
      </c>
      <c r="F18" s="8" t="s">
        <v>42</v>
      </c>
      <c r="G18" s="9">
        <v>0.5</v>
      </c>
      <c r="H18" s="9">
        <v>0.61111111111111116</v>
      </c>
      <c r="I18" s="10">
        <f t="shared" ref="I18:I22" si="4">H18-G18</f>
        <v>0.11111111111111116</v>
      </c>
      <c r="J18" s="11">
        <v>1</v>
      </c>
      <c r="K18" s="11">
        <v>472</v>
      </c>
      <c r="L18" s="16">
        <f t="shared" ref="L18:L22" si="5">IFERROR(((K18/(J18*I18)/24)),"0")</f>
        <v>176.99999999999991</v>
      </c>
      <c r="M18" s="11"/>
      <c r="N18" s="11"/>
      <c r="O18" s="11"/>
      <c r="P18" s="11"/>
      <c r="Q18" s="11"/>
      <c r="R18" s="12">
        <v>160</v>
      </c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6" t="s">
        <v>74</v>
      </c>
      <c r="E19" s="15" t="s">
        <v>98</v>
      </c>
      <c r="F19" s="55" t="s">
        <v>99</v>
      </c>
      <c r="G19" s="9">
        <v>0.5</v>
      </c>
      <c r="H19" s="9">
        <v>0.56944444444444442</v>
      </c>
      <c r="I19" s="10">
        <f t="shared" si="4"/>
        <v>6.944444444444442E-2</v>
      </c>
      <c r="J19" s="11">
        <v>4</v>
      </c>
      <c r="K19" s="11">
        <v>159</v>
      </c>
      <c r="L19" s="16">
        <f t="shared" si="5"/>
        <v>23.850000000000009</v>
      </c>
      <c r="M19" s="11"/>
      <c r="N19" s="11"/>
      <c r="O19" s="11"/>
      <c r="P19" s="11"/>
      <c r="Q19" s="11"/>
      <c r="R19" s="12">
        <v>100</v>
      </c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100</v>
      </c>
      <c r="F20" s="8" t="s">
        <v>42</v>
      </c>
      <c r="G20" s="9">
        <v>0.5</v>
      </c>
      <c r="H20" s="9">
        <v>0.5625</v>
      </c>
      <c r="I20" s="10">
        <f t="shared" si="4"/>
        <v>6.25E-2</v>
      </c>
      <c r="J20" s="11">
        <v>1</v>
      </c>
      <c r="K20" s="11">
        <v>159</v>
      </c>
      <c r="L20" s="16">
        <f t="shared" si="5"/>
        <v>106</v>
      </c>
      <c r="M20" s="11"/>
      <c r="N20" s="11"/>
      <c r="O20" s="11"/>
      <c r="P20" s="11"/>
      <c r="Q20" s="11"/>
      <c r="R20" s="12"/>
      <c r="S20" s="12">
        <v>90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100</v>
      </c>
      <c r="F21" s="8" t="s">
        <v>42</v>
      </c>
      <c r="G21" s="9">
        <v>0.58333333333333337</v>
      </c>
      <c r="H21" s="9">
        <v>0.60416666666666663</v>
      </c>
      <c r="I21" s="10">
        <f t="shared" si="4"/>
        <v>2.0833333333333259E-2</v>
      </c>
      <c r="J21" s="11">
        <v>7</v>
      </c>
      <c r="K21" s="11">
        <v>189</v>
      </c>
      <c r="L21" s="16">
        <f t="shared" si="5"/>
        <v>54.000000000000192</v>
      </c>
      <c r="M21" s="11"/>
      <c r="N21" s="11"/>
      <c r="O21" s="11"/>
      <c r="P21" s="11"/>
      <c r="Q21" s="11"/>
      <c r="R21" s="12"/>
      <c r="S21" s="12">
        <v>30</v>
      </c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94</v>
      </c>
      <c r="F22" s="8" t="s">
        <v>42</v>
      </c>
      <c r="G22" s="9">
        <v>0.60416666666666663</v>
      </c>
      <c r="H22" s="9">
        <v>0.66666666666666663</v>
      </c>
      <c r="I22" s="10">
        <f t="shared" si="4"/>
        <v>6.25E-2</v>
      </c>
      <c r="J22" s="11">
        <v>7</v>
      </c>
      <c r="K22" s="11" t="s">
        <v>42</v>
      </c>
      <c r="L22" s="16" t="str">
        <f t="shared" si="5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 t="s">
        <v>101</v>
      </c>
      <c r="F23" s="8" t="s">
        <v>42</v>
      </c>
      <c r="G23" s="9">
        <v>0.58333333333333337</v>
      </c>
      <c r="H23" s="9">
        <v>0.61111111111111116</v>
      </c>
      <c r="I23" s="10">
        <f t="shared" si="0"/>
        <v>2.777777777777779E-2</v>
      </c>
      <c r="J23" s="11">
        <v>2</v>
      </c>
      <c r="K23" s="11">
        <v>198</v>
      </c>
      <c r="L23" s="16">
        <f t="shared" si="1"/>
        <v>148.49999999999994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5" customHeight="1">
      <c r="B24" s="13"/>
      <c r="C24" s="14"/>
      <c r="D24" s="6"/>
      <c r="E24" s="15" t="s">
        <v>96</v>
      </c>
      <c r="F24" s="8" t="s">
        <v>42</v>
      </c>
      <c r="G24" s="9">
        <v>0.61111111111111116</v>
      </c>
      <c r="H24" s="9">
        <v>0.625</v>
      </c>
      <c r="I24" s="10">
        <f t="shared" si="0"/>
        <v>1.388888888888884E-2</v>
      </c>
      <c r="J24" s="11">
        <v>3</v>
      </c>
      <c r="K24" s="11" t="s">
        <v>42</v>
      </c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s="28" customFormat="1" ht="25.05" customHeight="1">
      <c r="A25" s="2"/>
      <c r="B25" s="21"/>
      <c r="C25" s="22"/>
      <c r="D25" s="23"/>
      <c r="E25" s="24"/>
      <c r="F25" s="24"/>
      <c r="G25" s="25"/>
      <c r="H25" s="25"/>
      <c r="I25" s="26"/>
      <c r="J25" s="27"/>
      <c r="K25" s="27">
        <f t="shared" ref="K25:AL25" si="6">SUM(K4:K24)</f>
        <v>3245.96</v>
      </c>
      <c r="L25" s="39">
        <f t="shared" si="6"/>
        <v>1396.5224483222312</v>
      </c>
      <c r="M25" s="27">
        <f t="shared" si="6"/>
        <v>180</v>
      </c>
      <c r="N25" s="27">
        <f t="shared" si="6"/>
        <v>0</v>
      </c>
      <c r="O25" s="27">
        <f t="shared" si="6"/>
        <v>25</v>
      </c>
      <c r="P25" s="27">
        <f t="shared" si="6"/>
        <v>175</v>
      </c>
      <c r="Q25" s="27">
        <f t="shared" si="6"/>
        <v>60</v>
      </c>
      <c r="R25" s="27">
        <f t="shared" si="6"/>
        <v>260</v>
      </c>
      <c r="S25" s="27">
        <f t="shared" si="6"/>
        <v>120</v>
      </c>
      <c r="T25" s="27">
        <f t="shared" si="6"/>
        <v>0</v>
      </c>
      <c r="U25" s="27">
        <f t="shared" si="6"/>
        <v>0</v>
      </c>
      <c r="V25" s="27">
        <f t="shared" si="6"/>
        <v>0</v>
      </c>
      <c r="W25" s="27">
        <f t="shared" si="6"/>
        <v>0</v>
      </c>
      <c r="X25" s="27">
        <f t="shared" si="6"/>
        <v>0</v>
      </c>
      <c r="Y25" s="27">
        <f t="shared" si="6"/>
        <v>0</v>
      </c>
      <c r="Z25" s="27">
        <f t="shared" si="6"/>
        <v>0</v>
      </c>
      <c r="AA25" s="27">
        <f t="shared" si="6"/>
        <v>0</v>
      </c>
      <c r="AB25" s="27">
        <f t="shared" si="6"/>
        <v>0</v>
      </c>
      <c r="AC25" s="27">
        <f t="shared" si="6"/>
        <v>0</v>
      </c>
      <c r="AD25" s="27">
        <f t="shared" si="6"/>
        <v>0</v>
      </c>
      <c r="AE25" s="27">
        <f t="shared" si="6"/>
        <v>0</v>
      </c>
      <c r="AF25" s="27">
        <f t="shared" si="6"/>
        <v>0</v>
      </c>
      <c r="AG25" s="27">
        <f t="shared" si="6"/>
        <v>0</v>
      </c>
      <c r="AH25" s="27">
        <f t="shared" si="6"/>
        <v>0</v>
      </c>
      <c r="AI25" s="27">
        <f t="shared" si="6"/>
        <v>0</v>
      </c>
      <c r="AJ25" s="27">
        <f t="shared" si="6"/>
        <v>0</v>
      </c>
      <c r="AK25" s="27">
        <f t="shared" si="6"/>
        <v>0</v>
      </c>
      <c r="AL25" s="27">
        <f t="shared" si="6"/>
        <v>0</v>
      </c>
    </row>
    <row r="26" spans="1:38" ht="25.05" customHeight="1">
      <c r="B26" s="5" t="s">
        <v>78</v>
      </c>
      <c r="C26" s="14" t="s">
        <v>43</v>
      </c>
      <c r="D26" s="6"/>
      <c r="E26" s="7" t="s">
        <v>41</v>
      </c>
      <c r="F26" s="8" t="s">
        <v>42</v>
      </c>
      <c r="G26" s="9">
        <v>0.29166666666666669</v>
      </c>
      <c r="H26" s="9">
        <v>0.33333333333333331</v>
      </c>
      <c r="I26" s="10">
        <f>H26-G26</f>
        <v>4.166666666666663E-2</v>
      </c>
      <c r="J26" s="11">
        <v>2</v>
      </c>
      <c r="K26" s="11" t="s">
        <v>42</v>
      </c>
      <c r="L26" s="16" t="str">
        <f>IFERROR(((K26/(J26*I26)/24)),"0")</f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 t="s">
        <v>102</v>
      </c>
      <c r="E27" s="7" t="s">
        <v>103</v>
      </c>
      <c r="F27" s="8"/>
      <c r="G27" s="9">
        <v>0.33333333333333331</v>
      </c>
      <c r="H27" s="9">
        <v>0.5</v>
      </c>
      <c r="I27" s="10">
        <f>H27-G27</f>
        <v>0.16666666666666669</v>
      </c>
      <c r="J27" s="11">
        <v>12</v>
      </c>
      <c r="K27" s="11">
        <f>132*8</f>
        <v>1056</v>
      </c>
      <c r="L27" s="16">
        <f t="shared" ref="L27:L31" si="7">IFERROR(((K27/(J27*I27)/24)),"0")</f>
        <v>22</v>
      </c>
      <c r="M27" s="11"/>
      <c r="N27" s="11"/>
      <c r="O27" s="11"/>
      <c r="P27" s="11"/>
      <c r="Q27" s="11"/>
      <c r="R27" s="12"/>
      <c r="S27" s="12"/>
      <c r="T27" s="11">
        <v>240</v>
      </c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30"/>
      <c r="E28" s="15" t="s">
        <v>104</v>
      </c>
      <c r="F28" s="8"/>
      <c r="G28" s="9">
        <v>0.5</v>
      </c>
      <c r="H28" s="9">
        <v>0.54166666666666663</v>
      </c>
      <c r="I28" s="10">
        <f t="shared" ref="I28:I31" si="8">H28-G28</f>
        <v>4.166666666666663E-2</v>
      </c>
      <c r="J28" s="11">
        <v>12</v>
      </c>
      <c r="K28" s="11" t="s">
        <v>42</v>
      </c>
      <c r="L28" s="16" t="str">
        <f t="shared" si="7"/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 t="s">
        <v>79</v>
      </c>
      <c r="E29" s="7" t="s">
        <v>105</v>
      </c>
      <c r="F29" s="8"/>
      <c r="G29" s="9">
        <v>0.54166666666666663</v>
      </c>
      <c r="H29" s="9">
        <v>0.6875</v>
      </c>
      <c r="I29" s="10">
        <f t="shared" si="8"/>
        <v>0.14583333333333337</v>
      </c>
      <c r="J29" s="11">
        <v>12</v>
      </c>
      <c r="K29" s="11">
        <f>104*4</f>
        <v>416</v>
      </c>
      <c r="L29" s="16">
        <f t="shared" si="7"/>
        <v>9.9047619047619033</v>
      </c>
      <c r="M29" s="11"/>
      <c r="N29" s="11"/>
      <c r="O29" s="11"/>
      <c r="P29" s="11"/>
      <c r="Q29" s="11"/>
      <c r="R29" s="12"/>
      <c r="S29" s="12">
        <v>210</v>
      </c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30"/>
      <c r="E30" s="15" t="s">
        <v>96</v>
      </c>
      <c r="F30" s="8"/>
      <c r="G30" s="9">
        <v>0.6875</v>
      </c>
      <c r="H30" s="9">
        <v>0.70833333333333337</v>
      </c>
      <c r="I30" s="10">
        <f t="shared" si="8"/>
        <v>2.083333333333337E-2</v>
      </c>
      <c r="J30" s="11">
        <v>12</v>
      </c>
      <c r="K30" s="11"/>
      <c r="L30" s="16">
        <f t="shared" si="7"/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4"/>
      <c r="D31" s="18"/>
      <c r="E31" s="6"/>
      <c r="F31" s="8"/>
      <c r="G31" s="9"/>
      <c r="H31" s="9"/>
      <c r="I31" s="10">
        <f t="shared" si="8"/>
        <v>0</v>
      </c>
      <c r="J31" s="11"/>
      <c r="K31" s="11"/>
      <c r="L31" s="16" t="str">
        <f t="shared" si="7"/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s="28" customFormat="1" ht="25.05" customHeight="1">
      <c r="A32" s="2"/>
      <c r="B32" s="21"/>
      <c r="C32" s="22"/>
      <c r="D32" s="23"/>
      <c r="E32" s="24"/>
      <c r="F32" s="22"/>
      <c r="G32" s="25"/>
      <c r="H32" s="25"/>
      <c r="I32" s="26"/>
      <c r="J32" s="27"/>
      <c r="K32" s="27">
        <f t="shared" ref="K32:AL32" si="9">SUM(K26:K31)</f>
        <v>1472</v>
      </c>
      <c r="L32" s="27">
        <f t="shared" si="9"/>
        <v>31.904761904761905</v>
      </c>
      <c r="M32" s="27">
        <f t="shared" si="9"/>
        <v>0</v>
      </c>
      <c r="N32" s="27">
        <f t="shared" si="9"/>
        <v>0</v>
      </c>
      <c r="O32" s="27">
        <f t="shared" si="9"/>
        <v>0</v>
      </c>
      <c r="P32" s="27">
        <f t="shared" si="9"/>
        <v>0</v>
      </c>
      <c r="Q32" s="27">
        <f t="shared" si="9"/>
        <v>0</v>
      </c>
      <c r="R32" s="27">
        <f t="shared" si="9"/>
        <v>0</v>
      </c>
      <c r="S32" s="27">
        <f t="shared" si="9"/>
        <v>210</v>
      </c>
      <c r="T32" s="27">
        <f t="shared" si="9"/>
        <v>240</v>
      </c>
      <c r="U32" s="27">
        <f t="shared" si="9"/>
        <v>0</v>
      </c>
      <c r="V32" s="27">
        <f t="shared" si="9"/>
        <v>0</v>
      </c>
      <c r="W32" s="27">
        <f t="shared" si="9"/>
        <v>0</v>
      </c>
      <c r="X32" s="27">
        <f t="shared" si="9"/>
        <v>0</v>
      </c>
      <c r="Y32" s="27">
        <f t="shared" si="9"/>
        <v>0</v>
      </c>
      <c r="Z32" s="27">
        <f t="shared" si="9"/>
        <v>0</v>
      </c>
      <c r="AA32" s="27">
        <f t="shared" si="9"/>
        <v>0</v>
      </c>
      <c r="AB32" s="27">
        <f t="shared" si="9"/>
        <v>0</v>
      </c>
      <c r="AC32" s="27">
        <f t="shared" si="9"/>
        <v>0</v>
      </c>
      <c r="AD32" s="27">
        <f t="shared" si="9"/>
        <v>0</v>
      </c>
      <c r="AE32" s="27">
        <f t="shared" si="9"/>
        <v>0</v>
      </c>
      <c r="AF32" s="27">
        <f t="shared" si="9"/>
        <v>0</v>
      </c>
      <c r="AG32" s="27">
        <f t="shared" si="9"/>
        <v>0</v>
      </c>
      <c r="AH32" s="27">
        <f t="shared" si="9"/>
        <v>0</v>
      </c>
      <c r="AI32" s="27">
        <f t="shared" si="9"/>
        <v>0</v>
      </c>
      <c r="AJ32" s="27">
        <f t="shared" si="9"/>
        <v>0</v>
      </c>
      <c r="AK32" s="27">
        <f t="shared" si="9"/>
        <v>0</v>
      </c>
      <c r="AL32" s="27">
        <f t="shared" si="9"/>
        <v>0</v>
      </c>
    </row>
    <row r="33" spans="2:38" ht="25.05" customHeight="1">
      <c r="B33" s="5" t="s">
        <v>78</v>
      </c>
      <c r="C33" s="29" t="s">
        <v>44</v>
      </c>
      <c r="D33" s="30"/>
      <c r="E33" s="7" t="s">
        <v>41</v>
      </c>
      <c r="F33" s="8" t="s">
        <v>42</v>
      </c>
      <c r="G33" s="9">
        <v>0.29166666666666669</v>
      </c>
      <c r="H33" s="9">
        <v>0.33333333333333331</v>
      </c>
      <c r="I33" s="10">
        <f t="shared" ref="I33:I116" si="10">H33-G33</f>
        <v>4.166666666666663E-2</v>
      </c>
      <c r="J33" s="11">
        <v>5</v>
      </c>
      <c r="K33" s="11">
        <v>0</v>
      </c>
      <c r="L33" s="16">
        <f t="shared" ref="L33:L116" si="11">IFERROR(((K33/(J33*I33)/24)),"0")</f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209" t="s">
        <v>79</v>
      </c>
      <c r="E34" s="19" t="s">
        <v>106</v>
      </c>
      <c r="F34" s="8" t="s">
        <v>42</v>
      </c>
      <c r="G34" s="9">
        <v>0.35</v>
      </c>
      <c r="H34" s="9">
        <v>0.35017361111111112</v>
      </c>
      <c r="I34" s="10">
        <f t="shared" si="10"/>
        <v>1.7361111111113825E-4</v>
      </c>
      <c r="J34" s="11">
        <v>3</v>
      </c>
      <c r="K34" s="11">
        <v>56.76</v>
      </c>
      <c r="L34" s="16">
        <f t="shared" si="11"/>
        <v>4540.7999999992899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/>
      <c r="AA34" s="11"/>
      <c r="AB34" s="11">
        <v>1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107</v>
      </c>
      <c r="F35" s="8" t="s">
        <v>42</v>
      </c>
      <c r="G35" s="9">
        <v>0.35625000000000001</v>
      </c>
      <c r="H35" s="9">
        <v>0.35642361111111109</v>
      </c>
      <c r="I35" s="10">
        <f t="shared" si="10"/>
        <v>1.7361111111108274E-4</v>
      </c>
      <c r="J35" s="11">
        <v>3</v>
      </c>
      <c r="K35" s="11">
        <v>53.18</v>
      </c>
      <c r="L35" s="16">
        <f t="shared" si="11"/>
        <v>4254.4000000006954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>
        <v>1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108</v>
      </c>
      <c r="F36" s="8" t="s">
        <v>42</v>
      </c>
      <c r="G36" s="9">
        <v>0.36388888888888887</v>
      </c>
      <c r="H36" s="9">
        <v>0.36406250000000001</v>
      </c>
      <c r="I36" s="10">
        <f t="shared" si="10"/>
        <v>1.7361111111113825E-4</v>
      </c>
      <c r="J36" s="11">
        <v>3</v>
      </c>
      <c r="K36" s="11">
        <v>42.76</v>
      </c>
      <c r="L36" s="16">
        <f t="shared" si="11"/>
        <v>3420.7999999994649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>
        <v>1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109</v>
      </c>
      <c r="F37" s="8" t="s">
        <v>42</v>
      </c>
      <c r="G37" s="9">
        <v>0.37152777777777779</v>
      </c>
      <c r="H37" s="9">
        <v>0.37170138888888887</v>
      </c>
      <c r="I37" s="10">
        <f t="shared" si="10"/>
        <v>1.7361111111108274E-4</v>
      </c>
      <c r="J37" s="11">
        <v>3</v>
      </c>
      <c r="K37" s="11">
        <v>52.45</v>
      </c>
      <c r="L37" s="16">
        <f t="shared" si="11"/>
        <v>4196.0000000006858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>
        <v>1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65"/>
      <c r="E38" s="19" t="s">
        <v>110</v>
      </c>
      <c r="F38" s="8" t="s">
        <v>42</v>
      </c>
      <c r="G38" s="9">
        <v>0.37569444444444444</v>
      </c>
      <c r="H38" s="9">
        <v>0.37586805555555558</v>
      </c>
      <c r="I38" s="10">
        <f t="shared" si="10"/>
        <v>1.7361111111113825E-4</v>
      </c>
      <c r="J38" s="11">
        <v>3</v>
      </c>
      <c r="K38" s="11">
        <v>52.88</v>
      </c>
      <c r="L38" s="16">
        <f t="shared" si="11"/>
        <v>4230.3999999993384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>
        <v>1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65"/>
      <c r="E39" s="19" t="s">
        <v>111</v>
      </c>
      <c r="F39" s="8" t="s">
        <v>42</v>
      </c>
      <c r="G39" s="9">
        <v>0.38541666666666669</v>
      </c>
      <c r="H39" s="9">
        <v>0.38559027777777777</v>
      </c>
      <c r="I39" s="10">
        <f t="shared" si="10"/>
        <v>1.7361111111108274E-4</v>
      </c>
      <c r="J39" s="11">
        <v>3</v>
      </c>
      <c r="K39" s="11">
        <v>52.74</v>
      </c>
      <c r="L39" s="16">
        <f t="shared" si="11"/>
        <v>4219.2000000006892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>
        <v>1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65"/>
      <c r="E40" s="19" t="s">
        <v>112</v>
      </c>
      <c r="F40" s="8" t="s">
        <v>42</v>
      </c>
      <c r="G40" s="9">
        <v>0.39444444444444443</v>
      </c>
      <c r="H40" s="9">
        <v>0.39461805555555557</v>
      </c>
      <c r="I40" s="10">
        <f t="shared" si="10"/>
        <v>1.7361111111113825E-4</v>
      </c>
      <c r="J40" s="11">
        <v>3</v>
      </c>
      <c r="K40" s="11">
        <v>52.09</v>
      </c>
      <c r="L40" s="16">
        <f t="shared" si="11"/>
        <v>4167.1999999993486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>
        <v>1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65"/>
      <c r="E41" s="19" t="s">
        <v>113</v>
      </c>
      <c r="F41" s="8" t="s">
        <v>42</v>
      </c>
      <c r="G41" s="9">
        <v>0.40069444444444446</v>
      </c>
      <c r="H41" s="9">
        <v>0.40086805555555555</v>
      </c>
      <c r="I41" s="10">
        <f t="shared" si="10"/>
        <v>1.7361111111108274E-4</v>
      </c>
      <c r="J41" s="11">
        <v>3</v>
      </c>
      <c r="K41" s="11">
        <v>52.3</v>
      </c>
      <c r="L41" s="16">
        <f t="shared" si="11"/>
        <v>4184.000000000683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>
        <v>1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65"/>
      <c r="E42" s="19" t="s">
        <v>114</v>
      </c>
      <c r="F42" s="8" t="s">
        <v>42</v>
      </c>
      <c r="G42" s="9">
        <v>0.40972222222222221</v>
      </c>
      <c r="H42" s="9">
        <v>0.40989583333333335</v>
      </c>
      <c r="I42" s="10">
        <f t="shared" si="10"/>
        <v>1.7361111111113825E-4</v>
      </c>
      <c r="J42" s="11">
        <v>3</v>
      </c>
      <c r="K42" s="11">
        <v>53.01</v>
      </c>
      <c r="L42" s="16">
        <f t="shared" si="11"/>
        <v>4240.7999999993372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>
        <v>1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65"/>
      <c r="E43" s="19" t="s">
        <v>115</v>
      </c>
      <c r="F43" s="8" t="s">
        <v>42</v>
      </c>
      <c r="G43" s="9">
        <v>0.41666666666666669</v>
      </c>
      <c r="H43" s="9">
        <v>0.41684027777777777</v>
      </c>
      <c r="I43" s="10">
        <f t="shared" si="10"/>
        <v>1.7361111111108274E-4</v>
      </c>
      <c r="J43" s="11">
        <v>3</v>
      </c>
      <c r="K43" s="11">
        <v>51.65</v>
      </c>
      <c r="L43" s="16">
        <f t="shared" si="11"/>
        <v>4132.0000000006758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>
        <v>1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65"/>
      <c r="E44" s="19" t="s">
        <v>116</v>
      </c>
      <c r="F44" s="8" t="s">
        <v>42</v>
      </c>
      <c r="G44" s="9">
        <v>0.42152777777777778</v>
      </c>
      <c r="H44" s="9">
        <v>0.42170138888888886</v>
      </c>
      <c r="I44" s="10">
        <f t="shared" si="10"/>
        <v>1.7361111111108274E-4</v>
      </c>
      <c r="J44" s="11">
        <v>3</v>
      </c>
      <c r="K44" s="11">
        <v>27.57</v>
      </c>
      <c r="L44" s="16">
        <f t="shared" si="11"/>
        <v>2205.6000000003605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>
        <v>1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69" t="s">
        <v>117</v>
      </c>
      <c r="F45" s="8" t="s">
        <v>42</v>
      </c>
      <c r="G45" s="9">
        <v>0.35</v>
      </c>
      <c r="H45" s="9">
        <v>0.35005787037037039</v>
      </c>
      <c r="I45" s="10">
        <f t="shared" si="10"/>
        <v>5.7870370370416424E-5</v>
      </c>
      <c r="J45" s="11">
        <v>3</v>
      </c>
      <c r="K45" s="11">
        <v>26.5</v>
      </c>
      <c r="L45" s="16">
        <f t="shared" si="11"/>
        <v>6359.9999999949387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/>
      <c r="AA45" s="11"/>
      <c r="AB45" s="11"/>
      <c r="AC45" s="11"/>
      <c r="AD45" s="11">
        <v>1</v>
      </c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69" t="s">
        <v>118</v>
      </c>
      <c r="F46" s="8" t="s">
        <v>42</v>
      </c>
      <c r="G46" s="9">
        <v>0.3527777777777778</v>
      </c>
      <c r="H46" s="9">
        <v>0.35283564814814816</v>
      </c>
      <c r="I46" s="10">
        <f t="shared" si="10"/>
        <v>5.7870370370360913E-5</v>
      </c>
      <c r="J46" s="11">
        <v>3</v>
      </c>
      <c r="K46" s="11">
        <v>26.5</v>
      </c>
      <c r="L46" s="16">
        <f t="shared" si="11"/>
        <v>6360.0000000010396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69" t="s">
        <v>119</v>
      </c>
      <c r="F47" s="8" t="s">
        <v>42</v>
      </c>
      <c r="G47" s="9">
        <v>0.35486111111111113</v>
      </c>
      <c r="H47" s="9">
        <v>0.35491898148148149</v>
      </c>
      <c r="I47" s="10">
        <f t="shared" si="10"/>
        <v>5.7870370370360913E-5</v>
      </c>
      <c r="J47" s="11">
        <v>3</v>
      </c>
      <c r="K47" s="11">
        <v>26.5</v>
      </c>
      <c r="L47" s="16">
        <f t="shared" si="11"/>
        <v>6360.0000000010396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/>
      <c r="Y47" s="11"/>
      <c r="Z47" s="11"/>
      <c r="AA47" s="11"/>
      <c r="AB47" s="11"/>
      <c r="AC47" s="11"/>
      <c r="AD47" s="11">
        <v>1</v>
      </c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69" t="s">
        <v>120</v>
      </c>
      <c r="F48" s="8" t="s">
        <v>42</v>
      </c>
      <c r="G48" s="9">
        <v>0.3576388888888889</v>
      </c>
      <c r="H48" s="9">
        <v>0.35769675925925926</v>
      </c>
      <c r="I48" s="10">
        <f t="shared" si="10"/>
        <v>5.7870370370360913E-5</v>
      </c>
      <c r="J48" s="11">
        <v>3</v>
      </c>
      <c r="K48" s="11">
        <v>26.5</v>
      </c>
      <c r="L48" s="16">
        <f t="shared" si="11"/>
        <v>6360.0000000010396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/>
      <c r="AA48" s="11"/>
      <c r="AB48" s="11"/>
      <c r="AC48" s="11"/>
      <c r="AD48" s="11">
        <v>1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69" t="s">
        <v>121</v>
      </c>
      <c r="F49" s="8" t="s">
        <v>42</v>
      </c>
      <c r="G49" s="9">
        <v>0.36388888888888887</v>
      </c>
      <c r="H49" s="9">
        <v>0.36394675925925923</v>
      </c>
      <c r="I49" s="10">
        <f t="shared" si="10"/>
        <v>5.7870370370360913E-5</v>
      </c>
      <c r="J49" s="11">
        <v>3</v>
      </c>
      <c r="K49" s="11">
        <v>26.3</v>
      </c>
      <c r="L49" s="16">
        <f t="shared" si="11"/>
        <v>6312.0000000010323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/>
      <c r="AC49" s="11"/>
      <c r="AD49" s="11">
        <v>1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69" t="s">
        <v>122</v>
      </c>
      <c r="F50" s="8" t="s">
        <v>42</v>
      </c>
      <c r="G50" s="9">
        <v>0.36666666666666664</v>
      </c>
      <c r="H50" s="9">
        <v>0.36672453703703706</v>
      </c>
      <c r="I50" s="10">
        <f t="shared" si="10"/>
        <v>5.7870370370416424E-5</v>
      </c>
      <c r="J50" s="11">
        <v>3</v>
      </c>
      <c r="K50" s="11">
        <v>26.54</v>
      </c>
      <c r="L50" s="16">
        <f t="shared" si="11"/>
        <v>6369.5999999949308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/>
      <c r="AD50" s="11">
        <v>1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69" t="s">
        <v>123</v>
      </c>
      <c r="F51" s="8" t="s">
        <v>42</v>
      </c>
      <c r="G51" s="9">
        <v>0.36805555555555558</v>
      </c>
      <c r="H51" s="9">
        <v>0.36811342592592594</v>
      </c>
      <c r="I51" s="10">
        <f t="shared" si="10"/>
        <v>5.7870370370360913E-5</v>
      </c>
      <c r="J51" s="11">
        <v>3</v>
      </c>
      <c r="K51" s="11">
        <v>26.59</v>
      </c>
      <c r="L51" s="16">
        <f t="shared" si="11"/>
        <v>6381.6000000010426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>
        <v>1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69" t="s">
        <v>124</v>
      </c>
      <c r="F52" s="8" t="s">
        <v>42</v>
      </c>
      <c r="G52" s="9">
        <v>0.37013888888888891</v>
      </c>
      <c r="H52" s="9">
        <v>0.37019675925925927</v>
      </c>
      <c r="I52" s="10">
        <f t="shared" si="10"/>
        <v>5.7870370370360913E-5</v>
      </c>
      <c r="J52" s="11">
        <v>3</v>
      </c>
      <c r="K52" s="11">
        <v>26.59</v>
      </c>
      <c r="L52" s="16">
        <f t="shared" si="11"/>
        <v>6381.6000000010426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/>
      <c r="AC52" s="11"/>
      <c r="AD52" s="11">
        <v>1</v>
      </c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69" t="s">
        <v>125</v>
      </c>
      <c r="F53" s="8" t="s">
        <v>42</v>
      </c>
      <c r="G53" s="9">
        <v>0.37222222222222223</v>
      </c>
      <c r="H53" s="9">
        <v>0.37228009259259259</v>
      </c>
      <c r="I53" s="10">
        <f t="shared" si="10"/>
        <v>5.7870370370360913E-5</v>
      </c>
      <c r="J53" s="11">
        <v>3</v>
      </c>
      <c r="K53" s="11">
        <v>26.32</v>
      </c>
      <c r="L53" s="16">
        <f t="shared" si="11"/>
        <v>6316.8000000010325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/>
      <c r="AD53" s="11">
        <v>1</v>
      </c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69" t="s">
        <v>126</v>
      </c>
      <c r="F54" s="8" t="s">
        <v>42</v>
      </c>
      <c r="G54" s="9">
        <v>0.37361111111111112</v>
      </c>
      <c r="H54" s="9">
        <v>0.37366898148148148</v>
      </c>
      <c r="I54" s="10">
        <f t="shared" si="10"/>
        <v>5.7870370370360913E-5</v>
      </c>
      <c r="J54" s="11">
        <v>3</v>
      </c>
      <c r="K54" s="11">
        <v>25.27</v>
      </c>
      <c r="L54" s="16">
        <f t="shared" si="11"/>
        <v>6064.8000000009915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/>
      <c r="AD54" s="11">
        <v>1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69" t="s">
        <v>127</v>
      </c>
      <c r="F55" s="8" t="s">
        <v>42</v>
      </c>
      <c r="G55" s="9">
        <v>0.37708333333333333</v>
      </c>
      <c r="H55" s="9">
        <v>0.37714120370370369</v>
      </c>
      <c r="I55" s="10">
        <f t="shared" si="10"/>
        <v>5.7870370370360913E-5</v>
      </c>
      <c r="J55" s="11">
        <v>3</v>
      </c>
      <c r="K55" s="11">
        <v>12.98</v>
      </c>
      <c r="L55" s="16">
        <f t="shared" si="11"/>
        <v>3115.2000000005096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/>
      <c r="AC55" s="11"/>
      <c r="AD55" s="11">
        <v>1</v>
      </c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69" t="s">
        <v>128</v>
      </c>
      <c r="F56" s="8" t="s">
        <v>42</v>
      </c>
      <c r="G56" s="9">
        <v>0.34375</v>
      </c>
      <c r="H56" s="9">
        <v>0.34513888888888888</v>
      </c>
      <c r="I56" s="10">
        <f t="shared" si="10"/>
        <v>1.388888888888884E-3</v>
      </c>
      <c r="J56" s="11">
        <v>1</v>
      </c>
      <c r="K56" s="11" t="s">
        <v>42</v>
      </c>
      <c r="L56" s="16" t="str">
        <f t="shared" si="11"/>
        <v>0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69" t="s">
        <v>129</v>
      </c>
      <c r="F57" s="8" t="s">
        <v>42</v>
      </c>
      <c r="G57" s="9">
        <v>0.36388888888888887</v>
      </c>
      <c r="H57" s="9">
        <v>0.39791666666666664</v>
      </c>
      <c r="I57" s="10">
        <f t="shared" si="10"/>
        <v>3.4027777777777768E-2</v>
      </c>
      <c r="J57" s="11">
        <v>4</v>
      </c>
      <c r="K57" s="11">
        <v>60.82</v>
      </c>
      <c r="L57" s="16">
        <f t="shared" si="11"/>
        <v>18.618367346938779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>
        <v>12.25</v>
      </c>
      <c r="AH57" s="11">
        <v>12.25</v>
      </c>
      <c r="AI57" s="11">
        <v>12.25</v>
      </c>
      <c r="AJ57" s="11">
        <v>12.25</v>
      </c>
      <c r="AK57" s="11"/>
      <c r="AL57" s="14"/>
    </row>
    <row r="58" spans="2:38" ht="25.05" customHeight="1">
      <c r="B58" s="13"/>
      <c r="C58" s="29"/>
      <c r="D58" s="30"/>
      <c r="E58" s="169" t="s">
        <v>130</v>
      </c>
      <c r="F58" s="8" t="s">
        <v>42</v>
      </c>
      <c r="G58" s="9">
        <v>0.39861111111111114</v>
      </c>
      <c r="H58" s="9">
        <v>0.43055555555555558</v>
      </c>
      <c r="I58" s="10">
        <f t="shared" si="10"/>
        <v>3.1944444444444442E-2</v>
      </c>
      <c r="J58" s="11">
        <v>4</v>
      </c>
      <c r="K58" s="11">
        <v>62.36</v>
      </c>
      <c r="L58" s="16">
        <f t="shared" si="11"/>
        <v>20.334782608695654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>
        <v>11.5</v>
      </c>
      <c r="AH58" s="11">
        <v>11.5</v>
      </c>
      <c r="AI58" s="11">
        <v>11.5</v>
      </c>
      <c r="AJ58" s="11">
        <v>11.5</v>
      </c>
      <c r="AK58" s="11"/>
      <c r="AL58" s="14"/>
    </row>
    <row r="59" spans="2:38" ht="25.05" customHeight="1">
      <c r="B59" s="13"/>
      <c r="C59" s="29"/>
      <c r="D59" s="30"/>
      <c r="E59" s="169" t="s">
        <v>131</v>
      </c>
      <c r="F59" s="8" t="s">
        <v>42</v>
      </c>
      <c r="G59" s="9">
        <v>0.43194444444444446</v>
      </c>
      <c r="H59" s="9">
        <v>0.4465277777777778</v>
      </c>
      <c r="I59" s="10">
        <f t="shared" si="10"/>
        <v>1.4583333333333337E-2</v>
      </c>
      <c r="J59" s="11">
        <v>4</v>
      </c>
      <c r="K59" s="11">
        <v>33.29</v>
      </c>
      <c r="L59" s="16">
        <f t="shared" si="11"/>
        <v>23.778571428571421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>
        <v>5.25</v>
      </c>
      <c r="AH59" s="11">
        <v>5.25</v>
      </c>
      <c r="AI59" s="11">
        <v>5.25</v>
      </c>
      <c r="AJ59" s="11">
        <v>5.25</v>
      </c>
      <c r="AK59" s="11"/>
      <c r="AL59" s="14"/>
    </row>
    <row r="60" spans="2:38" ht="25.05" customHeight="1">
      <c r="B60" s="13"/>
      <c r="C60" s="29"/>
      <c r="D60" s="30"/>
      <c r="E60" s="169" t="s">
        <v>132</v>
      </c>
      <c r="F60" s="8" t="s">
        <v>42</v>
      </c>
      <c r="G60" s="9">
        <v>0.35069444444444442</v>
      </c>
      <c r="H60" s="9">
        <v>0.35069444444444442</v>
      </c>
      <c r="I60" s="10">
        <f t="shared" si="10"/>
        <v>0</v>
      </c>
      <c r="J60" s="11">
        <v>3</v>
      </c>
      <c r="K60" s="11">
        <v>1.84</v>
      </c>
      <c r="L60" s="16" t="str">
        <f t="shared" si="11"/>
        <v>0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/>
      <c r="AC60" s="11">
        <v>1</v>
      </c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69" t="s">
        <v>133</v>
      </c>
      <c r="F61" s="8" t="s">
        <v>42</v>
      </c>
      <c r="G61" s="9">
        <v>0.35138888888888886</v>
      </c>
      <c r="H61" s="9">
        <v>0.35138888888888886</v>
      </c>
      <c r="I61" s="10">
        <f t="shared" si="10"/>
        <v>0</v>
      </c>
      <c r="J61" s="11">
        <v>3</v>
      </c>
      <c r="K61" s="11">
        <v>1.8</v>
      </c>
      <c r="L61" s="16" t="str">
        <f t="shared" si="11"/>
        <v>0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/>
      <c r="AA61" s="11"/>
      <c r="AB61" s="11"/>
      <c r="AC61" s="11">
        <v>1</v>
      </c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69" t="s">
        <v>134</v>
      </c>
      <c r="F62" s="8" t="s">
        <v>42</v>
      </c>
      <c r="G62" s="9">
        <v>0.35208333333333336</v>
      </c>
      <c r="H62" s="9">
        <v>0.35208333333333336</v>
      </c>
      <c r="I62" s="10">
        <f t="shared" si="10"/>
        <v>0</v>
      </c>
      <c r="J62" s="11">
        <v>3</v>
      </c>
      <c r="K62" s="11">
        <v>1.87</v>
      </c>
      <c r="L62" s="16" t="str">
        <f t="shared" si="11"/>
        <v>0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/>
      <c r="AA62" s="11"/>
      <c r="AB62" s="11"/>
      <c r="AC62" s="11">
        <v>1</v>
      </c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69" t="s">
        <v>135</v>
      </c>
      <c r="F63" s="8" t="s">
        <v>42</v>
      </c>
      <c r="G63" s="9">
        <v>0.35208333333333336</v>
      </c>
      <c r="H63" s="9">
        <v>0.35208333333333336</v>
      </c>
      <c r="I63" s="10">
        <f t="shared" si="10"/>
        <v>0</v>
      </c>
      <c r="J63" s="11">
        <v>3</v>
      </c>
      <c r="K63" s="11">
        <v>1.87</v>
      </c>
      <c r="L63" s="16" t="str">
        <f t="shared" si="11"/>
        <v>0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/>
      <c r="AC63" s="11">
        <v>1</v>
      </c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69" t="s">
        <v>136</v>
      </c>
      <c r="F64" s="8" t="s">
        <v>42</v>
      </c>
      <c r="G64" s="9">
        <v>0.3527777777777778</v>
      </c>
      <c r="H64" s="9">
        <v>0.3527777777777778</v>
      </c>
      <c r="I64" s="10">
        <f t="shared" si="10"/>
        <v>0</v>
      </c>
      <c r="J64" s="11">
        <v>3</v>
      </c>
      <c r="K64" s="11">
        <v>1.83</v>
      </c>
      <c r="L64" s="16" t="str">
        <f t="shared" si="11"/>
        <v>0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/>
      <c r="Z64" s="11"/>
      <c r="AA64" s="11"/>
      <c r="AB64" s="11"/>
      <c r="AC64" s="11">
        <v>1</v>
      </c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69" t="s">
        <v>137</v>
      </c>
      <c r="F65" s="8" t="s">
        <v>42</v>
      </c>
      <c r="G65" s="9">
        <v>0.3527777777777778</v>
      </c>
      <c r="H65" s="9">
        <v>0.3527777777777778</v>
      </c>
      <c r="I65" s="10">
        <f t="shared" si="10"/>
        <v>0</v>
      </c>
      <c r="J65" s="11">
        <v>3</v>
      </c>
      <c r="K65" s="11">
        <v>1.82</v>
      </c>
      <c r="L65" s="16" t="str">
        <f t="shared" si="11"/>
        <v>0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/>
      <c r="AC65" s="11">
        <v>1</v>
      </c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69" t="s">
        <v>138</v>
      </c>
      <c r="F66" s="8" t="s">
        <v>42</v>
      </c>
      <c r="G66" s="9">
        <v>0.35347222222222224</v>
      </c>
      <c r="H66" s="9">
        <v>0.35347222222222224</v>
      </c>
      <c r="I66" s="10">
        <f t="shared" si="10"/>
        <v>0</v>
      </c>
      <c r="J66" s="11">
        <v>3</v>
      </c>
      <c r="K66" s="11">
        <v>1.82</v>
      </c>
      <c r="L66" s="16" t="str">
        <f t="shared" si="11"/>
        <v>0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/>
      <c r="AA66" s="11"/>
      <c r="AB66" s="11"/>
      <c r="AC66" s="11">
        <v>1</v>
      </c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69" t="s">
        <v>139</v>
      </c>
      <c r="F67" s="8" t="s">
        <v>42</v>
      </c>
      <c r="G67" s="9">
        <v>0.35347222222222224</v>
      </c>
      <c r="H67" s="9">
        <v>0.35347222222222224</v>
      </c>
      <c r="I67" s="10">
        <f t="shared" si="10"/>
        <v>0</v>
      </c>
      <c r="J67" s="11">
        <v>3</v>
      </c>
      <c r="K67" s="11">
        <v>1.79</v>
      </c>
      <c r="L67" s="16" t="str">
        <f t="shared" si="11"/>
        <v>0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/>
      <c r="AC67" s="11">
        <v>1</v>
      </c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69" t="s">
        <v>140</v>
      </c>
      <c r="F68" s="8" t="s">
        <v>42</v>
      </c>
      <c r="G68" s="9">
        <v>0.35416666666666669</v>
      </c>
      <c r="H68" s="9">
        <v>0.35416666666666669</v>
      </c>
      <c r="I68" s="10">
        <f t="shared" si="10"/>
        <v>0</v>
      </c>
      <c r="J68" s="11">
        <v>3</v>
      </c>
      <c r="K68" s="11">
        <v>1.82</v>
      </c>
      <c r="L68" s="16" t="str">
        <f t="shared" si="11"/>
        <v>0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/>
      <c r="AA68" s="11"/>
      <c r="AB68" s="11"/>
      <c r="AC68" s="11">
        <v>1</v>
      </c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69" t="s">
        <v>141</v>
      </c>
      <c r="F69" s="8" t="s">
        <v>42</v>
      </c>
      <c r="G69" s="9">
        <v>0.35486111111111113</v>
      </c>
      <c r="H69" s="9">
        <v>0.35486111111111113</v>
      </c>
      <c r="I69" s="10">
        <f t="shared" si="10"/>
        <v>0</v>
      </c>
      <c r="J69" s="11">
        <v>3</v>
      </c>
      <c r="K69" s="11">
        <v>1.85</v>
      </c>
      <c r="L69" s="16" t="str">
        <f t="shared" si="11"/>
        <v>0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/>
      <c r="AC69" s="11">
        <v>1</v>
      </c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69" t="s">
        <v>142</v>
      </c>
      <c r="F70" s="8" t="s">
        <v>42</v>
      </c>
      <c r="G70" s="9">
        <v>0.35486111111111113</v>
      </c>
      <c r="H70" s="9">
        <v>0.35486111111111113</v>
      </c>
      <c r="I70" s="10">
        <f t="shared" si="10"/>
        <v>0</v>
      </c>
      <c r="J70" s="11">
        <v>3</v>
      </c>
      <c r="K70" s="11">
        <v>1.07</v>
      </c>
      <c r="L70" s="16" t="str">
        <f t="shared" si="11"/>
        <v>0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/>
      <c r="AA70" s="11"/>
      <c r="AB70" s="11"/>
      <c r="AC70" s="11">
        <v>1</v>
      </c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143</v>
      </c>
      <c r="F71" s="8" t="s">
        <v>42</v>
      </c>
      <c r="G71" s="9">
        <v>0.35486111111111113</v>
      </c>
      <c r="H71" s="9">
        <v>0.38611111111111113</v>
      </c>
      <c r="I71" s="10">
        <f t="shared" si="10"/>
        <v>3.125E-2</v>
      </c>
      <c r="J71" s="11">
        <v>5</v>
      </c>
      <c r="K71" s="11">
        <f>20*4.24</f>
        <v>84.800000000000011</v>
      </c>
      <c r="L71" s="16">
        <f t="shared" si="11"/>
        <v>22.613333333333333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1"/>
      <c r="Y71" s="11"/>
      <c r="Z71" s="11">
        <v>45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144</v>
      </c>
      <c r="F72" s="8" t="s">
        <v>42</v>
      </c>
      <c r="G72" s="9">
        <v>0.35972222222222222</v>
      </c>
      <c r="H72" s="9">
        <v>0.39097222222222222</v>
      </c>
      <c r="I72" s="10">
        <f t="shared" si="10"/>
        <v>3.125E-2</v>
      </c>
      <c r="J72" s="11">
        <v>5</v>
      </c>
      <c r="K72" s="11">
        <f>8*4.24</f>
        <v>33.92</v>
      </c>
      <c r="L72" s="16">
        <f t="shared" si="11"/>
        <v>9.0453333333333337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>
        <v>45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145</v>
      </c>
      <c r="F73" s="8" t="s">
        <v>42</v>
      </c>
      <c r="G73" s="9">
        <v>0.35972222222222222</v>
      </c>
      <c r="H73" s="9">
        <v>0.39097222222222222</v>
      </c>
      <c r="I73" s="10">
        <f t="shared" si="10"/>
        <v>3.125E-2</v>
      </c>
      <c r="J73" s="11">
        <v>5</v>
      </c>
      <c r="K73" s="11">
        <f>12*4.24</f>
        <v>50.88</v>
      </c>
      <c r="L73" s="16">
        <f t="shared" si="11"/>
        <v>13.568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/>
      <c r="Y73" s="11">
        <v>45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146</v>
      </c>
      <c r="F74" s="8" t="s">
        <v>42</v>
      </c>
      <c r="G74" s="9">
        <v>0.36527777777777776</v>
      </c>
      <c r="H74" s="9">
        <v>0.39652777777777776</v>
      </c>
      <c r="I74" s="10">
        <f t="shared" si="10"/>
        <v>3.125E-2</v>
      </c>
      <c r="J74" s="11">
        <v>5</v>
      </c>
      <c r="K74" s="11">
        <f t="shared" ref="K74:K91" si="12">20*4.24</f>
        <v>84.800000000000011</v>
      </c>
      <c r="L74" s="16">
        <f t="shared" si="11"/>
        <v>22.613333333333333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/>
      <c r="Z74" s="11"/>
      <c r="AA74" s="11">
        <v>45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147</v>
      </c>
      <c r="F75" s="8" t="s">
        <v>42</v>
      </c>
      <c r="G75" s="9">
        <v>0.40486111111111112</v>
      </c>
      <c r="H75" s="9">
        <v>0.43611111111111112</v>
      </c>
      <c r="I75" s="10">
        <f t="shared" si="10"/>
        <v>3.125E-2</v>
      </c>
      <c r="J75" s="11">
        <v>5</v>
      </c>
      <c r="K75" s="11">
        <f>10*4.24</f>
        <v>42.400000000000006</v>
      </c>
      <c r="L75" s="16">
        <f t="shared" si="11"/>
        <v>11.306666666666667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>
        <v>45</v>
      </c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148</v>
      </c>
      <c r="F76" s="8" t="s">
        <v>42</v>
      </c>
      <c r="G76" s="9">
        <v>0.40486111111111112</v>
      </c>
      <c r="H76" s="9">
        <v>0.43611111111111112</v>
      </c>
      <c r="I76" s="10">
        <f t="shared" si="10"/>
        <v>3.125E-2</v>
      </c>
      <c r="J76" s="11">
        <v>5</v>
      </c>
      <c r="K76" s="11">
        <f>10*4.24</f>
        <v>42.400000000000006</v>
      </c>
      <c r="L76" s="16">
        <f t="shared" si="11"/>
        <v>11.306666666666667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>
        <v>45</v>
      </c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149</v>
      </c>
      <c r="F77" s="8" t="s">
        <v>42</v>
      </c>
      <c r="G77" s="9">
        <v>0.40972222222222221</v>
      </c>
      <c r="H77" s="9">
        <v>0.44097222222222221</v>
      </c>
      <c r="I77" s="10">
        <f t="shared" si="10"/>
        <v>3.125E-2</v>
      </c>
      <c r="J77" s="11">
        <v>5</v>
      </c>
      <c r="K77" s="11">
        <f>12*4.24</f>
        <v>50.88</v>
      </c>
      <c r="L77" s="16">
        <f t="shared" si="11"/>
        <v>13.568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/>
      <c r="AA77" s="11">
        <v>45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65"/>
      <c r="E78" s="19" t="s">
        <v>150</v>
      </c>
      <c r="F78" s="8" t="s">
        <v>42</v>
      </c>
      <c r="G78" s="9">
        <v>0.43819444444444444</v>
      </c>
      <c r="H78" s="9">
        <v>0.46944444444444444</v>
      </c>
      <c r="I78" s="10">
        <f t="shared" si="10"/>
        <v>3.125E-2</v>
      </c>
      <c r="J78" s="11">
        <v>5</v>
      </c>
      <c r="K78" s="11">
        <f>8*4.24</f>
        <v>33.92</v>
      </c>
      <c r="L78" s="16">
        <f t="shared" si="11"/>
        <v>9.0453333333333337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>
        <v>45</v>
      </c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65"/>
      <c r="E79" s="19" t="s">
        <v>151</v>
      </c>
      <c r="F79" s="8" t="s">
        <v>42</v>
      </c>
      <c r="G79" s="9">
        <v>0.43819444444444444</v>
      </c>
      <c r="H79" s="9">
        <v>0.46944444444444444</v>
      </c>
      <c r="I79" s="10">
        <f t="shared" si="10"/>
        <v>3.125E-2</v>
      </c>
      <c r="J79" s="11">
        <v>5</v>
      </c>
      <c r="K79" s="11">
        <f t="shared" si="12"/>
        <v>84.800000000000011</v>
      </c>
      <c r="L79" s="16">
        <f t="shared" si="11"/>
        <v>22.613333333333333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>
        <v>45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65"/>
      <c r="E80" s="19" t="s">
        <v>152</v>
      </c>
      <c r="F80" s="8" t="s">
        <v>42</v>
      </c>
      <c r="G80" s="9">
        <v>0.44444444444444442</v>
      </c>
      <c r="H80" s="9">
        <v>0.47569444444444442</v>
      </c>
      <c r="I80" s="10">
        <f t="shared" si="10"/>
        <v>3.125E-2</v>
      </c>
      <c r="J80" s="11">
        <v>5</v>
      </c>
      <c r="K80" s="11">
        <f>14*4.24</f>
        <v>59.36</v>
      </c>
      <c r="L80" s="16">
        <f t="shared" si="11"/>
        <v>15.829333333333333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/>
      <c r="Y80" s="11"/>
      <c r="Z80" s="11"/>
      <c r="AA80" s="11">
        <v>45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65"/>
      <c r="E81" s="19" t="s">
        <v>153</v>
      </c>
      <c r="F81" s="8" t="s">
        <v>42</v>
      </c>
      <c r="G81" s="9">
        <v>0.47291666666666665</v>
      </c>
      <c r="H81" s="9">
        <v>0.50416666666666665</v>
      </c>
      <c r="I81" s="10">
        <f t="shared" si="10"/>
        <v>3.125E-2</v>
      </c>
      <c r="J81" s="11">
        <v>5</v>
      </c>
      <c r="K81" s="11">
        <f>6*4.24</f>
        <v>25.44</v>
      </c>
      <c r="L81" s="16">
        <f t="shared" si="11"/>
        <v>6.7839999999999998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>
        <v>45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208"/>
      <c r="E82" s="19" t="s">
        <v>154</v>
      </c>
      <c r="F82" s="8" t="s">
        <v>42</v>
      </c>
      <c r="G82" s="9">
        <v>0.47291666666666665</v>
      </c>
      <c r="H82" s="9">
        <v>0.50416666666666665</v>
      </c>
      <c r="I82" s="10">
        <f t="shared" ref="I82:I92" si="13">H82-G82</f>
        <v>3.125E-2</v>
      </c>
      <c r="J82" s="11">
        <v>5</v>
      </c>
      <c r="K82" s="11">
        <f t="shared" si="12"/>
        <v>84.800000000000011</v>
      </c>
      <c r="L82" s="16">
        <f t="shared" ref="L82:L92" si="14">IFERROR(((K82/(J82*I82)/24)),"0")</f>
        <v>22.613333333333333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2</v>
      </c>
      <c r="X82" s="11"/>
      <c r="Y82" s="11">
        <v>45</v>
      </c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208"/>
      <c r="E83" s="19" t="s">
        <v>155</v>
      </c>
      <c r="F83" s="8" t="s">
        <v>42</v>
      </c>
      <c r="G83" s="9">
        <v>0.47916666666666669</v>
      </c>
      <c r="H83" s="9">
        <v>0.51041666666666663</v>
      </c>
      <c r="I83" s="10">
        <f t="shared" si="13"/>
        <v>3.1249999999999944E-2</v>
      </c>
      <c r="J83" s="11">
        <v>5</v>
      </c>
      <c r="K83" s="11">
        <f>16*4.24</f>
        <v>67.84</v>
      </c>
      <c r="L83" s="16">
        <f t="shared" si="14"/>
        <v>18.090666666666699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2</v>
      </c>
      <c r="X83" s="11"/>
      <c r="Y83" s="11"/>
      <c r="Z83" s="11"/>
      <c r="AA83" s="11">
        <v>45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208"/>
      <c r="E84" s="19" t="s">
        <v>156</v>
      </c>
      <c r="F84" s="8" t="s">
        <v>42</v>
      </c>
      <c r="G84" s="9">
        <v>0.50208333333333333</v>
      </c>
      <c r="H84" s="9">
        <v>0.53333333333333333</v>
      </c>
      <c r="I84" s="10">
        <f t="shared" si="13"/>
        <v>3.125E-2</v>
      </c>
      <c r="J84" s="11">
        <v>5</v>
      </c>
      <c r="K84" s="11">
        <f>4*4.24</f>
        <v>16.96</v>
      </c>
      <c r="L84" s="16">
        <f t="shared" si="14"/>
        <v>4.5226666666666668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/>
      <c r="Y84" s="11"/>
      <c r="Z84" s="11">
        <v>45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208"/>
      <c r="E85" s="19" t="s">
        <v>157</v>
      </c>
      <c r="F85" s="8" t="s">
        <v>42</v>
      </c>
      <c r="G85" s="9">
        <v>0.50208333333333333</v>
      </c>
      <c r="H85" s="9">
        <v>0.53333333333333333</v>
      </c>
      <c r="I85" s="10">
        <f t="shared" si="13"/>
        <v>3.125E-2</v>
      </c>
      <c r="J85" s="11">
        <v>5</v>
      </c>
      <c r="K85" s="11">
        <f t="shared" si="12"/>
        <v>84.800000000000011</v>
      </c>
      <c r="L85" s="16">
        <f t="shared" si="14"/>
        <v>22.613333333333333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/>
      <c r="Y85" s="11"/>
      <c r="Z85" s="11">
        <v>45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208"/>
      <c r="E86" s="19" t="s">
        <v>158</v>
      </c>
      <c r="F86" s="8" t="s">
        <v>42</v>
      </c>
      <c r="G86" s="9">
        <v>0.50763888888888886</v>
      </c>
      <c r="H86" s="9">
        <v>0.53888888888888886</v>
      </c>
      <c r="I86" s="10">
        <f t="shared" si="13"/>
        <v>3.125E-2</v>
      </c>
      <c r="J86" s="11">
        <v>5</v>
      </c>
      <c r="K86" s="11">
        <f>18*4.24</f>
        <v>76.320000000000007</v>
      </c>
      <c r="L86" s="16">
        <f t="shared" si="14"/>
        <v>20.352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>
        <v>45</v>
      </c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208"/>
      <c r="E87" s="19" t="s">
        <v>159</v>
      </c>
      <c r="F87" s="8" t="s">
        <v>42</v>
      </c>
      <c r="G87" s="9">
        <v>0.5131944444444444</v>
      </c>
      <c r="H87" s="9">
        <v>0.5444444444444444</v>
      </c>
      <c r="I87" s="10">
        <f t="shared" si="13"/>
        <v>3.125E-2</v>
      </c>
      <c r="J87" s="11">
        <v>5</v>
      </c>
      <c r="K87" s="11">
        <f>2*4.24</f>
        <v>8.48</v>
      </c>
      <c r="L87" s="16">
        <f t="shared" si="14"/>
        <v>2.2613333333333334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/>
      <c r="AA87" s="11">
        <v>45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208"/>
      <c r="E88" s="19" t="s">
        <v>160</v>
      </c>
      <c r="F88" s="8" t="s">
        <v>42</v>
      </c>
      <c r="G88" s="9">
        <v>0.5131944444444444</v>
      </c>
      <c r="H88" s="9">
        <v>0.5444444444444444</v>
      </c>
      <c r="I88" s="10">
        <f t="shared" si="13"/>
        <v>3.125E-2</v>
      </c>
      <c r="J88" s="11">
        <v>5</v>
      </c>
      <c r="K88" s="11">
        <f t="shared" si="12"/>
        <v>84.800000000000011</v>
      </c>
      <c r="L88" s="16">
        <f t="shared" si="14"/>
        <v>22.613333333333333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/>
      <c r="AA88" s="11">
        <v>45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208"/>
      <c r="E89" s="19" t="s">
        <v>161</v>
      </c>
      <c r="F89" s="8" t="s">
        <v>42</v>
      </c>
      <c r="G89" s="9">
        <v>0.53749999999999998</v>
      </c>
      <c r="H89" s="9">
        <v>0.56874999999999998</v>
      </c>
      <c r="I89" s="10">
        <f t="shared" si="13"/>
        <v>3.125E-2</v>
      </c>
      <c r="J89" s="11">
        <v>5</v>
      </c>
      <c r="K89" s="11">
        <f t="shared" si="12"/>
        <v>84.800000000000011</v>
      </c>
      <c r="L89" s="16">
        <f t="shared" si="14"/>
        <v>22.613333333333333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/>
      <c r="Z89" s="11">
        <v>45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208"/>
      <c r="E90" s="19" t="s">
        <v>162</v>
      </c>
      <c r="F90" s="8" t="s">
        <v>42</v>
      </c>
      <c r="G90" s="9">
        <v>0.54791666666666672</v>
      </c>
      <c r="H90" s="9">
        <v>0.57916666666666672</v>
      </c>
      <c r="I90" s="10">
        <f t="shared" si="13"/>
        <v>3.125E-2</v>
      </c>
      <c r="J90" s="11">
        <v>5</v>
      </c>
      <c r="K90" s="11">
        <f t="shared" si="12"/>
        <v>84.800000000000011</v>
      </c>
      <c r="L90" s="16">
        <f t="shared" si="14"/>
        <v>22.613333333333333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>
        <v>45</v>
      </c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208"/>
      <c r="E91" s="19" t="s">
        <v>163</v>
      </c>
      <c r="F91" s="8" t="s">
        <v>42</v>
      </c>
      <c r="G91" s="9">
        <v>0.55555555555555558</v>
      </c>
      <c r="H91" s="9">
        <v>0.58680555555555558</v>
      </c>
      <c r="I91" s="10">
        <f t="shared" si="13"/>
        <v>3.125E-2</v>
      </c>
      <c r="J91" s="11">
        <v>5</v>
      </c>
      <c r="K91" s="11">
        <f t="shared" si="12"/>
        <v>84.800000000000011</v>
      </c>
      <c r="L91" s="16">
        <f t="shared" si="14"/>
        <v>22.613333333333333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/>
      <c r="Y91" s="11"/>
      <c r="Z91" s="11"/>
      <c r="AA91" s="11">
        <v>45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208"/>
      <c r="E92" s="19" t="s">
        <v>164</v>
      </c>
      <c r="F92" s="8" t="s">
        <v>42</v>
      </c>
      <c r="G92" s="9">
        <v>0.58125000000000004</v>
      </c>
      <c r="H92" s="9">
        <v>0.61250000000000004</v>
      </c>
      <c r="I92" s="10">
        <f t="shared" si="13"/>
        <v>3.125E-2</v>
      </c>
      <c r="J92" s="11">
        <v>5</v>
      </c>
      <c r="K92" s="11">
        <f>1*4.24</f>
        <v>4.24</v>
      </c>
      <c r="L92" s="16">
        <f t="shared" si="14"/>
        <v>1.1306666666666667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>
        <v>45</v>
      </c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172"/>
      <c r="E93" s="19"/>
      <c r="F93" s="8" t="s">
        <v>42</v>
      </c>
      <c r="G93" s="9"/>
      <c r="H93" s="9"/>
      <c r="I93" s="10">
        <f t="shared" si="10"/>
        <v>0</v>
      </c>
      <c r="J93" s="11"/>
      <c r="K93" s="11"/>
      <c r="L93" s="16" t="str">
        <f t="shared" si="11"/>
        <v>0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172" t="s">
        <v>83</v>
      </c>
      <c r="E94" s="19" t="s">
        <v>165</v>
      </c>
      <c r="F94" s="8" t="s">
        <v>42</v>
      </c>
      <c r="G94" s="9">
        <v>0.37569444444444444</v>
      </c>
      <c r="H94" s="9">
        <v>0.38263888888888886</v>
      </c>
      <c r="I94" s="10">
        <f t="shared" si="10"/>
        <v>6.9444444444444198E-3</v>
      </c>
      <c r="J94" s="11">
        <v>3</v>
      </c>
      <c r="K94" s="11">
        <v>79.64</v>
      </c>
      <c r="L94" s="16">
        <f t="shared" si="11"/>
        <v>159.28000000000057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2</v>
      </c>
      <c r="W94" s="12"/>
      <c r="X94" s="11"/>
      <c r="Y94" s="11"/>
      <c r="Z94" s="11"/>
      <c r="AA94" s="11"/>
      <c r="AB94" s="11"/>
      <c r="AC94" s="11">
        <v>10</v>
      </c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172"/>
      <c r="E95" s="19" t="s">
        <v>166</v>
      </c>
      <c r="F95" s="8" t="s">
        <v>42</v>
      </c>
      <c r="G95" s="9">
        <v>0.40208333333333335</v>
      </c>
      <c r="H95" s="9">
        <v>0.42152777777777778</v>
      </c>
      <c r="I95" s="10">
        <f t="shared" si="10"/>
        <v>1.9444444444444431E-2</v>
      </c>
      <c r="J95" s="11">
        <v>3</v>
      </c>
      <c r="K95" s="11">
        <v>155.63999999999999</v>
      </c>
      <c r="L95" s="16">
        <f t="shared" si="11"/>
        <v>111.17142857142863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2</v>
      </c>
      <c r="X95" s="11"/>
      <c r="Y95" s="11"/>
      <c r="Z95" s="11"/>
      <c r="AA95" s="11"/>
      <c r="AB95" s="11"/>
      <c r="AC95" s="11"/>
      <c r="AD95" s="11">
        <v>28</v>
      </c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166"/>
      <c r="E96" s="19" t="s">
        <v>167</v>
      </c>
      <c r="F96" s="8" t="s">
        <v>42</v>
      </c>
      <c r="G96" s="9">
        <v>0.42916666666666664</v>
      </c>
      <c r="H96" s="9">
        <v>0.45069444444444445</v>
      </c>
      <c r="I96" s="10">
        <f t="shared" si="10"/>
        <v>2.1527777777777812E-2</v>
      </c>
      <c r="J96" s="11">
        <v>3</v>
      </c>
      <c r="K96" s="11">
        <v>154</v>
      </c>
      <c r="L96" s="16">
        <f t="shared" si="11"/>
        <v>99.354838709677267</v>
      </c>
      <c r="M96" s="11"/>
      <c r="N96" s="11"/>
      <c r="O96" s="11"/>
      <c r="P96" s="11"/>
      <c r="Q96" s="11"/>
      <c r="R96" s="12"/>
      <c r="S96" s="12"/>
      <c r="T96" s="11"/>
      <c r="U96" s="11"/>
      <c r="V96" s="12">
        <v>2</v>
      </c>
      <c r="W96" s="12"/>
      <c r="X96" s="11"/>
      <c r="Y96" s="11"/>
      <c r="Z96" s="11"/>
      <c r="AA96" s="11"/>
      <c r="AB96" s="11"/>
      <c r="AC96" s="11"/>
      <c r="AD96" s="11">
        <v>31</v>
      </c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168</v>
      </c>
      <c r="F97" s="8" t="s">
        <v>42</v>
      </c>
      <c r="G97" s="9">
        <v>0.44513888888888886</v>
      </c>
      <c r="H97" s="9">
        <v>0.4597222222222222</v>
      </c>
      <c r="I97" s="10">
        <f t="shared" si="10"/>
        <v>1.4583333333333337E-2</v>
      </c>
      <c r="J97" s="11">
        <v>3</v>
      </c>
      <c r="K97" s="11">
        <v>156.75</v>
      </c>
      <c r="L97" s="16">
        <f t="shared" si="11"/>
        <v>149.28571428571425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2</v>
      </c>
      <c r="X97" s="11"/>
      <c r="Y97" s="11"/>
      <c r="Z97" s="11"/>
      <c r="AA97" s="11"/>
      <c r="AB97" s="11"/>
      <c r="AC97" s="11"/>
      <c r="AD97" s="11">
        <v>21</v>
      </c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169</v>
      </c>
      <c r="F98" s="8" t="s">
        <v>42</v>
      </c>
      <c r="G98" s="9">
        <v>0.46666666666666667</v>
      </c>
      <c r="H98" s="9">
        <v>0.48125000000000001</v>
      </c>
      <c r="I98" s="10">
        <f t="shared" si="10"/>
        <v>1.4583333333333337E-2</v>
      </c>
      <c r="J98" s="11">
        <v>3</v>
      </c>
      <c r="K98" s="11">
        <v>78.86</v>
      </c>
      <c r="L98" s="16">
        <f t="shared" si="11"/>
        <v>75.104761904761887</v>
      </c>
      <c r="M98" s="11"/>
      <c r="N98" s="11"/>
      <c r="O98" s="11"/>
      <c r="P98" s="11"/>
      <c r="Q98" s="11"/>
      <c r="R98" s="12"/>
      <c r="S98" s="12"/>
      <c r="T98" s="11"/>
      <c r="U98" s="11"/>
      <c r="V98" s="12">
        <v>2</v>
      </c>
      <c r="W98" s="12"/>
      <c r="X98" s="11"/>
      <c r="Y98" s="11"/>
      <c r="Z98" s="11"/>
      <c r="AA98" s="11"/>
      <c r="AB98" s="11"/>
      <c r="AC98" s="11"/>
      <c r="AD98" s="11">
        <v>21</v>
      </c>
      <c r="AE98" s="11"/>
      <c r="AF98" s="11"/>
      <c r="AG98" s="11"/>
      <c r="AH98" s="11"/>
      <c r="AI98" s="11"/>
      <c r="AJ98" s="11"/>
      <c r="AK98" s="11"/>
      <c r="AL98" s="14"/>
    </row>
    <row r="99" spans="2:38" ht="25.5" customHeight="1">
      <c r="B99" s="13"/>
      <c r="C99" s="29"/>
      <c r="D99" s="30"/>
      <c r="E99" s="19" t="s">
        <v>170</v>
      </c>
      <c r="F99" s="8" t="s">
        <v>42</v>
      </c>
      <c r="G99" s="9">
        <v>0.4513888888888889</v>
      </c>
      <c r="H99" s="9">
        <v>0.45150462962962962</v>
      </c>
      <c r="I99" s="10">
        <f t="shared" si="10"/>
        <v>1.1574074074072183E-4</v>
      </c>
      <c r="J99" s="11">
        <v>4</v>
      </c>
      <c r="K99" s="11">
        <v>61.75</v>
      </c>
      <c r="L99" s="16">
        <f t="shared" si="11"/>
        <v>5557.5000000009086</v>
      </c>
      <c r="M99" s="11"/>
      <c r="N99" s="11"/>
      <c r="O99" s="11"/>
      <c r="P99" s="11"/>
      <c r="Q99" s="11"/>
      <c r="R99" s="12"/>
      <c r="S99" s="12"/>
      <c r="T99" s="11"/>
      <c r="U99" s="11"/>
      <c r="V99" s="12">
        <v>2</v>
      </c>
      <c r="W99" s="12"/>
      <c r="X99" s="11"/>
      <c r="Y99" s="11"/>
      <c r="Z99" s="11"/>
      <c r="AA99" s="11"/>
      <c r="AB99" s="11"/>
      <c r="AC99" s="11">
        <v>1</v>
      </c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5" customHeight="1">
      <c r="B100" s="13"/>
      <c r="C100" s="29"/>
      <c r="D100" s="30"/>
      <c r="E100" s="19" t="s">
        <v>171</v>
      </c>
      <c r="F100" s="8" t="s">
        <v>42</v>
      </c>
      <c r="G100" s="9">
        <v>0.45763888888888887</v>
      </c>
      <c r="H100" s="9">
        <v>0.45775462962962965</v>
      </c>
      <c r="I100" s="10">
        <f t="shared" si="10"/>
        <v>1.1574074074077734E-4</v>
      </c>
      <c r="J100" s="11">
        <v>4</v>
      </c>
      <c r="K100" s="11">
        <v>56.84</v>
      </c>
      <c r="L100" s="16">
        <f t="shared" si="11"/>
        <v>5115.5999999983824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>
        <v>2</v>
      </c>
      <c r="W100" s="12"/>
      <c r="X100" s="11"/>
      <c r="Y100" s="11"/>
      <c r="Z100" s="11"/>
      <c r="AA100" s="11"/>
      <c r="AB100" s="11"/>
      <c r="AC100" s="11">
        <v>1</v>
      </c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172</v>
      </c>
      <c r="F101" s="8" t="s">
        <v>42</v>
      </c>
      <c r="G101" s="9">
        <v>0.46458333333333335</v>
      </c>
      <c r="H101" s="9">
        <v>0.46469907407407407</v>
      </c>
      <c r="I101" s="10">
        <f t="shared" si="10"/>
        <v>1.1574074074072183E-4</v>
      </c>
      <c r="J101" s="11">
        <v>4</v>
      </c>
      <c r="K101" s="11">
        <v>57.03</v>
      </c>
      <c r="L101" s="16">
        <f t="shared" si="11"/>
        <v>5132.7000000008384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2</v>
      </c>
      <c r="W101" s="12"/>
      <c r="X101" s="11"/>
      <c r="Y101" s="11"/>
      <c r="Z101" s="11"/>
      <c r="AA101" s="11"/>
      <c r="AB101" s="11"/>
      <c r="AC101" s="11">
        <v>1</v>
      </c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173</v>
      </c>
      <c r="F102" s="8" t="s">
        <v>42</v>
      </c>
      <c r="G102" s="9">
        <v>0.46736111111111112</v>
      </c>
      <c r="H102" s="9">
        <v>0.46747685185185184</v>
      </c>
      <c r="I102" s="10">
        <f t="shared" si="10"/>
        <v>1.1574074074072183E-4</v>
      </c>
      <c r="J102" s="11">
        <v>4</v>
      </c>
      <c r="K102" s="11">
        <v>57.62</v>
      </c>
      <c r="L102" s="16">
        <f t="shared" si="11"/>
        <v>5185.8000000008478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>
        <v>2</v>
      </c>
      <c r="W102" s="12"/>
      <c r="X102" s="11"/>
      <c r="Y102" s="11"/>
      <c r="Z102" s="11"/>
      <c r="AA102" s="11"/>
      <c r="AB102" s="11"/>
      <c r="AC102" s="11">
        <v>1</v>
      </c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174</v>
      </c>
      <c r="F103" s="8" t="s">
        <v>42</v>
      </c>
      <c r="G103" s="9">
        <v>0.47430555555555554</v>
      </c>
      <c r="H103" s="9">
        <v>0.47442129629629631</v>
      </c>
      <c r="I103" s="10">
        <f t="shared" si="10"/>
        <v>1.1574074074077734E-4</v>
      </c>
      <c r="J103" s="11">
        <v>4</v>
      </c>
      <c r="K103" s="11">
        <v>57.62</v>
      </c>
      <c r="L103" s="16">
        <f t="shared" si="11"/>
        <v>5185.7999999983604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>
        <v>2</v>
      </c>
      <c r="W103" s="12"/>
      <c r="X103" s="11"/>
      <c r="Y103" s="11"/>
      <c r="Z103" s="11"/>
      <c r="AA103" s="11"/>
      <c r="AB103" s="11"/>
      <c r="AC103" s="11">
        <v>1</v>
      </c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175</v>
      </c>
      <c r="F104" s="8" t="s">
        <v>42</v>
      </c>
      <c r="G104" s="9">
        <v>0.4777777777777778</v>
      </c>
      <c r="H104" s="9">
        <v>0.47789351851851852</v>
      </c>
      <c r="I104" s="10">
        <f t="shared" si="10"/>
        <v>1.1574074074072183E-4</v>
      </c>
      <c r="J104" s="11">
        <v>4</v>
      </c>
      <c r="K104" s="11">
        <v>57.6</v>
      </c>
      <c r="L104" s="16">
        <f t="shared" si="11"/>
        <v>5184.0000000008467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>
        <v>2</v>
      </c>
      <c r="W104" s="12"/>
      <c r="X104" s="11"/>
      <c r="Y104" s="11"/>
      <c r="Z104" s="11"/>
      <c r="AA104" s="11"/>
      <c r="AB104" s="11"/>
      <c r="AC104" s="11">
        <v>1</v>
      </c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176</v>
      </c>
      <c r="F105" s="8" t="s">
        <v>42</v>
      </c>
      <c r="G105" s="9">
        <v>0.4826388888888889</v>
      </c>
      <c r="H105" s="9">
        <v>0.48275462962962962</v>
      </c>
      <c r="I105" s="10">
        <f t="shared" si="10"/>
        <v>1.1574074074072183E-4</v>
      </c>
      <c r="J105" s="11">
        <v>4</v>
      </c>
      <c r="K105" s="11">
        <v>57.43</v>
      </c>
      <c r="L105" s="16">
        <f t="shared" si="11"/>
        <v>5168.7000000008447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>
        <v>2</v>
      </c>
      <c r="W105" s="12"/>
      <c r="X105" s="11"/>
      <c r="Y105" s="11"/>
      <c r="Z105" s="11"/>
      <c r="AA105" s="11"/>
      <c r="AB105" s="11"/>
      <c r="AC105" s="11">
        <v>1</v>
      </c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/>
      <c r="F106" s="8" t="s">
        <v>42</v>
      </c>
      <c r="G106" s="9"/>
      <c r="H106" s="9"/>
      <c r="I106" s="10">
        <f t="shared" si="10"/>
        <v>0</v>
      </c>
      <c r="J106" s="11"/>
      <c r="K106" s="11"/>
      <c r="L106" s="16" t="str">
        <f t="shared" si="11"/>
        <v>0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201" t="s">
        <v>177</v>
      </c>
      <c r="E107" s="19" t="s">
        <v>178</v>
      </c>
      <c r="F107" s="8" t="s">
        <v>42</v>
      </c>
      <c r="G107" s="9">
        <v>0.54861111111111116</v>
      </c>
      <c r="H107" s="9">
        <v>0.55138888888888893</v>
      </c>
      <c r="I107" s="10">
        <f t="shared" si="10"/>
        <v>2.7777777777777679E-3</v>
      </c>
      <c r="J107" s="11">
        <v>4</v>
      </c>
      <c r="K107" s="11">
        <v>47.58</v>
      </c>
      <c r="L107" s="16">
        <f t="shared" si="11"/>
        <v>178.42500000000064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>
        <v>2</v>
      </c>
      <c r="W107" s="12"/>
      <c r="X107" s="11"/>
      <c r="Y107" s="11"/>
      <c r="Z107" s="11"/>
      <c r="AA107" s="11"/>
      <c r="AB107" s="11">
        <v>4</v>
      </c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179</v>
      </c>
      <c r="F108" s="8" t="s">
        <v>42</v>
      </c>
      <c r="G108" s="9">
        <v>0.5541666666666667</v>
      </c>
      <c r="H108" s="9">
        <v>0.55694444444444446</v>
      </c>
      <c r="I108" s="10">
        <f t="shared" si="10"/>
        <v>2.7777777777777679E-3</v>
      </c>
      <c r="J108" s="11">
        <v>4</v>
      </c>
      <c r="K108" s="11">
        <v>46.7</v>
      </c>
      <c r="L108" s="16">
        <f t="shared" si="11"/>
        <v>175.12500000000065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>
        <v>2</v>
      </c>
      <c r="X108" s="11"/>
      <c r="Y108" s="11"/>
      <c r="Z108" s="11"/>
      <c r="AA108" s="11"/>
      <c r="AB108" s="11"/>
      <c r="AC108" s="11"/>
      <c r="AD108" s="11">
        <v>4</v>
      </c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180</v>
      </c>
      <c r="F109" s="8" t="s">
        <v>42</v>
      </c>
      <c r="G109" s="9">
        <v>0.55972222222222223</v>
      </c>
      <c r="H109" s="9">
        <v>0.5625</v>
      </c>
      <c r="I109" s="10">
        <f t="shared" si="10"/>
        <v>2.7777777777777679E-3</v>
      </c>
      <c r="J109" s="11">
        <v>4</v>
      </c>
      <c r="K109" s="11">
        <v>46.46</v>
      </c>
      <c r="L109" s="16">
        <f t="shared" si="11"/>
        <v>174.22500000000062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>
        <v>2</v>
      </c>
      <c r="W109" s="12"/>
      <c r="X109" s="11"/>
      <c r="Y109" s="11"/>
      <c r="Z109" s="11"/>
      <c r="AA109" s="11"/>
      <c r="AB109" s="11">
        <v>4</v>
      </c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181</v>
      </c>
      <c r="F110" s="8" t="s">
        <v>42</v>
      </c>
      <c r="G110" s="9">
        <v>0.56458333333333333</v>
      </c>
      <c r="H110" s="9">
        <v>0.56736111111111109</v>
      </c>
      <c r="I110" s="10">
        <f t="shared" si="10"/>
        <v>2.7777777777777679E-3</v>
      </c>
      <c r="J110" s="11">
        <v>4</v>
      </c>
      <c r="K110" s="11">
        <v>42.94</v>
      </c>
      <c r="L110" s="16">
        <f t="shared" si="11"/>
        <v>161.02500000000057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>
        <v>2</v>
      </c>
      <c r="X110" s="11"/>
      <c r="Y110" s="11"/>
      <c r="Z110" s="11"/>
      <c r="AA110" s="11"/>
      <c r="AB110" s="11"/>
      <c r="AC110" s="11"/>
      <c r="AD110" s="11">
        <v>4</v>
      </c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182</v>
      </c>
      <c r="F111" s="8" t="s">
        <v>42</v>
      </c>
      <c r="G111" s="9">
        <v>0.57013888888888886</v>
      </c>
      <c r="H111" s="9">
        <v>0.57291666666666663</v>
      </c>
      <c r="I111" s="10">
        <f t="shared" si="10"/>
        <v>2.7777777777777679E-3</v>
      </c>
      <c r="J111" s="11">
        <v>4</v>
      </c>
      <c r="K111" s="11">
        <v>45.54</v>
      </c>
      <c r="L111" s="16">
        <f t="shared" si="11"/>
        <v>170.77500000000063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>
        <v>2</v>
      </c>
      <c r="W111" s="12"/>
      <c r="X111" s="11"/>
      <c r="Y111" s="11"/>
      <c r="Z111" s="11"/>
      <c r="AA111" s="11"/>
      <c r="AB111" s="11">
        <v>4</v>
      </c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183</v>
      </c>
      <c r="F112" s="8" t="s">
        <v>42</v>
      </c>
      <c r="G112" s="9">
        <v>0.57430555555555551</v>
      </c>
      <c r="H112" s="9">
        <v>0.57708333333333328</v>
      </c>
      <c r="I112" s="10">
        <f t="shared" si="10"/>
        <v>2.7777777777777679E-3</v>
      </c>
      <c r="J112" s="11">
        <v>4</v>
      </c>
      <c r="K112" s="11">
        <v>47.5</v>
      </c>
      <c r="L112" s="16">
        <f t="shared" si="11"/>
        <v>178.12500000000065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>
        <v>2</v>
      </c>
      <c r="X112" s="11"/>
      <c r="Y112" s="11"/>
      <c r="Z112" s="11"/>
      <c r="AA112" s="11"/>
      <c r="AB112" s="11"/>
      <c r="AC112" s="11"/>
      <c r="AD112" s="11">
        <v>4</v>
      </c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9" t="s">
        <v>184</v>
      </c>
      <c r="F113" s="8" t="s">
        <v>42</v>
      </c>
      <c r="G113" s="9">
        <v>0.57916666666666672</v>
      </c>
      <c r="H113" s="9">
        <v>0.58194444444444449</v>
      </c>
      <c r="I113" s="10">
        <f t="shared" si="10"/>
        <v>2.7777777777777679E-3</v>
      </c>
      <c r="J113" s="11">
        <v>4</v>
      </c>
      <c r="K113" s="11">
        <v>46.27</v>
      </c>
      <c r="L113" s="16">
        <f t="shared" si="11"/>
        <v>173.51250000000061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>
        <v>2</v>
      </c>
      <c r="W113" s="12"/>
      <c r="X113" s="11"/>
      <c r="Y113" s="11"/>
      <c r="Z113" s="11"/>
      <c r="AA113" s="11"/>
      <c r="AB113" s="11">
        <v>4</v>
      </c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 t="s">
        <v>185</v>
      </c>
      <c r="F114" s="8" t="s">
        <v>42</v>
      </c>
      <c r="G114" s="9">
        <v>0.58333333333333337</v>
      </c>
      <c r="H114" s="9">
        <v>0.58611111111111114</v>
      </c>
      <c r="I114" s="10">
        <f t="shared" si="10"/>
        <v>2.7777777777777679E-3</v>
      </c>
      <c r="J114" s="11">
        <v>4</v>
      </c>
      <c r="K114" s="11">
        <v>50.04</v>
      </c>
      <c r="L114" s="16">
        <f t="shared" si="11"/>
        <v>187.65000000000066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>
        <v>2</v>
      </c>
      <c r="X114" s="11"/>
      <c r="Y114" s="11"/>
      <c r="Z114" s="11"/>
      <c r="AA114" s="11"/>
      <c r="AB114" s="11"/>
      <c r="AC114" s="11"/>
      <c r="AD114" s="11">
        <v>4</v>
      </c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9" t="s">
        <v>186</v>
      </c>
      <c r="F115" s="8" t="s">
        <v>42</v>
      </c>
      <c r="G115" s="9">
        <v>0.58819444444444446</v>
      </c>
      <c r="H115" s="9">
        <v>0.59097222222222223</v>
      </c>
      <c r="I115" s="10">
        <f t="shared" si="10"/>
        <v>2.7777777777777679E-3</v>
      </c>
      <c r="J115" s="11">
        <v>4</v>
      </c>
      <c r="K115" s="11">
        <v>43.78</v>
      </c>
      <c r="L115" s="16">
        <f t="shared" si="11"/>
        <v>164.17500000000058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>
        <v>2</v>
      </c>
      <c r="W115" s="12"/>
      <c r="X115" s="11"/>
      <c r="Y115" s="11"/>
      <c r="Z115" s="11"/>
      <c r="AA115" s="11"/>
      <c r="AB115" s="11">
        <v>4</v>
      </c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2:38" ht="25.05" customHeight="1">
      <c r="B116" s="13"/>
      <c r="C116" s="29"/>
      <c r="D116" s="30"/>
      <c r="E116" s="19" t="s">
        <v>187</v>
      </c>
      <c r="F116" s="8" t="s">
        <v>42</v>
      </c>
      <c r="G116" s="9">
        <v>0.59305555555555556</v>
      </c>
      <c r="H116" s="9">
        <v>0.59583333333333333</v>
      </c>
      <c r="I116" s="10">
        <f t="shared" si="10"/>
        <v>2.7777777777777679E-3</v>
      </c>
      <c r="J116" s="11">
        <v>4</v>
      </c>
      <c r="K116" s="11">
        <v>46.74</v>
      </c>
      <c r="L116" s="16">
        <f t="shared" si="11"/>
        <v>175.27500000000063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2</v>
      </c>
      <c r="X116" s="11"/>
      <c r="Y116" s="11"/>
      <c r="Z116" s="11"/>
      <c r="AA116" s="11"/>
      <c r="AB116" s="11"/>
      <c r="AC116" s="11"/>
      <c r="AD116" s="11">
        <v>4</v>
      </c>
      <c r="AE116" s="11"/>
      <c r="AF116" s="11"/>
      <c r="AG116" s="11"/>
      <c r="AH116" s="11"/>
      <c r="AI116" s="11"/>
      <c r="AJ116" s="11"/>
      <c r="AK116" s="11"/>
      <c r="AL116" s="14"/>
    </row>
    <row r="117" spans="2:38" ht="25.05" customHeight="1">
      <c r="B117" s="13"/>
      <c r="C117" s="29"/>
      <c r="D117" s="30"/>
      <c r="E117" s="176" t="s">
        <v>188</v>
      </c>
      <c r="F117" s="8" t="s">
        <v>42</v>
      </c>
      <c r="G117" s="9">
        <v>0.59722222222222221</v>
      </c>
      <c r="H117" s="9">
        <v>0.6</v>
      </c>
      <c r="I117" s="10">
        <f t="shared" ref="I117:I141" si="15">H117-G117</f>
        <v>2.7777777777777679E-3</v>
      </c>
      <c r="J117" s="11">
        <v>4</v>
      </c>
      <c r="K117" s="11">
        <v>45.96</v>
      </c>
      <c r="L117" s="16">
        <f t="shared" ref="L117:L141" si="16">IFERROR(((K117/(J117*I117)/24)),"0")</f>
        <v>172.35000000000062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>
        <v>2</v>
      </c>
      <c r="W117" s="12"/>
      <c r="X117" s="11"/>
      <c r="Y117" s="11"/>
      <c r="Z117" s="11"/>
      <c r="AA117" s="11"/>
      <c r="AB117" s="11">
        <v>4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2:38" ht="25.05" customHeight="1">
      <c r="B118" s="13"/>
      <c r="C118" s="29"/>
      <c r="D118" s="30"/>
      <c r="E118" s="19" t="s">
        <v>189</v>
      </c>
      <c r="F118" s="8" t="s">
        <v>42</v>
      </c>
      <c r="G118" s="9">
        <v>0.39374999999999999</v>
      </c>
      <c r="H118" s="9">
        <v>0.42222222222222222</v>
      </c>
      <c r="I118" s="10">
        <f t="shared" si="15"/>
        <v>2.8472222222222232E-2</v>
      </c>
      <c r="J118" s="11">
        <v>3</v>
      </c>
      <c r="K118" s="11">
        <v>126</v>
      </c>
      <c r="L118" s="16">
        <f t="shared" si="16"/>
        <v>61.463414634146318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>
        <v>2</v>
      </c>
      <c r="X118" s="11"/>
      <c r="Y118" s="11"/>
      <c r="Z118" s="11"/>
      <c r="AA118" s="11"/>
      <c r="AB118" s="11"/>
      <c r="AC118" s="11">
        <v>41</v>
      </c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2:38" ht="25.05" customHeight="1">
      <c r="B119" s="13"/>
      <c r="C119" s="29"/>
      <c r="D119" s="30"/>
      <c r="E119" s="176" t="s">
        <v>190</v>
      </c>
      <c r="F119" s="8" t="s">
        <v>42</v>
      </c>
      <c r="G119" s="9">
        <v>0.59305555555555556</v>
      </c>
      <c r="H119" s="9">
        <v>0.60277777777777775</v>
      </c>
      <c r="I119" s="10">
        <f t="shared" si="15"/>
        <v>9.7222222222221877E-3</v>
      </c>
      <c r="J119" s="11">
        <v>4</v>
      </c>
      <c r="K119" s="11">
        <v>31.97</v>
      </c>
      <c r="L119" s="16">
        <f t="shared" si="16"/>
        <v>34.253571428571547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>
        <v>2</v>
      </c>
      <c r="W119" s="12"/>
      <c r="X119" s="11"/>
      <c r="Y119" s="11"/>
      <c r="Z119" s="11"/>
      <c r="AA119" s="11">
        <v>14</v>
      </c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/>
      <c r="E120" s="19"/>
      <c r="F120" s="8" t="s">
        <v>42</v>
      </c>
      <c r="G120" s="9"/>
      <c r="H120" s="9"/>
      <c r="I120" s="10">
        <f t="shared" si="15"/>
        <v>0</v>
      </c>
      <c r="J120" s="11"/>
      <c r="K120" s="11"/>
      <c r="L120" s="16" t="str">
        <f t="shared" si="16"/>
        <v>0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/>
      <c r="F121" s="8" t="s">
        <v>42</v>
      </c>
      <c r="G121" s="9"/>
      <c r="H121" s="9"/>
      <c r="I121" s="10">
        <f t="shared" si="15"/>
        <v>0</v>
      </c>
      <c r="J121" s="11"/>
      <c r="K121" s="11"/>
      <c r="L121" s="16" t="str">
        <f t="shared" si="16"/>
        <v>0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183" t="s">
        <v>191</v>
      </c>
      <c r="E122" s="19" t="s">
        <v>192</v>
      </c>
      <c r="F122" s="8" t="s">
        <v>42</v>
      </c>
      <c r="G122" s="9">
        <v>0.6020833333333333</v>
      </c>
      <c r="H122" s="9">
        <v>0.60486111111111107</v>
      </c>
      <c r="I122" s="10">
        <f t="shared" si="15"/>
        <v>2.7777777777777679E-3</v>
      </c>
      <c r="J122" s="11">
        <v>4</v>
      </c>
      <c r="K122" s="11">
        <v>39.83</v>
      </c>
      <c r="L122" s="16">
        <f t="shared" si="16"/>
        <v>149.36250000000052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>
        <v>2</v>
      </c>
      <c r="W122" s="12"/>
      <c r="X122" s="11"/>
      <c r="Y122" s="11"/>
      <c r="Z122" s="11"/>
      <c r="AA122" s="11"/>
      <c r="AB122" s="11"/>
      <c r="AC122" s="11"/>
      <c r="AD122" s="11">
        <v>4</v>
      </c>
      <c r="AE122" s="11"/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/>
      <c r="E123" s="19" t="s">
        <v>193</v>
      </c>
      <c r="F123" s="8" t="s">
        <v>42</v>
      </c>
      <c r="G123" s="9">
        <v>0.60833333333333328</v>
      </c>
      <c r="H123" s="9">
        <v>0.61111111111111116</v>
      </c>
      <c r="I123" s="10">
        <f t="shared" si="15"/>
        <v>2.7777777777778789E-3</v>
      </c>
      <c r="J123" s="11">
        <v>4</v>
      </c>
      <c r="K123" s="11">
        <v>38.81</v>
      </c>
      <c r="L123" s="16">
        <f t="shared" si="16"/>
        <v>145.53749999999471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/>
      <c r="W123" s="12">
        <v>2</v>
      </c>
      <c r="X123" s="11"/>
      <c r="Y123" s="11"/>
      <c r="Z123" s="11"/>
      <c r="AA123" s="11"/>
      <c r="AB123" s="11">
        <v>4</v>
      </c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2:38" ht="25.05" customHeight="1">
      <c r="B124" s="13"/>
      <c r="C124" s="29"/>
      <c r="D124" s="30"/>
      <c r="E124" s="19" t="s">
        <v>194</v>
      </c>
      <c r="F124" s="8" t="s">
        <v>42</v>
      </c>
      <c r="G124" s="9">
        <v>0.6118055555555556</v>
      </c>
      <c r="H124" s="9">
        <v>0.61458333333333337</v>
      </c>
      <c r="I124" s="10">
        <f t="shared" si="15"/>
        <v>2.7777777777777679E-3</v>
      </c>
      <c r="J124" s="11">
        <v>4</v>
      </c>
      <c r="K124" s="11">
        <v>39.49</v>
      </c>
      <c r="L124" s="16">
        <f t="shared" si="16"/>
        <v>148.08750000000052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>
        <v>2</v>
      </c>
      <c r="W124" s="12"/>
      <c r="X124" s="11"/>
      <c r="Y124" s="11"/>
      <c r="Z124" s="11"/>
      <c r="AA124" s="11"/>
      <c r="AB124" s="11"/>
      <c r="AC124" s="11"/>
      <c r="AD124" s="11">
        <v>4</v>
      </c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/>
      <c r="E125" s="19" t="s">
        <v>195</v>
      </c>
      <c r="F125" s="8" t="s">
        <v>42</v>
      </c>
      <c r="G125" s="9">
        <v>0.61736111111111114</v>
      </c>
      <c r="H125" s="9">
        <v>0.62013888888888891</v>
      </c>
      <c r="I125" s="10">
        <f t="shared" si="15"/>
        <v>2.7777777777777679E-3</v>
      </c>
      <c r="J125" s="11">
        <v>4</v>
      </c>
      <c r="K125" s="11">
        <v>39.229999999999997</v>
      </c>
      <c r="L125" s="16">
        <f t="shared" si="16"/>
        <v>147.11250000000049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>
        <v>2</v>
      </c>
      <c r="X125" s="11"/>
      <c r="Y125" s="11"/>
      <c r="Z125" s="11"/>
      <c r="AA125" s="11"/>
      <c r="AB125" s="11">
        <v>4</v>
      </c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19" t="s">
        <v>196</v>
      </c>
      <c r="F126" s="8" t="s">
        <v>42</v>
      </c>
      <c r="G126" s="9">
        <v>0.62152777777777779</v>
      </c>
      <c r="H126" s="9">
        <v>0.62430555555555556</v>
      </c>
      <c r="I126" s="10">
        <f t="shared" si="15"/>
        <v>2.7777777777777679E-3</v>
      </c>
      <c r="J126" s="11">
        <v>4</v>
      </c>
      <c r="K126" s="11">
        <v>40.17</v>
      </c>
      <c r="L126" s="16">
        <f t="shared" si="16"/>
        <v>150.63750000000053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>
        <v>2</v>
      </c>
      <c r="W126" s="12"/>
      <c r="X126" s="11"/>
      <c r="Y126" s="11"/>
      <c r="Z126" s="11"/>
      <c r="AA126" s="11"/>
      <c r="AB126" s="11"/>
      <c r="AC126" s="11"/>
      <c r="AD126" s="11">
        <v>4</v>
      </c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0"/>
      <c r="E127" s="19" t="s">
        <v>197</v>
      </c>
      <c r="F127" s="8" t="s">
        <v>42</v>
      </c>
      <c r="G127" s="9">
        <v>0.62638888888888888</v>
      </c>
      <c r="H127" s="9">
        <v>0.62916666666666665</v>
      </c>
      <c r="I127" s="10">
        <f t="shared" si="15"/>
        <v>2.7777777777777679E-3</v>
      </c>
      <c r="J127" s="11">
        <v>4</v>
      </c>
      <c r="K127" s="11">
        <v>38.89</v>
      </c>
      <c r="L127" s="16">
        <f t="shared" si="16"/>
        <v>145.83750000000052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/>
      <c r="W127" s="12">
        <v>2</v>
      </c>
      <c r="X127" s="11"/>
      <c r="Y127" s="11"/>
      <c r="Z127" s="11"/>
      <c r="AA127" s="11"/>
      <c r="AB127" s="11">
        <v>4</v>
      </c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0"/>
      <c r="E128" s="19" t="s">
        <v>198</v>
      </c>
      <c r="F128" s="8" t="s">
        <v>42</v>
      </c>
      <c r="G128" s="9">
        <v>0.63124999999999998</v>
      </c>
      <c r="H128" s="9">
        <v>0.63402777777777775</v>
      </c>
      <c r="I128" s="10">
        <f t="shared" si="15"/>
        <v>2.7777777777777679E-3</v>
      </c>
      <c r="J128" s="11">
        <v>4</v>
      </c>
      <c r="K128" s="11">
        <v>38.74</v>
      </c>
      <c r="L128" s="16">
        <f t="shared" si="16"/>
        <v>145.27500000000052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>
        <v>2</v>
      </c>
      <c r="W128" s="12"/>
      <c r="X128" s="11"/>
      <c r="Y128" s="11"/>
      <c r="Z128" s="11"/>
      <c r="AA128" s="11"/>
      <c r="AB128" s="11"/>
      <c r="AC128" s="11"/>
      <c r="AD128" s="11">
        <v>4</v>
      </c>
      <c r="AE128" s="11"/>
      <c r="AF128" s="11"/>
      <c r="AG128" s="11"/>
      <c r="AH128" s="11"/>
      <c r="AI128" s="11"/>
      <c r="AJ128" s="11"/>
      <c r="AK128" s="11"/>
      <c r="AL128" s="14"/>
    </row>
    <row r="129" spans="1:38" ht="25.05" customHeight="1">
      <c r="B129" s="13"/>
      <c r="C129" s="29"/>
      <c r="D129" s="30"/>
      <c r="E129" s="19" t="s">
        <v>199</v>
      </c>
      <c r="F129" s="8" t="s">
        <v>42</v>
      </c>
      <c r="G129" s="9">
        <v>0.63611111111111107</v>
      </c>
      <c r="H129" s="9">
        <v>0.63888888888888884</v>
      </c>
      <c r="I129" s="10">
        <f t="shared" si="15"/>
        <v>2.7777777777777679E-3</v>
      </c>
      <c r="J129" s="11">
        <v>4</v>
      </c>
      <c r="K129" s="11">
        <v>35.21</v>
      </c>
      <c r="L129" s="16">
        <f t="shared" si="16"/>
        <v>132.03750000000048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/>
      <c r="W129" s="12">
        <v>2</v>
      </c>
      <c r="X129" s="11"/>
      <c r="Y129" s="11"/>
      <c r="Z129" s="11"/>
      <c r="AA129" s="11"/>
      <c r="AB129" s="11">
        <v>4</v>
      </c>
      <c r="AC129" s="11"/>
      <c r="AD129" s="11"/>
      <c r="AE129" s="11"/>
      <c r="AF129" s="11"/>
      <c r="AG129" s="11"/>
      <c r="AH129" s="11"/>
      <c r="AI129" s="11"/>
      <c r="AJ129" s="11"/>
      <c r="AK129" s="11"/>
      <c r="AL129" s="14"/>
    </row>
    <row r="130" spans="1:38" ht="25.05" customHeight="1">
      <c r="B130" s="13"/>
      <c r="C130" s="29"/>
      <c r="D130" s="30"/>
      <c r="E130" s="19" t="s">
        <v>200</v>
      </c>
      <c r="F130" s="8" t="s">
        <v>42</v>
      </c>
      <c r="G130" s="9">
        <v>0.64097222222222228</v>
      </c>
      <c r="H130" s="9">
        <v>0.64375000000000004</v>
      </c>
      <c r="I130" s="10">
        <f t="shared" si="15"/>
        <v>2.7777777777777679E-3</v>
      </c>
      <c r="J130" s="11">
        <v>4</v>
      </c>
      <c r="K130" s="11">
        <v>39.130000000000003</v>
      </c>
      <c r="L130" s="16">
        <f t="shared" si="16"/>
        <v>146.73750000000052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>
        <v>2</v>
      </c>
      <c r="W130" s="12"/>
      <c r="X130" s="11"/>
      <c r="Y130" s="11"/>
      <c r="Z130" s="11"/>
      <c r="AA130" s="11"/>
      <c r="AB130" s="11"/>
      <c r="AC130" s="11"/>
      <c r="AD130" s="11">
        <v>4</v>
      </c>
      <c r="AE130" s="11"/>
      <c r="AF130" s="11"/>
      <c r="AG130" s="11"/>
      <c r="AH130" s="11"/>
      <c r="AI130" s="11"/>
      <c r="AJ130" s="11"/>
      <c r="AK130" s="11"/>
      <c r="AL130" s="14"/>
    </row>
    <row r="131" spans="1:38" ht="25.05" customHeight="1">
      <c r="B131" s="13"/>
      <c r="C131" s="29"/>
      <c r="D131" s="30"/>
      <c r="E131" s="19"/>
      <c r="F131" s="8" t="s">
        <v>42</v>
      </c>
      <c r="G131" s="9"/>
      <c r="H131" s="9"/>
      <c r="I131" s="10">
        <f t="shared" si="15"/>
        <v>0</v>
      </c>
      <c r="J131" s="11"/>
      <c r="K131" s="11"/>
      <c r="L131" s="16" t="str">
        <f t="shared" si="16"/>
        <v>0</v>
      </c>
      <c r="M131" s="11"/>
      <c r="N131" s="11"/>
      <c r="O131" s="11"/>
      <c r="P131" s="11"/>
      <c r="Q131" s="11"/>
      <c r="R131" s="12"/>
      <c r="S131" s="12"/>
      <c r="T131" s="11"/>
      <c r="U131" s="11"/>
      <c r="V131" s="12"/>
      <c r="W131" s="12">
        <v>2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spans="1:38" ht="25.05" customHeight="1">
      <c r="B132" s="13"/>
      <c r="C132" s="29"/>
      <c r="D132" s="6" t="s">
        <v>102</v>
      </c>
      <c r="E132" s="19" t="s">
        <v>201</v>
      </c>
      <c r="F132" s="8" t="s">
        <v>42</v>
      </c>
      <c r="G132" s="9">
        <v>0.38958333333333334</v>
      </c>
      <c r="H132" s="9">
        <v>0.42569444444444443</v>
      </c>
      <c r="I132" s="10">
        <f t="shared" si="15"/>
        <v>3.6111111111111094E-2</v>
      </c>
      <c r="J132" s="11">
        <v>2</v>
      </c>
      <c r="K132" s="11">
        <f>0.03*4680</f>
        <v>140.4</v>
      </c>
      <c r="L132" s="16">
        <f t="shared" si="16"/>
        <v>81.000000000000043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>
        <v>3</v>
      </c>
      <c r="W132" s="12"/>
      <c r="X132" s="11"/>
      <c r="Y132" s="11"/>
      <c r="Z132" s="11">
        <v>52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spans="1:38" ht="25.05" customHeight="1">
      <c r="B133" s="13"/>
      <c r="C133" s="29"/>
      <c r="D133" s="30"/>
      <c r="E133" s="19" t="s">
        <v>202</v>
      </c>
      <c r="F133" s="8" t="s">
        <v>42</v>
      </c>
      <c r="G133" s="9">
        <v>0.42708333333333331</v>
      </c>
      <c r="H133" s="9">
        <v>0.45069444444444445</v>
      </c>
      <c r="I133" s="10">
        <f t="shared" si="15"/>
        <v>2.3611111111111138E-2</v>
      </c>
      <c r="J133" s="11">
        <v>2</v>
      </c>
      <c r="K133" s="11">
        <f>0.03*4680</f>
        <v>140.4</v>
      </c>
      <c r="L133" s="16">
        <f t="shared" si="16"/>
        <v>123.88235294117634</v>
      </c>
      <c r="M133" s="11"/>
      <c r="N133" s="11"/>
      <c r="O133" s="11"/>
      <c r="P133" s="11"/>
      <c r="Q133" s="11"/>
      <c r="R133" s="12"/>
      <c r="S133" s="12"/>
      <c r="T133" s="11"/>
      <c r="U133" s="11"/>
      <c r="V133" s="12"/>
      <c r="W133" s="12">
        <v>3</v>
      </c>
      <c r="X133" s="11"/>
      <c r="Y133" s="11"/>
      <c r="Z133" s="11">
        <v>34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4"/>
    </row>
    <row r="134" spans="1:38" ht="25.05" customHeight="1">
      <c r="B134" s="13"/>
      <c r="C134" s="29"/>
      <c r="D134" s="30"/>
      <c r="E134" s="19" t="s">
        <v>203</v>
      </c>
      <c r="F134" s="8" t="s">
        <v>42</v>
      </c>
      <c r="G134" s="9">
        <v>0.45277777777777778</v>
      </c>
      <c r="H134" s="9">
        <v>0.49375000000000002</v>
      </c>
      <c r="I134" s="10">
        <f t="shared" si="15"/>
        <v>4.0972222222222243E-2</v>
      </c>
      <c r="J134" s="11">
        <v>2</v>
      </c>
      <c r="K134" s="11">
        <f>0.03*4700</f>
        <v>141</v>
      </c>
      <c r="L134" s="16">
        <f t="shared" si="16"/>
        <v>71.694915254237245</v>
      </c>
      <c r="M134" s="11"/>
      <c r="N134" s="11"/>
      <c r="O134" s="11"/>
      <c r="P134" s="11"/>
      <c r="Q134" s="11"/>
      <c r="R134" s="12"/>
      <c r="S134" s="12"/>
      <c r="T134" s="11"/>
      <c r="U134" s="11"/>
      <c r="V134" s="12">
        <v>3</v>
      </c>
      <c r="W134" s="12"/>
      <c r="X134" s="11"/>
      <c r="Y134" s="11"/>
      <c r="Z134" s="11">
        <v>59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spans="1:38" ht="25.05" customHeight="1">
      <c r="B135" s="13"/>
      <c r="C135" s="29"/>
      <c r="D135" s="30"/>
      <c r="E135" s="19" t="s">
        <v>204</v>
      </c>
      <c r="F135" s="8" t="s">
        <v>42</v>
      </c>
      <c r="G135" s="9">
        <v>0.57291666666666663</v>
      </c>
      <c r="H135" s="9">
        <v>0.6</v>
      </c>
      <c r="I135" s="10">
        <f t="shared" si="15"/>
        <v>2.7083333333333348E-2</v>
      </c>
      <c r="J135" s="11">
        <v>2</v>
      </c>
      <c r="K135" s="11">
        <v>144</v>
      </c>
      <c r="L135" s="16">
        <f t="shared" si="16"/>
        <v>110.76923076923072</v>
      </c>
      <c r="M135" s="11"/>
      <c r="N135" s="11"/>
      <c r="O135" s="11"/>
      <c r="P135" s="11"/>
      <c r="Q135" s="11"/>
      <c r="R135" s="12"/>
      <c r="S135" s="12"/>
      <c r="T135" s="11"/>
      <c r="U135" s="11"/>
      <c r="V135" s="12"/>
      <c r="W135" s="12">
        <v>3</v>
      </c>
      <c r="X135" s="11"/>
      <c r="Y135" s="11"/>
      <c r="Z135" s="11">
        <v>39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4"/>
    </row>
    <row r="136" spans="1:38" ht="25.05" customHeight="1">
      <c r="B136" s="13"/>
      <c r="C136" s="29"/>
      <c r="D136" s="30"/>
      <c r="E136" s="19" t="s">
        <v>205</v>
      </c>
      <c r="F136" s="8" t="s">
        <v>42</v>
      </c>
      <c r="G136" s="9">
        <v>0.6020833333333333</v>
      </c>
      <c r="H136" s="9">
        <v>0.63611111111111107</v>
      </c>
      <c r="I136" s="10">
        <f t="shared" si="15"/>
        <v>3.4027777777777768E-2</v>
      </c>
      <c r="J136" s="11">
        <v>2</v>
      </c>
      <c r="K136" s="11">
        <v>141</v>
      </c>
      <c r="L136" s="16">
        <f t="shared" si="16"/>
        <v>86.326530612244923</v>
      </c>
      <c r="M136" s="11"/>
      <c r="N136" s="11"/>
      <c r="O136" s="11"/>
      <c r="P136" s="11"/>
      <c r="Q136" s="11"/>
      <c r="R136" s="12"/>
      <c r="S136" s="12"/>
      <c r="T136" s="11"/>
      <c r="U136" s="11"/>
      <c r="V136" s="12">
        <v>3</v>
      </c>
      <c r="W136" s="12"/>
      <c r="X136" s="11"/>
      <c r="Y136" s="11"/>
      <c r="Z136" s="11">
        <v>49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4"/>
    </row>
    <row r="137" spans="1:38" ht="25.05" customHeight="1">
      <c r="B137" s="13"/>
      <c r="C137" s="29"/>
      <c r="D137" s="30"/>
      <c r="E137" s="19" t="s">
        <v>206</v>
      </c>
      <c r="F137" s="8" t="s">
        <v>42</v>
      </c>
      <c r="G137" s="9">
        <v>0.63749999999999996</v>
      </c>
      <c r="H137" s="9">
        <v>0.65555555555555556</v>
      </c>
      <c r="I137" s="10">
        <f t="shared" si="15"/>
        <v>1.8055555555555602E-2</v>
      </c>
      <c r="J137" s="11">
        <v>2</v>
      </c>
      <c r="K137" s="11">
        <v>141</v>
      </c>
      <c r="L137" s="16">
        <f t="shared" si="16"/>
        <v>162.69230769230725</v>
      </c>
      <c r="M137" s="11"/>
      <c r="N137" s="11"/>
      <c r="O137" s="11"/>
      <c r="P137" s="11"/>
      <c r="Q137" s="11"/>
      <c r="R137" s="12"/>
      <c r="S137" s="12"/>
      <c r="T137" s="11"/>
      <c r="U137" s="11"/>
      <c r="V137" s="12"/>
      <c r="W137" s="12">
        <v>3</v>
      </c>
      <c r="X137" s="11"/>
      <c r="Y137" s="11">
        <v>13</v>
      </c>
      <c r="Z137" s="11">
        <v>13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4"/>
    </row>
    <row r="138" spans="1:38" ht="25.05" customHeight="1">
      <c r="B138" s="13"/>
      <c r="C138" s="29"/>
      <c r="D138" s="30"/>
      <c r="E138" s="19" t="s">
        <v>207</v>
      </c>
      <c r="F138" s="8" t="s">
        <v>42</v>
      </c>
      <c r="G138" s="9">
        <v>0.65694444444444444</v>
      </c>
      <c r="H138" s="9">
        <v>0.67638888888888893</v>
      </c>
      <c r="I138" s="10">
        <f t="shared" si="15"/>
        <v>1.9444444444444486E-2</v>
      </c>
      <c r="J138" s="11">
        <v>2</v>
      </c>
      <c r="K138" s="11">
        <v>141</v>
      </c>
      <c r="L138" s="16">
        <f t="shared" si="16"/>
        <v>151.07142857142824</v>
      </c>
      <c r="M138" s="11"/>
      <c r="N138" s="11"/>
      <c r="O138" s="11"/>
      <c r="P138" s="11"/>
      <c r="Q138" s="11"/>
      <c r="R138" s="12"/>
      <c r="S138" s="12"/>
      <c r="T138" s="11"/>
      <c r="U138" s="11"/>
      <c r="V138" s="12">
        <v>3</v>
      </c>
      <c r="W138" s="12"/>
      <c r="X138" s="11"/>
      <c r="Y138" s="11">
        <v>14</v>
      </c>
      <c r="Z138" s="11">
        <v>14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4"/>
    </row>
    <row r="139" spans="1:38" ht="25.05" customHeight="1">
      <c r="B139" s="13"/>
      <c r="C139" s="29"/>
      <c r="D139" s="30"/>
      <c r="E139" s="19" t="s">
        <v>208</v>
      </c>
      <c r="F139" s="8" t="s">
        <v>42</v>
      </c>
      <c r="G139" s="9">
        <v>0.67847222222222225</v>
      </c>
      <c r="H139" s="9">
        <v>0.69652777777777775</v>
      </c>
      <c r="I139" s="10">
        <f t="shared" si="15"/>
        <v>1.8055555555555491E-2</v>
      </c>
      <c r="J139" s="11">
        <v>2</v>
      </c>
      <c r="K139" s="11">
        <v>162.78</v>
      </c>
      <c r="L139" s="16">
        <f t="shared" si="16"/>
        <v>187.82307692307759</v>
      </c>
      <c r="M139" s="11"/>
      <c r="N139" s="11"/>
      <c r="O139" s="11"/>
      <c r="P139" s="11"/>
      <c r="Q139" s="11"/>
      <c r="R139" s="12"/>
      <c r="S139" s="12"/>
      <c r="T139" s="11"/>
      <c r="U139" s="11"/>
      <c r="V139" s="12"/>
      <c r="W139" s="12">
        <v>3</v>
      </c>
      <c r="X139" s="11"/>
      <c r="Y139" s="11">
        <v>13</v>
      </c>
      <c r="Z139" s="11">
        <v>13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4"/>
    </row>
    <row r="140" spans="1:38" ht="25.05" customHeight="1">
      <c r="B140" s="13"/>
      <c r="C140" s="29"/>
      <c r="D140" s="30"/>
      <c r="E140" s="19"/>
      <c r="F140" s="8" t="s">
        <v>42</v>
      </c>
      <c r="G140" s="9"/>
      <c r="H140" s="9"/>
      <c r="I140" s="10">
        <f t="shared" si="15"/>
        <v>0</v>
      </c>
      <c r="J140" s="11"/>
      <c r="K140" s="11"/>
      <c r="L140" s="16" t="str">
        <f t="shared" si="16"/>
        <v>0</v>
      </c>
      <c r="M140" s="11"/>
      <c r="N140" s="11"/>
      <c r="O140" s="11"/>
      <c r="P140" s="11"/>
      <c r="Q140" s="11"/>
      <c r="R140" s="12"/>
      <c r="S140" s="12"/>
      <c r="T140" s="11"/>
      <c r="U140" s="11"/>
      <c r="V140" s="12"/>
      <c r="W140" s="12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4"/>
    </row>
    <row r="141" spans="1:38" ht="25.05" customHeight="1">
      <c r="B141" s="13"/>
      <c r="C141" s="29"/>
      <c r="D141" s="30"/>
      <c r="E141" s="19"/>
      <c r="F141" s="8" t="s">
        <v>42</v>
      </c>
      <c r="G141" s="9"/>
      <c r="H141" s="9"/>
      <c r="I141" s="10">
        <f t="shared" si="15"/>
        <v>0</v>
      </c>
      <c r="J141" s="11"/>
      <c r="K141" s="11"/>
      <c r="L141" s="16" t="str">
        <f t="shared" si="16"/>
        <v>0</v>
      </c>
      <c r="M141" s="11"/>
      <c r="N141" s="11"/>
      <c r="O141" s="11"/>
      <c r="P141" s="11"/>
      <c r="Q141" s="11"/>
      <c r="R141" s="12"/>
      <c r="S141" s="12"/>
      <c r="T141" s="11"/>
      <c r="U141" s="11"/>
      <c r="V141" s="12"/>
      <c r="W141" s="12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4"/>
    </row>
    <row r="142" spans="1:38" s="28" customFormat="1" ht="25.5" customHeight="1">
      <c r="A142" s="2"/>
      <c r="B142" s="32"/>
      <c r="C142" s="33"/>
      <c r="D142" s="34"/>
      <c r="E142" s="35"/>
      <c r="F142" s="188" t="s">
        <v>42</v>
      </c>
      <c r="G142" s="36"/>
      <c r="H142" s="36"/>
      <c r="I142" s="37"/>
      <c r="J142" s="38"/>
      <c r="K142" s="38">
        <f t="shared" ref="K142:AL142" si="17">SUM(K33:K140)</f>
        <v>5475.4099999999989</v>
      </c>
      <c r="L142" s="39">
        <f t="shared" si="17"/>
        <v>151992.42346034897</v>
      </c>
      <c r="M142" s="38">
        <f t="shared" si="17"/>
        <v>0</v>
      </c>
      <c r="N142" s="38">
        <f t="shared" si="17"/>
        <v>0</v>
      </c>
      <c r="O142" s="38">
        <f t="shared" si="17"/>
        <v>0</v>
      </c>
      <c r="P142" s="38">
        <f t="shared" si="17"/>
        <v>0</v>
      </c>
      <c r="Q142" s="38">
        <f t="shared" si="17"/>
        <v>0</v>
      </c>
      <c r="R142" s="38">
        <f t="shared" si="17"/>
        <v>0</v>
      </c>
      <c r="S142" s="38">
        <f t="shared" si="17"/>
        <v>0</v>
      </c>
      <c r="T142" s="38">
        <f t="shared" si="17"/>
        <v>0</v>
      </c>
      <c r="U142" s="38">
        <f t="shared" si="17"/>
        <v>0</v>
      </c>
      <c r="V142" s="38">
        <f t="shared" si="17"/>
        <v>102</v>
      </c>
      <c r="W142" s="38">
        <f t="shared" si="17"/>
        <v>110</v>
      </c>
      <c r="X142" s="38">
        <f t="shared" si="17"/>
        <v>0</v>
      </c>
      <c r="Y142" s="38">
        <f t="shared" si="17"/>
        <v>535</v>
      </c>
      <c r="Z142" s="38">
        <f t="shared" si="17"/>
        <v>453</v>
      </c>
      <c r="AA142" s="38">
        <f t="shared" si="17"/>
        <v>329</v>
      </c>
      <c r="AB142" s="38">
        <f t="shared" si="17"/>
        <v>51</v>
      </c>
      <c r="AC142" s="38">
        <f t="shared" si="17"/>
        <v>69</v>
      </c>
      <c r="AD142" s="38">
        <f t="shared" si="17"/>
        <v>152</v>
      </c>
      <c r="AE142" s="38">
        <f t="shared" si="17"/>
        <v>0</v>
      </c>
      <c r="AF142" s="38">
        <f t="shared" si="17"/>
        <v>0</v>
      </c>
      <c r="AG142" s="38">
        <f t="shared" si="17"/>
        <v>29</v>
      </c>
      <c r="AH142" s="38">
        <f t="shared" si="17"/>
        <v>29</v>
      </c>
      <c r="AI142" s="38">
        <f t="shared" si="17"/>
        <v>29</v>
      </c>
      <c r="AJ142" s="38">
        <f t="shared" si="17"/>
        <v>29</v>
      </c>
      <c r="AK142" s="38">
        <f t="shared" si="17"/>
        <v>0</v>
      </c>
      <c r="AL142" s="38">
        <f t="shared" si="17"/>
        <v>0</v>
      </c>
    </row>
    <row r="143" spans="1:38" ht="38.1" customHeight="1">
      <c r="B143" s="40" t="s">
        <v>45</v>
      </c>
      <c r="C143" s="41"/>
      <c r="D143" s="41"/>
      <c r="E143" s="41"/>
      <c r="F143" s="210" t="s">
        <v>209</v>
      </c>
      <c r="G143" s="41"/>
      <c r="H143" s="41"/>
      <c r="I143" s="41"/>
      <c r="J143" s="41"/>
      <c r="K143" s="42">
        <f>K25+K32+K142</f>
        <v>10193.369999999999</v>
      </c>
      <c r="L143" s="42">
        <f>L25+L32+L142</f>
        <v>153420.85067057598</v>
      </c>
      <c r="M143" s="43">
        <f t="shared" ref="M143:AL143" si="18">(M25+M32+M142)/(480-15-30)</f>
        <v>0.41379310344827586</v>
      </c>
      <c r="N143" s="43">
        <f t="shared" si="18"/>
        <v>0</v>
      </c>
      <c r="O143" s="43">
        <f t="shared" si="18"/>
        <v>5.7471264367816091E-2</v>
      </c>
      <c r="P143" s="43">
        <f t="shared" si="18"/>
        <v>0.40229885057471265</v>
      </c>
      <c r="Q143" s="43">
        <f t="shared" si="18"/>
        <v>0.13793103448275862</v>
      </c>
      <c r="R143" s="43">
        <f t="shared" si="18"/>
        <v>0.5977011494252874</v>
      </c>
      <c r="S143" s="43">
        <f t="shared" si="18"/>
        <v>0.75862068965517238</v>
      </c>
      <c r="T143" s="43">
        <f t="shared" si="18"/>
        <v>0.55172413793103448</v>
      </c>
      <c r="U143" s="43">
        <f t="shared" si="18"/>
        <v>0</v>
      </c>
      <c r="V143" s="43">
        <f t="shared" si="18"/>
        <v>0.23448275862068965</v>
      </c>
      <c r="W143" s="43">
        <f t="shared" si="18"/>
        <v>0.25287356321839083</v>
      </c>
      <c r="X143" s="43">
        <f t="shared" si="18"/>
        <v>0</v>
      </c>
      <c r="Y143" s="43">
        <f t="shared" si="18"/>
        <v>1.2298850574712643</v>
      </c>
      <c r="Z143" s="43">
        <f t="shared" si="18"/>
        <v>1.0413793103448277</v>
      </c>
      <c r="AA143" s="43">
        <f t="shared" si="18"/>
        <v>0.7563218390804598</v>
      </c>
      <c r="AB143" s="43">
        <f t="shared" si="18"/>
        <v>0.11724137931034483</v>
      </c>
      <c r="AC143" s="43">
        <f t="shared" si="18"/>
        <v>0.15862068965517243</v>
      </c>
      <c r="AD143" s="43">
        <f t="shared" si="18"/>
        <v>0.34942528735632183</v>
      </c>
      <c r="AE143" s="43">
        <f t="shared" si="18"/>
        <v>0</v>
      </c>
      <c r="AF143" s="43">
        <f t="shared" si="18"/>
        <v>0</v>
      </c>
      <c r="AG143" s="43">
        <f t="shared" si="18"/>
        <v>6.6666666666666666E-2</v>
      </c>
      <c r="AH143" s="43">
        <f t="shared" si="18"/>
        <v>6.6666666666666666E-2</v>
      </c>
      <c r="AI143" s="43">
        <f t="shared" si="18"/>
        <v>6.6666666666666666E-2</v>
      </c>
      <c r="AJ143" s="43">
        <f t="shared" si="18"/>
        <v>6.6666666666666666E-2</v>
      </c>
      <c r="AK143" s="43">
        <f t="shared" si="18"/>
        <v>0</v>
      </c>
      <c r="AL143" s="43">
        <f t="shared" si="18"/>
        <v>0</v>
      </c>
    </row>
    <row r="144" spans="1:38" ht="25.05" customHeight="1">
      <c r="B144" s="44"/>
      <c r="C144" s="44"/>
      <c r="D144" s="44"/>
      <c r="E144" s="45"/>
      <c r="F144" s="45"/>
      <c r="G144" s="45"/>
      <c r="H144" s="45"/>
      <c r="I144" s="46"/>
      <c r="J144" s="46"/>
      <c r="K144" s="45"/>
      <c r="L144" s="47"/>
      <c r="M144" s="47"/>
      <c r="N144" s="47"/>
      <c r="O144" s="47"/>
      <c r="P144" s="47"/>
      <c r="Q144" s="45"/>
      <c r="R144" s="45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  <c r="AI144" s="45"/>
      <c r="AJ144" s="45"/>
    </row>
    <row r="145" spans="2:36" ht="25.05" customHeight="1">
      <c r="B145" s="44"/>
      <c r="C145" s="44"/>
      <c r="D145" s="44"/>
      <c r="E145" s="45"/>
      <c r="F145" s="45"/>
      <c r="G145" s="45"/>
      <c r="H145" s="45"/>
      <c r="I145" s="48" t="s">
        <v>46</v>
      </c>
      <c r="J145" s="46"/>
      <c r="K145" s="45"/>
      <c r="L145" s="47"/>
      <c r="M145" s="47"/>
      <c r="N145" s="47"/>
      <c r="O145" s="47"/>
      <c r="P145" s="47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</row>
    <row r="146" spans="2:36" ht="25.05" customHeight="1">
      <c r="B146" s="44"/>
      <c r="C146" s="44"/>
      <c r="D146" s="44"/>
      <c r="E146" s="45"/>
      <c r="F146" s="45"/>
      <c r="G146" s="45"/>
      <c r="H146" s="45"/>
      <c r="I146" s="49" t="s">
        <v>47</v>
      </c>
      <c r="J146" s="9">
        <v>0</v>
      </c>
      <c r="K146" s="11">
        <v>10</v>
      </c>
      <c r="L146" s="11" t="s">
        <v>48</v>
      </c>
      <c r="M146" s="47"/>
      <c r="N146" s="14">
        <v>2</v>
      </c>
      <c r="O146" s="14"/>
      <c r="P146" s="14"/>
      <c r="Q146" s="50" t="s">
        <v>49</v>
      </c>
      <c r="R146" s="51"/>
      <c r="S146" s="45"/>
      <c r="T146" s="45"/>
      <c r="U146" s="45"/>
      <c r="V146" s="45"/>
      <c r="W146" s="45"/>
      <c r="X146" s="45"/>
      <c r="Y146" s="45"/>
      <c r="Z146" s="45"/>
      <c r="AA146" s="45"/>
      <c r="AC146" s="45"/>
      <c r="AD146" s="45"/>
      <c r="AE146" s="45"/>
      <c r="AF146" s="45"/>
      <c r="AG146" s="45"/>
      <c r="AH146" s="45"/>
    </row>
    <row r="147" spans="2:36" ht="25.05" customHeight="1">
      <c r="B147" s="44"/>
      <c r="C147" s="44"/>
      <c r="D147" s="44"/>
      <c r="E147" s="45"/>
      <c r="F147" s="45"/>
      <c r="G147" s="45"/>
      <c r="H147" s="45"/>
      <c r="I147" s="49" t="s">
        <v>50</v>
      </c>
      <c r="J147" s="9">
        <v>0</v>
      </c>
      <c r="K147" s="11">
        <v>3</v>
      </c>
      <c r="L147" s="11" t="s">
        <v>48</v>
      </c>
      <c r="M147" s="47"/>
      <c r="N147" s="14">
        <v>3</v>
      </c>
      <c r="O147" s="14"/>
      <c r="P147" s="14"/>
      <c r="Q147" s="50" t="s">
        <v>51</v>
      </c>
      <c r="R147" s="51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</row>
    <row r="148" spans="2:36" ht="25.05" customHeight="1">
      <c r="B148" s="44"/>
      <c r="C148" s="44"/>
      <c r="D148" s="44"/>
      <c r="E148" s="45"/>
      <c r="F148" s="45"/>
      <c r="G148" s="45"/>
      <c r="H148" s="45"/>
      <c r="I148" s="49" t="s">
        <v>52</v>
      </c>
      <c r="J148" s="9">
        <v>0</v>
      </c>
      <c r="K148" s="11">
        <v>17</v>
      </c>
      <c r="L148" s="11" t="s">
        <v>48</v>
      </c>
      <c r="M148" s="47"/>
      <c r="N148" s="14">
        <v>1</v>
      </c>
      <c r="O148" s="14"/>
      <c r="P148" s="14"/>
      <c r="Q148" s="50" t="s">
        <v>53</v>
      </c>
      <c r="R148" s="51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</row>
    <row r="149" spans="2:36" ht="25.05" customHeight="1">
      <c r="B149" s="44"/>
      <c r="C149" s="44"/>
      <c r="D149" s="44"/>
      <c r="E149" s="45"/>
      <c r="F149" s="45"/>
      <c r="G149" s="45"/>
      <c r="H149" s="45"/>
      <c r="I149" s="52" t="s">
        <v>54</v>
      </c>
      <c r="J149" s="53">
        <v>0</v>
      </c>
      <c r="K149" s="11">
        <v>5</v>
      </c>
      <c r="L149" s="54" t="s">
        <v>48</v>
      </c>
      <c r="M149" s="47"/>
      <c r="N149" s="14">
        <v>4</v>
      </c>
      <c r="O149" s="14"/>
      <c r="P149" s="14"/>
      <c r="Q149" s="50" t="s">
        <v>55</v>
      </c>
      <c r="R149" s="51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</row>
    <row r="150" spans="2:36" ht="25.05" customHeight="1">
      <c r="B150" s="44"/>
      <c r="C150" s="44"/>
      <c r="D150" s="44"/>
      <c r="E150" s="45"/>
      <c r="F150" s="45"/>
      <c r="G150" s="45"/>
      <c r="H150" s="45"/>
      <c r="I150" s="49" t="s">
        <v>56</v>
      </c>
      <c r="J150" s="9">
        <v>0</v>
      </c>
      <c r="K150" s="11">
        <f>SUM(K146:K149)</f>
        <v>35</v>
      </c>
      <c r="L150" s="11" t="s">
        <v>48</v>
      </c>
      <c r="M150" s="47"/>
      <c r="N150"/>
      <c r="O150"/>
      <c r="P150"/>
      <c r="Q150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</row>
    <row r="151" spans="2:36" ht="25.05" customHeight="1">
      <c r="B151" s="44"/>
      <c r="C151" s="44"/>
      <c r="D151" s="44"/>
      <c r="E151" s="45"/>
      <c r="F151" s="45"/>
      <c r="G151" s="45"/>
      <c r="H151" s="45"/>
      <c r="M151" s="47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</row>
    <row r="152" spans="2:36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3FACC-8D57-4FD9-98DB-4D40402756C1}">
  <sheetPr>
    <pageSetUpPr fitToPage="1"/>
  </sheetPr>
  <dimension ref="A1:AL105"/>
  <sheetViews>
    <sheetView zoomScale="40" zoomScaleNormal="40" workbookViewId="0">
      <pane xSplit="12" ySplit="3" topLeftCell="T21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46112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0.8125</v>
      </c>
      <c r="I4" s="10">
        <f t="shared" ref="I4:I25" si="0">H4-G4</f>
        <v>2.083333333333337E-2</v>
      </c>
      <c r="J4" s="11">
        <v>7</v>
      </c>
      <c r="K4" s="11">
        <v>0</v>
      </c>
      <c r="L4" s="16">
        <f t="shared" ref="L4:L25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183" t="s">
        <v>210</v>
      </c>
      <c r="E5" s="17" t="s">
        <v>211</v>
      </c>
      <c r="F5" s="8" t="s">
        <v>42</v>
      </c>
      <c r="G5" s="9">
        <v>0.81319444444444444</v>
      </c>
      <c r="H5" s="9">
        <v>0.82291666666666663</v>
      </c>
      <c r="I5" s="10">
        <f t="shared" si="0"/>
        <v>9.7222222222221877E-3</v>
      </c>
      <c r="J5" s="11">
        <v>1</v>
      </c>
      <c r="K5" s="11">
        <v>2.835</v>
      </c>
      <c r="L5" s="16">
        <f t="shared" si="1"/>
        <v>12.150000000000043</v>
      </c>
      <c r="M5" s="11"/>
      <c r="N5" s="11"/>
      <c r="O5" s="11"/>
      <c r="P5" s="11"/>
      <c r="Q5" s="11"/>
      <c r="R5" s="12"/>
      <c r="S5" s="12">
        <v>14</v>
      </c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212</v>
      </c>
      <c r="F6" s="55" t="s">
        <v>213</v>
      </c>
      <c r="G6" s="9">
        <v>0.85486111111111107</v>
      </c>
      <c r="H6" s="9">
        <v>0.90277777777777779</v>
      </c>
      <c r="I6" s="10">
        <f t="shared" si="0"/>
        <v>4.7916666666666718E-2</v>
      </c>
      <c r="J6" s="11">
        <v>5</v>
      </c>
      <c r="K6" s="11">
        <f>46*1</f>
        <v>46</v>
      </c>
      <c r="L6" s="16">
        <f t="shared" si="1"/>
        <v>7.999999999999992</v>
      </c>
      <c r="M6" s="11"/>
      <c r="N6" s="11"/>
      <c r="O6" s="11"/>
      <c r="P6" s="11"/>
      <c r="Q6" s="11"/>
      <c r="R6" s="12"/>
      <c r="S6" s="12">
        <v>69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214</v>
      </c>
      <c r="F7" s="8" t="s">
        <v>42</v>
      </c>
      <c r="G7" s="9">
        <v>2.7777777777777776E-2</v>
      </c>
      <c r="H7" s="9">
        <v>0.11805555555555555</v>
      </c>
      <c r="I7" s="10">
        <f t="shared" si="0"/>
        <v>9.0277777777777776E-2</v>
      </c>
      <c r="J7" s="11">
        <v>7</v>
      </c>
      <c r="K7" s="11">
        <f>46*5</f>
        <v>230</v>
      </c>
      <c r="L7" s="16">
        <f t="shared" si="1"/>
        <v>15.164835164835166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215</v>
      </c>
      <c r="F8" s="8" t="s">
        <v>216</v>
      </c>
      <c r="G8" s="9">
        <v>0.92708333333333337</v>
      </c>
      <c r="H8" s="9">
        <v>0.97916666666666663</v>
      </c>
      <c r="I8" s="10">
        <f t="shared" si="0"/>
        <v>5.2083333333333259E-2</v>
      </c>
      <c r="J8" s="11">
        <v>2</v>
      </c>
      <c r="K8" s="11">
        <f>25.3*10.5</f>
        <v>265.65000000000003</v>
      </c>
      <c r="L8" s="16">
        <f t="shared" si="1"/>
        <v>106.26000000000016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183" t="s">
        <v>191</v>
      </c>
      <c r="E9" s="183" t="s">
        <v>217</v>
      </c>
      <c r="F9" s="8" t="s">
        <v>42</v>
      </c>
      <c r="G9" s="9">
        <v>0.81319444444444444</v>
      </c>
      <c r="H9" s="9">
        <v>0.81666666666666665</v>
      </c>
      <c r="I9" s="10">
        <f t="shared" si="0"/>
        <v>3.4722222222222099E-3</v>
      </c>
      <c r="J9" s="11">
        <v>2</v>
      </c>
      <c r="K9" s="11">
        <f>1.5*4</f>
        <v>6</v>
      </c>
      <c r="L9" s="16">
        <f t="shared" si="1"/>
        <v>36.000000000000128</v>
      </c>
      <c r="M9" s="11">
        <v>5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83" t="s">
        <v>218</v>
      </c>
      <c r="F10" s="8" t="s">
        <v>42</v>
      </c>
      <c r="G10" s="9">
        <v>0.87222222222222223</v>
      </c>
      <c r="H10" s="9">
        <v>0.88541666666666663</v>
      </c>
      <c r="I10" s="10">
        <f t="shared" si="0"/>
        <v>1.3194444444444398E-2</v>
      </c>
      <c r="J10" s="11">
        <v>2</v>
      </c>
      <c r="K10" s="11">
        <f>9.5*4</f>
        <v>38</v>
      </c>
      <c r="L10" s="16">
        <f t="shared" si="1"/>
        <v>60.000000000000206</v>
      </c>
      <c r="M10" s="11">
        <v>19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83" t="s">
        <v>219</v>
      </c>
      <c r="F11" s="8" t="s">
        <v>42</v>
      </c>
      <c r="G11" s="9">
        <v>0.81319444444444444</v>
      </c>
      <c r="H11" s="9">
        <v>0.82638888888888884</v>
      </c>
      <c r="I11" s="10">
        <f t="shared" si="0"/>
        <v>1.3194444444444398E-2</v>
      </c>
      <c r="J11" s="11">
        <v>1</v>
      </c>
      <c r="K11" s="11">
        <v>23</v>
      </c>
      <c r="L11" s="16">
        <f t="shared" si="1"/>
        <v>72.631578947368681</v>
      </c>
      <c r="M11" s="11"/>
      <c r="N11" s="11"/>
      <c r="O11" s="11"/>
      <c r="P11" s="11"/>
      <c r="Q11" s="11"/>
      <c r="R11" s="12"/>
      <c r="S11" s="12">
        <v>19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83" t="s">
        <v>220</v>
      </c>
      <c r="F12" s="55" t="s">
        <v>221</v>
      </c>
      <c r="G12" s="9">
        <v>0.84097222222222223</v>
      </c>
      <c r="H12" s="9">
        <v>0.84722222222222221</v>
      </c>
      <c r="I12" s="10">
        <f t="shared" si="0"/>
        <v>6.2499999999999778E-3</v>
      </c>
      <c r="J12" s="11">
        <v>2</v>
      </c>
      <c r="K12" s="11">
        <f>4.5*4</f>
        <v>18</v>
      </c>
      <c r="L12" s="16">
        <f t="shared" si="1"/>
        <v>60.000000000000206</v>
      </c>
      <c r="M12" s="11">
        <v>9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83" t="s">
        <v>222</v>
      </c>
      <c r="F13" s="55"/>
      <c r="G13" s="9">
        <v>0.81319444444444444</v>
      </c>
      <c r="H13" s="9">
        <v>0.82638888888888884</v>
      </c>
      <c r="I13" s="10">
        <f t="shared" si="0"/>
        <v>1.3194444444444398E-2</v>
      </c>
      <c r="J13" s="11">
        <v>1</v>
      </c>
      <c r="K13" s="11">
        <f>14.8</f>
        <v>14.8</v>
      </c>
      <c r="L13" s="16">
        <f t="shared" si="1"/>
        <v>46.736842105263328</v>
      </c>
      <c r="M13" s="11"/>
      <c r="N13" s="11"/>
      <c r="O13" s="11"/>
      <c r="P13" s="11"/>
      <c r="Q13" s="11"/>
      <c r="R13" s="12"/>
      <c r="S13" s="12">
        <v>19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83" t="s">
        <v>223</v>
      </c>
      <c r="F14" s="55" t="s">
        <v>59</v>
      </c>
      <c r="G14" s="9">
        <v>0.84791666666666665</v>
      </c>
      <c r="H14" s="9">
        <v>0.85416666666666663</v>
      </c>
      <c r="I14" s="10">
        <f t="shared" si="0"/>
        <v>6.2499999999999778E-3</v>
      </c>
      <c r="J14" s="11">
        <v>2</v>
      </c>
      <c r="K14" s="11">
        <f>3.7*4</f>
        <v>14.8</v>
      </c>
      <c r="L14" s="16">
        <f t="shared" si="1"/>
        <v>49.333333333333513</v>
      </c>
      <c r="M14" s="11">
        <v>9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 t="s">
        <v>224</v>
      </c>
      <c r="F15" s="8" t="s">
        <v>42</v>
      </c>
      <c r="G15" s="9">
        <v>0.81319444444444444</v>
      </c>
      <c r="H15" s="9">
        <v>0.84375</v>
      </c>
      <c r="I15" s="10">
        <f t="shared" si="0"/>
        <v>3.0555555555555558E-2</v>
      </c>
      <c r="J15" s="11">
        <v>2</v>
      </c>
      <c r="K15" s="11">
        <f>59*4.03</f>
        <v>237.77</v>
      </c>
      <c r="L15" s="16">
        <f t="shared" si="1"/>
        <v>162.11590909090907</v>
      </c>
      <c r="M15" s="11"/>
      <c r="N15" s="11"/>
      <c r="O15" s="11"/>
      <c r="P15" s="11"/>
      <c r="Q15" s="11">
        <v>44</v>
      </c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83" t="s">
        <v>225</v>
      </c>
      <c r="F16" s="57">
        <v>0.5</v>
      </c>
      <c r="G16" s="9">
        <v>0.85486111111111107</v>
      </c>
      <c r="H16" s="9">
        <v>0.86805555555555558</v>
      </c>
      <c r="I16" s="10">
        <f t="shared" si="0"/>
        <v>1.3194444444444509E-2</v>
      </c>
      <c r="J16" s="11">
        <v>2</v>
      </c>
      <c r="K16" s="11">
        <f>43*4</f>
        <v>172</v>
      </c>
      <c r="L16" s="16">
        <f t="shared" si="1"/>
        <v>271.57894736841973</v>
      </c>
      <c r="M16" s="11">
        <v>19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201" t="s">
        <v>177</v>
      </c>
      <c r="E17" s="19" t="s">
        <v>226</v>
      </c>
      <c r="F17" s="8" t="s">
        <v>42</v>
      </c>
      <c r="G17" s="9">
        <v>0.81736111111111109</v>
      </c>
      <c r="H17" s="9">
        <v>0.8208333333333333</v>
      </c>
      <c r="I17" s="10">
        <f t="shared" si="0"/>
        <v>3.4722222222222099E-3</v>
      </c>
      <c r="J17" s="11">
        <v>2</v>
      </c>
      <c r="K17" s="11">
        <f>1.4*5</f>
        <v>7</v>
      </c>
      <c r="L17" s="16">
        <f t="shared" si="1"/>
        <v>42.000000000000149</v>
      </c>
      <c r="M17" s="11">
        <v>5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19" t="s">
        <v>227</v>
      </c>
      <c r="F18" s="8" t="s">
        <v>42</v>
      </c>
      <c r="G18" s="9">
        <v>0.87222222222222223</v>
      </c>
      <c r="H18" s="9">
        <v>0.88194444444444442</v>
      </c>
      <c r="I18" s="10">
        <f t="shared" si="0"/>
        <v>9.7222222222221877E-3</v>
      </c>
      <c r="J18" s="11">
        <v>2</v>
      </c>
      <c r="K18" s="11">
        <f>21*5</f>
        <v>105</v>
      </c>
      <c r="L18" s="16">
        <f t="shared" si="1"/>
        <v>225.0000000000008</v>
      </c>
      <c r="M18" s="11">
        <v>14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9" t="s">
        <v>228</v>
      </c>
      <c r="F19" s="55" t="s">
        <v>229</v>
      </c>
      <c r="G19" s="9">
        <v>0.90972222222222221</v>
      </c>
      <c r="H19" s="9">
        <v>0.97916666666666663</v>
      </c>
      <c r="I19" s="10">
        <f t="shared" si="0"/>
        <v>6.944444444444442E-2</v>
      </c>
      <c r="J19" s="11">
        <v>5</v>
      </c>
      <c r="K19" s="11">
        <v>83.92</v>
      </c>
      <c r="L19" s="16">
        <f t="shared" si="1"/>
        <v>10.070400000000005</v>
      </c>
      <c r="M19" s="11"/>
      <c r="N19" s="11"/>
      <c r="O19" s="11"/>
      <c r="P19" s="11"/>
      <c r="Q19" s="11"/>
      <c r="R19" s="12"/>
      <c r="S19" s="12">
        <v>100</v>
      </c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183" t="s">
        <v>230</v>
      </c>
      <c r="E20" s="15" t="s">
        <v>231</v>
      </c>
      <c r="F20" s="55" t="s">
        <v>232</v>
      </c>
      <c r="G20" s="9">
        <v>0.82152777777777775</v>
      </c>
      <c r="H20" s="9">
        <v>0.82291666666666663</v>
      </c>
      <c r="I20" s="10">
        <f t="shared" si="0"/>
        <v>1.388888888888884E-3</v>
      </c>
      <c r="J20" s="11">
        <v>2</v>
      </c>
      <c r="K20" s="11">
        <f>0.3*8</f>
        <v>2.4</v>
      </c>
      <c r="L20" s="16">
        <f t="shared" si="1"/>
        <v>36.000000000000128</v>
      </c>
      <c r="M20" s="11">
        <v>2</v>
      </c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233</v>
      </c>
      <c r="F21" s="55" t="s">
        <v>234</v>
      </c>
      <c r="G21" s="9">
        <v>0.88263888888888886</v>
      </c>
      <c r="H21" s="9">
        <v>0.88541666666666663</v>
      </c>
      <c r="I21" s="10">
        <f t="shared" si="0"/>
        <v>2.7777777777777679E-3</v>
      </c>
      <c r="J21" s="11">
        <v>2</v>
      </c>
      <c r="K21" s="11">
        <f>1.5*8</f>
        <v>12</v>
      </c>
      <c r="L21" s="16">
        <f t="shared" si="1"/>
        <v>90.000000000000327</v>
      </c>
      <c r="M21" s="11">
        <v>4</v>
      </c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235</v>
      </c>
      <c r="F22" s="206">
        <v>0.5</v>
      </c>
      <c r="G22" s="9">
        <v>0.88611111111111107</v>
      </c>
      <c r="H22" s="9">
        <v>0.89236111111111116</v>
      </c>
      <c r="I22" s="10">
        <f t="shared" si="0"/>
        <v>6.2500000000000888E-3</v>
      </c>
      <c r="J22" s="11">
        <v>2</v>
      </c>
      <c r="K22" s="11">
        <f>8*8</f>
        <v>64</v>
      </c>
      <c r="L22" s="16">
        <f t="shared" si="1"/>
        <v>213.3333333333303</v>
      </c>
      <c r="M22" s="11">
        <v>9</v>
      </c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205" t="s">
        <v>236</v>
      </c>
      <c r="F23" s="204" t="s">
        <v>237</v>
      </c>
      <c r="G23" s="9">
        <v>0.82361111111111107</v>
      </c>
      <c r="H23" s="9">
        <v>0.82986111111111116</v>
      </c>
      <c r="I23" s="10">
        <f t="shared" si="0"/>
        <v>6.2500000000000888E-3</v>
      </c>
      <c r="J23" s="11">
        <v>1</v>
      </c>
      <c r="K23" s="11">
        <f>0.03*8</f>
        <v>0.24</v>
      </c>
      <c r="L23" s="16">
        <f t="shared" si="1"/>
        <v>1.5999999999999772</v>
      </c>
      <c r="M23" s="11"/>
      <c r="N23" s="11"/>
      <c r="O23" s="11"/>
      <c r="P23" s="11"/>
      <c r="Q23" s="11"/>
      <c r="R23" s="12"/>
      <c r="S23" s="12">
        <v>9</v>
      </c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203" t="s">
        <v>238</v>
      </c>
      <c r="F24" s="204" t="s">
        <v>239</v>
      </c>
      <c r="G24" s="9">
        <v>0.89583333333333337</v>
      </c>
      <c r="H24" s="9">
        <v>0.91666666666666663</v>
      </c>
      <c r="I24" s="10">
        <f t="shared" si="0"/>
        <v>2.0833333333333259E-2</v>
      </c>
      <c r="J24" s="11">
        <v>2</v>
      </c>
      <c r="K24" s="11">
        <f>0.8*8</f>
        <v>6.4</v>
      </c>
      <c r="L24" s="16">
        <f t="shared" si="1"/>
        <v>6.4000000000000234</v>
      </c>
      <c r="M24" s="11">
        <v>30</v>
      </c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30" t="s">
        <v>83</v>
      </c>
      <c r="E25" s="15" t="s">
        <v>240</v>
      </c>
      <c r="F25" s="8" t="s">
        <v>42</v>
      </c>
      <c r="G25" s="9">
        <v>0.11874999999999999</v>
      </c>
      <c r="H25" s="9">
        <v>0.13541666666666666</v>
      </c>
      <c r="I25" s="10">
        <f t="shared" si="0"/>
        <v>1.6666666666666663E-2</v>
      </c>
      <c r="J25" s="11">
        <v>7</v>
      </c>
      <c r="K25" s="11">
        <v>42</v>
      </c>
      <c r="L25" s="16">
        <f t="shared" si="1"/>
        <v>15.000000000000002</v>
      </c>
      <c r="M25" s="11"/>
      <c r="N25" s="11"/>
      <c r="O25" s="11"/>
      <c r="P25" s="11"/>
      <c r="Q25" s="11"/>
      <c r="R25" s="12"/>
      <c r="S25" s="12">
        <v>24</v>
      </c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s="28" customFormat="1" ht="25.05" customHeight="1">
      <c r="A26" s="2"/>
      <c r="B26" s="21"/>
      <c r="C26" s="22"/>
      <c r="D26" s="23"/>
      <c r="E26" s="24"/>
      <c r="F26" s="24"/>
      <c r="G26" s="25"/>
      <c r="H26" s="25"/>
      <c r="I26" s="26"/>
      <c r="J26" s="27"/>
      <c r="K26" s="27">
        <f t="shared" ref="K26:AI26" si="2">SUM(K4:K25)</f>
        <v>1391.8150000000003</v>
      </c>
      <c r="L26" s="39">
        <f t="shared" si="2"/>
        <v>1539.3751793434619</v>
      </c>
      <c r="M26" s="27">
        <f t="shared" si="2"/>
        <v>125</v>
      </c>
      <c r="N26" s="27">
        <f t="shared" si="2"/>
        <v>0</v>
      </c>
      <c r="O26" s="27">
        <f t="shared" si="2"/>
        <v>0</v>
      </c>
      <c r="P26" s="27">
        <f t="shared" si="2"/>
        <v>0</v>
      </c>
      <c r="Q26" s="27">
        <f t="shared" si="2"/>
        <v>44</v>
      </c>
      <c r="R26" s="27">
        <f t="shared" si="2"/>
        <v>0</v>
      </c>
      <c r="S26" s="27">
        <f t="shared" si="2"/>
        <v>254</v>
      </c>
      <c r="T26" s="27">
        <f t="shared" si="2"/>
        <v>0</v>
      </c>
      <c r="U26" s="27">
        <f t="shared" si="2"/>
        <v>0</v>
      </c>
      <c r="V26" s="27">
        <f t="shared" si="2"/>
        <v>0</v>
      </c>
      <c r="W26" s="27">
        <f t="shared" si="2"/>
        <v>0</v>
      </c>
      <c r="X26" s="27">
        <f t="shared" si="2"/>
        <v>0</v>
      </c>
      <c r="Y26" s="27">
        <f t="shared" si="2"/>
        <v>0</v>
      </c>
      <c r="Z26" s="27">
        <f t="shared" si="2"/>
        <v>0</v>
      </c>
      <c r="AA26" s="27">
        <f t="shared" si="2"/>
        <v>0</v>
      </c>
      <c r="AB26" s="27">
        <f t="shared" si="2"/>
        <v>0</v>
      </c>
      <c r="AC26" s="27">
        <f t="shared" si="2"/>
        <v>0</v>
      </c>
      <c r="AD26" s="27">
        <f t="shared" si="2"/>
        <v>0</v>
      </c>
      <c r="AE26" s="27">
        <f t="shared" si="2"/>
        <v>0</v>
      </c>
      <c r="AF26" s="27">
        <f t="shared" si="2"/>
        <v>0</v>
      </c>
      <c r="AG26" s="27">
        <f t="shared" si="2"/>
        <v>0</v>
      </c>
      <c r="AH26" s="27">
        <f t="shared" si="2"/>
        <v>0</v>
      </c>
      <c r="AI26" s="27">
        <f t="shared" si="2"/>
        <v>0</v>
      </c>
      <c r="AJ26" s="27">
        <f>SUM(AJ4:AJ25)</f>
        <v>0</v>
      </c>
      <c r="AK26" s="27">
        <f>SUM(AK4:AK25)</f>
        <v>0</v>
      </c>
      <c r="AL26" s="27">
        <f>SUM(AL4:AL25)</f>
        <v>0</v>
      </c>
    </row>
    <row r="27" spans="1:38" ht="25.05" customHeight="1">
      <c r="B27" s="13"/>
      <c r="C27" s="14" t="s">
        <v>43</v>
      </c>
      <c r="D27" s="6"/>
      <c r="E27" s="7" t="s">
        <v>41</v>
      </c>
      <c r="F27" s="8" t="s">
        <v>42</v>
      </c>
      <c r="G27" s="9"/>
      <c r="H27" s="9"/>
      <c r="I27" s="10">
        <f>H27-G27</f>
        <v>0</v>
      </c>
      <c r="J27" s="11"/>
      <c r="K27" s="11"/>
      <c r="L27" s="16" t="str">
        <f>IFERROR(((K27/(J27*I27)/24)),"0")</f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18"/>
      <c r="E28" s="6"/>
      <c r="F28" s="14"/>
      <c r="G28" s="9"/>
      <c r="H28" s="9"/>
      <c r="I28" s="10"/>
      <c r="J28" s="11"/>
      <c r="K28" s="11"/>
      <c r="L28" s="16"/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s="28" customFormat="1" ht="25.05" customHeight="1">
      <c r="A29" s="2"/>
      <c r="B29" s="21"/>
      <c r="C29" s="22"/>
      <c r="D29" s="23"/>
      <c r="E29" s="24"/>
      <c r="F29" s="22"/>
      <c r="G29" s="25"/>
      <c r="H29" s="25"/>
      <c r="I29" s="26"/>
      <c r="J29" s="27"/>
      <c r="K29" s="27">
        <f t="shared" ref="K29:AI29" si="3">SUM(K27:K28)</f>
        <v>0</v>
      </c>
      <c r="L29" s="27">
        <f t="shared" si="3"/>
        <v>0</v>
      </c>
      <c r="M29" s="27">
        <f t="shared" si="3"/>
        <v>0</v>
      </c>
      <c r="N29" s="27">
        <f t="shared" si="3"/>
        <v>0</v>
      </c>
      <c r="O29" s="27">
        <f t="shared" si="3"/>
        <v>0</v>
      </c>
      <c r="P29" s="27">
        <f t="shared" si="3"/>
        <v>0</v>
      </c>
      <c r="Q29" s="27">
        <f t="shared" si="3"/>
        <v>0</v>
      </c>
      <c r="R29" s="27">
        <f t="shared" si="3"/>
        <v>0</v>
      </c>
      <c r="S29" s="27">
        <f t="shared" si="3"/>
        <v>0</v>
      </c>
      <c r="T29" s="27">
        <f t="shared" si="3"/>
        <v>0</v>
      </c>
      <c r="U29" s="27">
        <f t="shared" si="3"/>
        <v>0</v>
      </c>
      <c r="V29" s="27">
        <f t="shared" si="3"/>
        <v>0</v>
      </c>
      <c r="W29" s="27">
        <f t="shared" si="3"/>
        <v>0</v>
      </c>
      <c r="X29" s="27">
        <f t="shared" si="3"/>
        <v>0</v>
      </c>
      <c r="Y29" s="27">
        <f t="shared" si="3"/>
        <v>0</v>
      </c>
      <c r="Z29" s="27">
        <f t="shared" si="3"/>
        <v>0</v>
      </c>
      <c r="AA29" s="27">
        <f t="shared" si="3"/>
        <v>0</v>
      </c>
      <c r="AB29" s="27">
        <f t="shared" si="3"/>
        <v>0</v>
      </c>
      <c r="AC29" s="27">
        <f t="shared" si="3"/>
        <v>0</v>
      </c>
      <c r="AD29" s="27">
        <f t="shared" si="3"/>
        <v>0</v>
      </c>
      <c r="AE29" s="27">
        <f t="shared" si="3"/>
        <v>0</v>
      </c>
      <c r="AF29" s="27">
        <f t="shared" si="3"/>
        <v>0</v>
      </c>
      <c r="AG29" s="27">
        <f t="shared" si="3"/>
        <v>0</v>
      </c>
      <c r="AH29" s="27">
        <f t="shared" si="3"/>
        <v>0</v>
      </c>
      <c r="AI29" s="27">
        <f t="shared" si="3"/>
        <v>0</v>
      </c>
      <c r="AJ29" s="27">
        <f>SUM(AJ27:AJ28)</f>
        <v>0</v>
      </c>
      <c r="AK29" s="27">
        <f>SUM(AK27:AK28)</f>
        <v>0</v>
      </c>
      <c r="AL29" s="27">
        <f>SUM(AL27:AL28)</f>
        <v>0</v>
      </c>
    </row>
    <row r="30" spans="1:38" ht="25.05" customHeight="1">
      <c r="B30" s="5"/>
      <c r="C30" s="29" t="s">
        <v>44</v>
      </c>
      <c r="D30" s="30"/>
      <c r="E30" s="7" t="s">
        <v>41</v>
      </c>
      <c r="F30" s="8" t="s">
        <v>42</v>
      </c>
      <c r="G30" s="9">
        <v>0.79166666666666663</v>
      </c>
      <c r="H30" s="9">
        <v>0.83333333333333337</v>
      </c>
      <c r="I30" s="10">
        <f t="shared" ref="I30:I55" si="4">H30-G30</f>
        <v>4.1666666666666741E-2</v>
      </c>
      <c r="J30" s="11">
        <v>4</v>
      </c>
      <c r="K30" s="62" t="s">
        <v>42</v>
      </c>
      <c r="L30" s="64" t="s">
        <v>42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183" t="s">
        <v>210</v>
      </c>
      <c r="E31" s="17" t="s">
        <v>241</v>
      </c>
      <c r="F31" s="8" t="s">
        <v>42</v>
      </c>
      <c r="G31" s="9">
        <v>0.84722222222222221</v>
      </c>
      <c r="H31" s="9">
        <v>0.85972222222222228</v>
      </c>
      <c r="I31" s="10">
        <f t="shared" si="4"/>
        <v>1.2500000000000067E-2</v>
      </c>
      <c r="J31" s="11">
        <v>3</v>
      </c>
      <c r="K31" s="11">
        <v>7.62</v>
      </c>
      <c r="L31" s="16">
        <f t="shared" ref="L31:L55" si="5">IFERROR(((K31/(J31*I31)/24)),"0")</f>
        <v>8.4666666666666206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>
        <v>18</v>
      </c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242</v>
      </c>
      <c r="F32" s="8" t="s">
        <v>42</v>
      </c>
      <c r="G32" s="9">
        <v>0.90763888888888888</v>
      </c>
      <c r="H32" s="9">
        <v>0.92083333333333328</v>
      </c>
      <c r="I32" s="10">
        <f t="shared" si="4"/>
        <v>1.3194444444444398E-2</v>
      </c>
      <c r="J32" s="11">
        <v>3</v>
      </c>
      <c r="K32" s="11">
        <v>116</v>
      </c>
      <c r="L32" s="16">
        <f t="shared" si="5"/>
        <v>122.10526315789518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2</v>
      </c>
      <c r="W32" s="12"/>
      <c r="X32" s="11"/>
      <c r="Y32" s="11"/>
      <c r="Z32" s="11"/>
      <c r="AA32" s="11"/>
      <c r="AB32" s="11">
        <v>19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243</v>
      </c>
      <c r="F33" s="8" t="s">
        <v>42</v>
      </c>
      <c r="G33" s="9">
        <v>0.9291666666666667</v>
      </c>
      <c r="H33" s="9">
        <v>0.94236111111111109</v>
      </c>
      <c r="I33" s="10">
        <f t="shared" si="4"/>
        <v>1.3194444444444398E-2</v>
      </c>
      <c r="J33" s="11">
        <v>3</v>
      </c>
      <c r="K33" s="11">
        <v>116</v>
      </c>
      <c r="L33" s="16">
        <f t="shared" si="5"/>
        <v>122.10526315789518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</v>
      </c>
      <c r="W33" s="12"/>
      <c r="X33" s="11"/>
      <c r="Y33" s="11"/>
      <c r="Z33" s="11"/>
      <c r="AA33" s="11"/>
      <c r="AB33" s="11">
        <v>19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244</v>
      </c>
      <c r="F34" s="8" t="s">
        <v>42</v>
      </c>
      <c r="G34" s="9">
        <v>0.94722222222222219</v>
      </c>
      <c r="H34" s="9">
        <v>0.95972222222222225</v>
      </c>
      <c r="I34" s="10">
        <f t="shared" si="4"/>
        <v>1.2500000000000067E-2</v>
      </c>
      <c r="J34" s="11">
        <v>3</v>
      </c>
      <c r="K34" s="11">
        <v>116</v>
      </c>
      <c r="L34" s="16">
        <f t="shared" si="5"/>
        <v>128.8888888888882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/>
      <c r="AA34" s="11"/>
      <c r="AB34" s="11">
        <v>18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245</v>
      </c>
      <c r="F35" s="8" t="s">
        <v>42</v>
      </c>
      <c r="G35" s="9">
        <v>0.9506944444444444</v>
      </c>
      <c r="H35" s="9">
        <v>0.96250000000000002</v>
      </c>
      <c r="I35" s="10">
        <f t="shared" si="4"/>
        <v>1.1805555555555625E-2</v>
      </c>
      <c r="J35" s="11">
        <v>3</v>
      </c>
      <c r="K35" s="11">
        <v>116</v>
      </c>
      <c r="L35" s="16">
        <f t="shared" si="5"/>
        <v>136.47058823529332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>
        <v>17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246</v>
      </c>
      <c r="F36" s="8" t="s">
        <v>42</v>
      </c>
      <c r="G36" s="9">
        <v>0.97152777777777777</v>
      </c>
      <c r="H36" s="9">
        <v>0.98333333333333328</v>
      </c>
      <c r="I36" s="10">
        <f t="shared" si="4"/>
        <v>1.1805555555555514E-2</v>
      </c>
      <c r="J36" s="11">
        <v>3</v>
      </c>
      <c r="K36" s="11">
        <v>145.09</v>
      </c>
      <c r="L36" s="16">
        <f t="shared" si="5"/>
        <v>170.69411764705944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>
        <v>17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247</v>
      </c>
      <c r="F37" s="8" t="s">
        <v>42</v>
      </c>
      <c r="G37" s="9">
        <v>0.8666666666666667</v>
      </c>
      <c r="H37" s="9">
        <v>0.87013888888888891</v>
      </c>
      <c r="I37" s="10">
        <f t="shared" si="4"/>
        <v>3.4722222222222099E-3</v>
      </c>
      <c r="J37" s="11">
        <v>1</v>
      </c>
      <c r="K37" s="11">
        <f>1.76*10.5</f>
        <v>18.48</v>
      </c>
      <c r="L37" s="16">
        <f t="shared" si="5"/>
        <v>221.76000000000079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5</v>
      </c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248</v>
      </c>
      <c r="F38" s="8" t="s">
        <v>42</v>
      </c>
      <c r="G38" s="9">
        <v>0.87013888888888891</v>
      </c>
      <c r="H38" s="9">
        <v>0.90763888888888888</v>
      </c>
      <c r="I38" s="10">
        <f t="shared" si="4"/>
        <v>3.7499999999999978E-2</v>
      </c>
      <c r="J38" s="11">
        <v>5</v>
      </c>
      <c r="K38" s="11">
        <v>66.760000000000005</v>
      </c>
      <c r="L38" s="16">
        <f t="shared" si="5"/>
        <v>14.835555555555565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/>
      <c r="Z38" s="11"/>
      <c r="AA38" s="11"/>
      <c r="AB38" s="11"/>
      <c r="AC38" s="11"/>
      <c r="AD38" s="11"/>
      <c r="AE38" s="11"/>
      <c r="AF38" s="11"/>
      <c r="AG38" s="11">
        <v>13.5</v>
      </c>
      <c r="AH38" s="11">
        <v>13.5</v>
      </c>
      <c r="AI38" s="11">
        <v>13.5</v>
      </c>
      <c r="AJ38" s="11">
        <v>13.5</v>
      </c>
      <c r="AK38" s="11"/>
      <c r="AL38" s="14"/>
    </row>
    <row r="39" spans="2:38" ht="25.05" customHeight="1">
      <c r="B39" s="13"/>
      <c r="C39" s="29"/>
      <c r="D39" s="30"/>
      <c r="E39" s="19" t="s">
        <v>249</v>
      </c>
      <c r="F39" s="8" t="s">
        <v>42</v>
      </c>
      <c r="G39" s="9">
        <v>0.90555555555555556</v>
      </c>
      <c r="H39" s="9">
        <v>0.93680555555555556</v>
      </c>
      <c r="I39" s="10">
        <f t="shared" si="4"/>
        <v>3.125E-2</v>
      </c>
      <c r="J39" s="11">
        <v>5</v>
      </c>
      <c r="K39" s="11">
        <v>66.680000000000007</v>
      </c>
      <c r="L39" s="16">
        <f t="shared" si="5"/>
        <v>17.781333333333336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2</v>
      </c>
      <c r="X39" s="11"/>
      <c r="Y39" s="11"/>
      <c r="Z39" s="11"/>
      <c r="AA39" s="11"/>
      <c r="AB39" s="11"/>
      <c r="AC39" s="11"/>
      <c r="AD39" s="11"/>
      <c r="AE39" s="11"/>
      <c r="AF39" s="11"/>
      <c r="AG39" s="11">
        <v>11.25</v>
      </c>
      <c r="AH39" s="11">
        <v>11.25</v>
      </c>
      <c r="AI39" s="11">
        <v>11.25</v>
      </c>
      <c r="AJ39" s="11">
        <v>11.25</v>
      </c>
      <c r="AK39" s="11"/>
      <c r="AL39" s="14"/>
    </row>
    <row r="40" spans="2:38" ht="25.05" customHeight="1">
      <c r="B40" s="13"/>
      <c r="C40" s="29"/>
      <c r="D40" s="30"/>
      <c r="E40" s="19" t="s">
        <v>250</v>
      </c>
      <c r="F40" s="8" t="s">
        <v>42</v>
      </c>
      <c r="G40" s="9">
        <v>0.93680555555555556</v>
      </c>
      <c r="H40" s="9">
        <v>0.97083333333333333</v>
      </c>
      <c r="I40" s="10">
        <f t="shared" si="4"/>
        <v>3.4027777777777768E-2</v>
      </c>
      <c r="J40" s="11">
        <v>5</v>
      </c>
      <c r="K40" s="11">
        <v>73.87</v>
      </c>
      <c r="L40" s="16">
        <f t="shared" si="5"/>
        <v>18.090612244897965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/>
      <c r="AD40" s="11"/>
      <c r="AE40" s="11"/>
      <c r="AF40" s="11"/>
      <c r="AG40" s="11">
        <v>12.25</v>
      </c>
      <c r="AH40" s="11">
        <v>12.25</v>
      </c>
      <c r="AI40" s="11">
        <v>12.25</v>
      </c>
      <c r="AJ40" s="11">
        <v>12.25</v>
      </c>
      <c r="AK40" s="11"/>
      <c r="AL40" s="14"/>
    </row>
    <row r="41" spans="2:38" ht="25.05" customHeight="1">
      <c r="B41" s="13"/>
      <c r="C41" s="29"/>
      <c r="D41" s="30"/>
      <c r="E41" s="19" t="s">
        <v>251</v>
      </c>
      <c r="F41" s="8" t="s">
        <v>42</v>
      </c>
      <c r="G41" s="9">
        <v>46111.972916666666</v>
      </c>
      <c r="H41" s="9">
        <v>46112.005555555559</v>
      </c>
      <c r="I41" s="10">
        <f t="shared" si="4"/>
        <v>3.2638888893416151E-2</v>
      </c>
      <c r="J41" s="11">
        <v>5</v>
      </c>
      <c r="K41" s="11">
        <v>65.09</v>
      </c>
      <c r="L41" s="16">
        <f t="shared" si="5"/>
        <v>16.618723401950177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/>
      <c r="AA41" s="11"/>
      <c r="AB41" s="11"/>
      <c r="AC41" s="11"/>
      <c r="AD41" s="11"/>
      <c r="AE41" s="11"/>
      <c r="AF41" s="11"/>
      <c r="AG41" s="11">
        <v>11.75</v>
      </c>
      <c r="AH41" s="11">
        <v>11.75</v>
      </c>
      <c r="AI41" s="11">
        <v>11.75</v>
      </c>
      <c r="AJ41" s="11">
        <v>11.75</v>
      </c>
      <c r="AK41" s="11"/>
      <c r="AL41" s="14"/>
    </row>
    <row r="42" spans="2:38" ht="25.05" customHeight="1">
      <c r="B42" s="13"/>
      <c r="C42" s="29"/>
      <c r="D42" s="30"/>
      <c r="E42" s="19" t="s">
        <v>252</v>
      </c>
      <c r="F42" s="8" t="s">
        <v>42</v>
      </c>
      <c r="G42" s="9">
        <v>8.3333333333333329E-2</v>
      </c>
      <c r="H42" s="9">
        <v>0.12013888888888889</v>
      </c>
      <c r="I42" s="10">
        <f t="shared" si="4"/>
        <v>3.6805555555555564E-2</v>
      </c>
      <c r="J42" s="11">
        <v>5</v>
      </c>
      <c r="K42" s="11">
        <v>63.28</v>
      </c>
      <c r="L42" s="16">
        <f t="shared" si="5"/>
        <v>14.327547169811318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/>
      <c r="Z42" s="11"/>
      <c r="AA42" s="11"/>
      <c r="AB42" s="11"/>
      <c r="AC42" s="11"/>
      <c r="AD42" s="11"/>
      <c r="AE42" s="11"/>
      <c r="AF42" s="11"/>
      <c r="AG42" s="11">
        <v>13.25</v>
      </c>
      <c r="AH42" s="11">
        <v>13.25</v>
      </c>
      <c r="AI42" s="11">
        <v>13.25</v>
      </c>
      <c r="AJ42" s="11">
        <v>13.25</v>
      </c>
      <c r="AK42" s="11"/>
      <c r="AL42" s="14"/>
    </row>
    <row r="43" spans="2:38" ht="25.05" customHeight="1">
      <c r="B43" s="13"/>
      <c r="C43" s="29"/>
      <c r="D43" s="30"/>
      <c r="E43" s="19" t="s">
        <v>253</v>
      </c>
      <c r="F43" s="8" t="s">
        <v>42</v>
      </c>
      <c r="G43" s="9">
        <v>0.12222222222222222</v>
      </c>
      <c r="H43" s="9">
        <v>0.15277777777777779</v>
      </c>
      <c r="I43" s="10">
        <f t="shared" si="4"/>
        <v>3.0555555555555572E-2</v>
      </c>
      <c r="J43" s="11">
        <v>5</v>
      </c>
      <c r="K43" s="11">
        <v>68.77</v>
      </c>
      <c r="L43" s="16">
        <f t="shared" si="5"/>
        <v>18.755454545454537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>
        <v>11</v>
      </c>
      <c r="AH43" s="11">
        <v>11</v>
      </c>
      <c r="AI43" s="11">
        <v>11</v>
      </c>
      <c r="AJ43" s="11">
        <v>11</v>
      </c>
      <c r="AK43" s="11"/>
      <c r="AL43" s="14"/>
    </row>
    <row r="44" spans="2:38" ht="25.05" customHeight="1">
      <c r="B44" s="13"/>
      <c r="C44" s="29"/>
      <c r="D44" s="30"/>
      <c r="E44" s="19" t="s">
        <v>254</v>
      </c>
      <c r="F44" s="8" t="s">
        <v>42</v>
      </c>
      <c r="G44" s="9">
        <v>0.15277777777777779</v>
      </c>
      <c r="H44" s="9">
        <v>0.19305555555555556</v>
      </c>
      <c r="I44" s="10">
        <f t="shared" si="4"/>
        <v>4.0277777777777773E-2</v>
      </c>
      <c r="J44" s="11">
        <v>5</v>
      </c>
      <c r="K44" s="11">
        <v>65.489999999999995</v>
      </c>
      <c r="L44" s="16">
        <f t="shared" si="5"/>
        <v>13.549655172413793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>
        <v>14.5</v>
      </c>
      <c r="AH44" s="11">
        <v>14.5</v>
      </c>
      <c r="AI44" s="11">
        <v>14.5</v>
      </c>
      <c r="AJ44" s="11">
        <v>14.5</v>
      </c>
      <c r="AK44" s="11"/>
      <c r="AL44" s="14"/>
    </row>
    <row r="45" spans="2:38" ht="25.05" customHeight="1">
      <c r="B45" s="13"/>
      <c r="C45" s="29"/>
      <c r="D45" s="30"/>
      <c r="E45" s="19" t="s">
        <v>255</v>
      </c>
      <c r="F45" s="8" t="s">
        <v>42</v>
      </c>
      <c r="G45" s="9">
        <v>0.19444444444444445</v>
      </c>
      <c r="H45" s="9">
        <v>0.23194444444444445</v>
      </c>
      <c r="I45" s="10">
        <f t="shared" si="4"/>
        <v>3.7500000000000006E-2</v>
      </c>
      <c r="J45" s="11">
        <v>5</v>
      </c>
      <c r="K45" s="11">
        <v>65.53</v>
      </c>
      <c r="L45" s="16">
        <f t="shared" si="5"/>
        <v>14.56222222222222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>
        <v>13.5</v>
      </c>
      <c r="AH45" s="11">
        <v>13.5</v>
      </c>
      <c r="AI45" s="11">
        <v>13.5</v>
      </c>
      <c r="AJ45" s="11">
        <v>13.5</v>
      </c>
      <c r="AK45" s="11"/>
      <c r="AL45" s="14"/>
    </row>
    <row r="46" spans="2:38" ht="25.05" customHeight="1">
      <c r="B46" s="13"/>
      <c r="C46" s="29"/>
      <c r="D46" s="30"/>
      <c r="E46" s="19" t="s">
        <v>256</v>
      </c>
      <c r="F46" s="8" t="s">
        <v>42</v>
      </c>
      <c r="G46" s="9">
        <v>0.99305555555555558</v>
      </c>
      <c r="H46" s="9">
        <v>46112.024305555555</v>
      </c>
      <c r="I46" s="10">
        <f t="shared" si="4"/>
        <v>46111.03125</v>
      </c>
      <c r="J46" s="11">
        <v>3</v>
      </c>
      <c r="K46" s="11">
        <v>84.8</v>
      </c>
      <c r="L46" s="16">
        <f t="shared" si="5"/>
        <v>2.5542212911965135E-5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>
        <v>45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257</v>
      </c>
      <c r="F47" s="8" t="s">
        <v>42</v>
      </c>
      <c r="G47" s="9">
        <v>6.5972222222222224E-2</v>
      </c>
      <c r="H47" s="9">
        <v>9.7222222222222224E-2</v>
      </c>
      <c r="I47" s="10">
        <f t="shared" si="4"/>
        <v>3.125E-2</v>
      </c>
      <c r="J47" s="11">
        <v>3</v>
      </c>
      <c r="K47" s="11">
        <v>84.8</v>
      </c>
      <c r="L47" s="16">
        <f t="shared" si="5"/>
        <v>37.68888888888889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>
        <v>45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258</v>
      </c>
      <c r="F48" s="8" t="s">
        <v>42</v>
      </c>
      <c r="G48" s="9">
        <v>7.2916666666666671E-2</v>
      </c>
      <c r="H48" s="9">
        <v>0.10416666666666667</v>
      </c>
      <c r="I48" s="10">
        <f t="shared" si="4"/>
        <v>3.125E-2</v>
      </c>
      <c r="J48" s="11">
        <v>3</v>
      </c>
      <c r="K48" s="11">
        <v>8.48</v>
      </c>
      <c r="L48" s="16">
        <f t="shared" si="5"/>
        <v>3.7688888888888887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>
        <v>45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259</v>
      </c>
      <c r="F49" s="8" t="s">
        <v>42</v>
      </c>
      <c r="G49" s="9">
        <v>7.2916666666666671E-2</v>
      </c>
      <c r="H49" s="9">
        <v>0.10416666666666667</v>
      </c>
      <c r="I49" s="10">
        <f t="shared" si="4"/>
        <v>3.125E-2</v>
      </c>
      <c r="J49" s="11">
        <v>3</v>
      </c>
      <c r="K49" s="11">
        <v>76.319999999999993</v>
      </c>
      <c r="L49" s="16">
        <f t="shared" si="5"/>
        <v>33.919999999999995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>
        <v>45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260</v>
      </c>
      <c r="F50" s="8" t="s">
        <v>42</v>
      </c>
      <c r="G50" s="9">
        <v>0.1111111111111111</v>
      </c>
      <c r="H50" s="9">
        <v>0.1423611111111111</v>
      </c>
      <c r="I50" s="10">
        <f t="shared" si="4"/>
        <v>3.125E-2</v>
      </c>
      <c r="J50" s="11">
        <v>3</v>
      </c>
      <c r="K50" s="11">
        <f>4.24*20</f>
        <v>84.800000000000011</v>
      </c>
      <c r="L50" s="16">
        <f t="shared" si="5"/>
        <v>37.68888888888889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AA50" s="11">
        <v>45</v>
      </c>
      <c r="AB50" s="207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261</v>
      </c>
      <c r="F51" s="8" t="s">
        <v>42</v>
      </c>
      <c r="G51" s="9">
        <v>0.14722222222222223</v>
      </c>
      <c r="H51" s="9">
        <v>0.17847222222222223</v>
      </c>
      <c r="I51" s="10">
        <f t="shared" si="4"/>
        <v>3.125E-2</v>
      </c>
      <c r="J51" s="11">
        <v>3</v>
      </c>
      <c r="K51" s="11">
        <f>4.24*4</f>
        <v>16.96</v>
      </c>
      <c r="L51" s="16">
        <f t="shared" si="5"/>
        <v>7.5377777777777775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>
        <v>45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262</v>
      </c>
      <c r="F52" s="8" t="s">
        <v>42</v>
      </c>
      <c r="G52" s="9">
        <v>0.14722222222222223</v>
      </c>
      <c r="H52" s="9">
        <v>0.17847222222222223</v>
      </c>
      <c r="I52" s="10">
        <f t="shared" si="4"/>
        <v>3.125E-2</v>
      </c>
      <c r="J52" s="11">
        <v>3</v>
      </c>
      <c r="K52" s="11">
        <f>4.24*16</f>
        <v>67.84</v>
      </c>
      <c r="L52" s="16">
        <f t="shared" si="5"/>
        <v>30.15111111111111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>
        <v>45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263</v>
      </c>
      <c r="F53" s="8" t="s">
        <v>42</v>
      </c>
      <c r="G53" s="9">
        <v>0.18333333333333332</v>
      </c>
      <c r="H53" s="9">
        <v>0.21458333333333332</v>
      </c>
      <c r="I53" s="10">
        <f t="shared" si="4"/>
        <v>3.125E-2</v>
      </c>
      <c r="J53" s="11">
        <v>3</v>
      </c>
      <c r="K53" s="11">
        <f>4.24*20</f>
        <v>84.800000000000011</v>
      </c>
      <c r="L53" s="16">
        <f t="shared" si="5"/>
        <v>37.68888888888889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>
        <v>45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264</v>
      </c>
      <c r="F54" s="8" t="s">
        <v>42</v>
      </c>
      <c r="G54" s="9">
        <v>0.21666666666666667</v>
      </c>
      <c r="H54" s="9">
        <v>0.24791666666666667</v>
      </c>
      <c r="I54" s="10">
        <f t="shared" si="4"/>
        <v>3.125E-2</v>
      </c>
      <c r="J54" s="11">
        <v>3</v>
      </c>
      <c r="K54" s="11">
        <f>4.24*6</f>
        <v>25.44</v>
      </c>
      <c r="L54" s="16">
        <f t="shared" si="5"/>
        <v>11.306666666666667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>
        <v>45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265</v>
      </c>
      <c r="F55" s="8" t="s">
        <v>42</v>
      </c>
      <c r="G55" s="9">
        <v>0.21666666666666667</v>
      </c>
      <c r="H55" s="9">
        <v>0.24791666666666667</v>
      </c>
      <c r="I55" s="10">
        <f t="shared" si="4"/>
        <v>3.125E-2</v>
      </c>
      <c r="J55" s="11">
        <v>3</v>
      </c>
      <c r="K55" s="11">
        <f>4.24*14</f>
        <v>59.36</v>
      </c>
      <c r="L55" s="16">
        <f t="shared" si="5"/>
        <v>26.382222222222222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>
        <v>45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/>
      <c r="F56" s="63"/>
      <c r="G56" s="19"/>
      <c r="H56" s="19"/>
      <c r="I56" s="19"/>
      <c r="J56" s="19"/>
      <c r="K56" s="19"/>
      <c r="L56" s="19"/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201" t="s">
        <v>177</v>
      </c>
      <c r="E57" s="19" t="s">
        <v>266</v>
      </c>
      <c r="F57" s="8" t="s">
        <v>42</v>
      </c>
      <c r="G57" s="9">
        <v>0.85624999999999996</v>
      </c>
      <c r="H57" s="9">
        <v>0.8618055555555556</v>
      </c>
      <c r="I57" s="10">
        <f t="shared" ref="I57:I61" si="6">H57-G57</f>
        <v>5.5555555555556468E-3</v>
      </c>
      <c r="J57" s="11">
        <v>3</v>
      </c>
      <c r="K57" s="11">
        <f>5.05*5</f>
        <v>25.25</v>
      </c>
      <c r="L57" s="16">
        <f t="shared" ref="L57:L61" si="7">IFERROR(((K57/(J57*I57)/24)),"0")</f>
        <v>63.12499999999897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8</v>
      </c>
      <c r="W57" s="12">
        <v>8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267</v>
      </c>
      <c r="F58" s="8" t="s">
        <v>42</v>
      </c>
      <c r="G58" s="9">
        <v>7.6388888888888895E-2</v>
      </c>
      <c r="H58" s="9">
        <v>0.10277777777777777</v>
      </c>
      <c r="I58" s="10">
        <f t="shared" si="6"/>
        <v>2.6388888888888878E-2</v>
      </c>
      <c r="J58" s="11">
        <v>3</v>
      </c>
      <c r="K58" s="11">
        <v>124.72</v>
      </c>
      <c r="L58" s="16">
        <f t="shared" si="7"/>
        <v>65.642105263157916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/>
      <c r="AA58" s="11"/>
      <c r="AB58" s="11">
        <v>38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268</v>
      </c>
      <c r="F59" s="8" t="s">
        <v>42</v>
      </c>
      <c r="G59" s="9">
        <v>7.7777777777777779E-2</v>
      </c>
      <c r="H59" s="9">
        <v>0.11180555555555556</v>
      </c>
      <c r="I59" s="10">
        <f t="shared" si="6"/>
        <v>3.4027777777777782E-2</v>
      </c>
      <c r="J59" s="11">
        <v>3</v>
      </c>
      <c r="K59" s="11">
        <v>124.62</v>
      </c>
      <c r="L59" s="16">
        <f t="shared" si="7"/>
        <v>50.865306122448978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/>
      <c r="Z59" s="11"/>
      <c r="AA59" s="11"/>
      <c r="AB59" s="11"/>
      <c r="AC59" s="11">
        <v>49</v>
      </c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269</v>
      </c>
      <c r="F60" s="8" t="s">
        <v>42</v>
      </c>
      <c r="G60" s="9">
        <v>0.11180555555555556</v>
      </c>
      <c r="H60" s="9">
        <v>0.1388888888888889</v>
      </c>
      <c r="I60" s="10">
        <f t="shared" si="6"/>
        <v>2.7083333333333334E-2</v>
      </c>
      <c r="J60" s="11">
        <v>3</v>
      </c>
      <c r="K60" s="11">
        <v>124.87</v>
      </c>
      <c r="L60" s="16">
        <f t="shared" si="7"/>
        <v>64.035897435897439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>
        <v>39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270</v>
      </c>
      <c r="F61" s="8" t="s">
        <v>42</v>
      </c>
      <c r="G61" s="9">
        <v>0.13402777777777777</v>
      </c>
      <c r="H61" s="9">
        <v>0.16875000000000001</v>
      </c>
      <c r="I61" s="10">
        <f t="shared" si="6"/>
        <v>3.4722222222222238E-2</v>
      </c>
      <c r="J61" s="11">
        <v>3</v>
      </c>
      <c r="K61" s="11">
        <v>124.72</v>
      </c>
      <c r="L61" s="16">
        <f t="shared" si="7"/>
        <v>49.887999999999977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/>
      <c r="AA61" s="11"/>
      <c r="AB61" s="11"/>
      <c r="AC61" s="11">
        <v>50</v>
      </c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/>
      <c r="F62" s="14"/>
      <c r="G62" s="9"/>
      <c r="H62" s="9"/>
      <c r="I62" s="10"/>
      <c r="J62" s="11"/>
      <c r="K62" s="11"/>
      <c r="L62" s="16"/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6" t="s">
        <v>271</v>
      </c>
      <c r="E63" s="19" t="s">
        <v>272</v>
      </c>
      <c r="F63" s="8" t="s">
        <v>42</v>
      </c>
      <c r="G63" s="9">
        <v>0.85624999999999996</v>
      </c>
      <c r="H63" s="9">
        <v>0.8618055555555556</v>
      </c>
      <c r="I63" s="10">
        <f t="shared" ref="I63:I77" si="8">H63-G63</f>
        <v>5.5555555555556468E-3</v>
      </c>
      <c r="J63" s="11">
        <v>3</v>
      </c>
      <c r="K63" s="11">
        <f>3.35*4</f>
        <v>13.4</v>
      </c>
      <c r="L63" s="16">
        <f t="shared" ref="L63:L78" si="9">IFERROR(((K63/(J63*I63)/24)),"0")</f>
        <v>33.499999999999453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8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273</v>
      </c>
      <c r="F64" s="8" t="s">
        <v>42</v>
      </c>
      <c r="G64" s="9">
        <v>0.86458333333333337</v>
      </c>
      <c r="H64" s="9">
        <v>0.87152777777777779</v>
      </c>
      <c r="I64" s="10">
        <f t="shared" si="8"/>
        <v>6.9444444444444198E-3</v>
      </c>
      <c r="J64" s="11">
        <v>3</v>
      </c>
      <c r="K64" s="11">
        <f>2.25*4</f>
        <v>9</v>
      </c>
      <c r="L64" s="16">
        <f t="shared" si="9"/>
        <v>18.000000000000064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10</v>
      </c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69" t="s">
        <v>274</v>
      </c>
      <c r="F65" s="8" t="s">
        <v>42</v>
      </c>
      <c r="G65" s="9">
        <v>0.90694444444444444</v>
      </c>
      <c r="H65" s="9">
        <v>0.92777777777777781</v>
      </c>
      <c r="I65" s="10">
        <f t="shared" si="8"/>
        <v>2.083333333333337E-2</v>
      </c>
      <c r="J65" s="11">
        <v>3</v>
      </c>
      <c r="K65" s="11">
        <v>171.04</v>
      </c>
      <c r="L65" s="16">
        <f t="shared" si="9"/>
        <v>114.02666666666646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/>
      <c r="AC65" s="11"/>
      <c r="AD65" s="11">
        <v>30</v>
      </c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69" t="s">
        <v>275</v>
      </c>
      <c r="F66" s="8" t="s">
        <v>42</v>
      </c>
      <c r="G66" s="9">
        <v>0.94166666666666665</v>
      </c>
      <c r="H66" s="9">
        <v>0.96388888888888891</v>
      </c>
      <c r="I66" s="10">
        <f t="shared" si="8"/>
        <v>2.2222222222222254E-2</v>
      </c>
      <c r="J66" s="11">
        <v>3</v>
      </c>
      <c r="K66" s="11">
        <v>169.64</v>
      </c>
      <c r="L66" s="16">
        <f t="shared" si="9"/>
        <v>106.02499999999985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/>
      <c r="AA66" s="11"/>
      <c r="AB66" s="11"/>
      <c r="AC66" s="11">
        <v>32</v>
      </c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69" t="s">
        <v>276</v>
      </c>
      <c r="F67" s="8" t="s">
        <v>42</v>
      </c>
      <c r="G67" s="9">
        <v>0.97152777777777777</v>
      </c>
      <c r="H67" s="9">
        <v>0.99027777777777781</v>
      </c>
      <c r="I67" s="10">
        <f t="shared" si="8"/>
        <v>1.8750000000000044E-2</v>
      </c>
      <c r="J67" s="11">
        <v>3</v>
      </c>
      <c r="K67" s="11">
        <v>172.12</v>
      </c>
      <c r="L67" s="16">
        <f t="shared" si="9"/>
        <v>127.49629629629599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/>
      <c r="AC67" s="11">
        <v>27</v>
      </c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69" t="s">
        <v>277</v>
      </c>
      <c r="F68" s="8" t="s">
        <v>42</v>
      </c>
      <c r="G68" s="9">
        <v>0.99722222222222223</v>
      </c>
      <c r="H68" s="9">
        <v>46112.013888888891</v>
      </c>
      <c r="I68" s="10">
        <f t="shared" si="8"/>
        <v>46111.01666666667</v>
      </c>
      <c r="J68" s="11">
        <v>3</v>
      </c>
      <c r="K68" s="11">
        <v>172.39</v>
      </c>
      <c r="L68" s="16">
        <f t="shared" si="9"/>
        <v>5.1924805147191255E-5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/>
      <c r="AA68" s="11"/>
      <c r="AB68" s="11"/>
      <c r="AC68" s="11">
        <v>24</v>
      </c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/>
      <c r="F69" s="63"/>
      <c r="G69" s="19"/>
      <c r="H69" s="19"/>
      <c r="I69" s="19"/>
      <c r="J69" s="19"/>
      <c r="K69" s="19"/>
      <c r="L69" s="19"/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 t="s">
        <v>83</v>
      </c>
      <c r="E70" s="19" t="s">
        <v>278</v>
      </c>
      <c r="F70" s="8" t="s">
        <v>42</v>
      </c>
      <c r="G70" s="9">
        <v>0.86527777777777781</v>
      </c>
      <c r="H70" s="9">
        <v>0.87083333333333335</v>
      </c>
      <c r="I70" s="10">
        <f t="shared" si="8"/>
        <v>5.5555555555555358E-3</v>
      </c>
      <c r="J70" s="11">
        <v>3</v>
      </c>
      <c r="K70" s="11">
        <v>10.85</v>
      </c>
      <c r="L70" s="16">
        <f t="shared" si="9"/>
        <v>27.125000000000096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8</v>
      </c>
      <c r="W70" s="12">
        <v>8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67" t="s">
        <v>279</v>
      </c>
      <c r="F71" s="8" t="s">
        <v>42</v>
      </c>
      <c r="G71" s="9">
        <v>0.93402777777777779</v>
      </c>
      <c r="H71" s="9">
        <v>0.96180555555555558</v>
      </c>
      <c r="I71" s="10">
        <f t="shared" si="8"/>
        <v>2.777777777777779E-2</v>
      </c>
      <c r="J71" s="11">
        <v>5</v>
      </c>
      <c r="K71" s="11">
        <v>80</v>
      </c>
      <c r="L71" s="16">
        <f t="shared" si="9"/>
        <v>23.999999999999989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1"/>
      <c r="Y71" s="11"/>
      <c r="Z71" s="11">
        <v>40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67" t="s">
        <v>280</v>
      </c>
      <c r="F72" s="8" t="s">
        <v>42</v>
      </c>
      <c r="G72" s="9">
        <v>0.94722222222222219</v>
      </c>
      <c r="H72" s="9">
        <v>0.97499999999999998</v>
      </c>
      <c r="I72" s="10">
        <f t="shared" si="8"/>
        <v>2.777777777777779E-2</v>
      </c>
      <c r="J72" s="11">
        <v>5</v>
      </c>
      <c r="K72" s="11">
        <v>80</v>
      </c>
      <c r="L72" s="16">
        <f t="shared" si="9"/>
        <v>23.999999999999989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>
        <v>40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67" t="s">
        <v>281</v>
      </c>
      <c r="F73" s="8" t="s">
        <v>42</v>
      </c>
      <c r="G73" s="9">
        <v>0.96319444444444446</v>
      </c>
      <c r="H73" s="9">
        <v>0.99097222222222225</v>
      </c>
      <c r="I73" s="10">
        <f t="shared" si="8"/>
        <v>2.777777777777779E-2</v>
      </c>
      <c r="J73" s="11">
        <v>5</v>
      </c>
      <c r="K73" s="11">
        <v>40</v>
      </c>
      <c r="L73" s="16">
        <f t="shared" si="9"/>
        <v>11.999999999999995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/>
      <c r="Y73" s="11"/>
      <c r="Z73" s="11"/>
      <c r="AA73" s="11">
        <v>40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67" t="s">
        <v>282</v>
      </c>
      <c r="F74" s="8" t="s">
        <v>42</v>
      </c>
      <c r="G74" s="9">
        <v>0.96319444444444446</v>
      </c>
      <c r="H74" s="9">
        <v>0.99097222222222225</v>
      </c>
      <c r="I74" s="10">
        <f t="shared" si="8"/>
        <v>2.777777777777779E-2</v>
      </c>
      <c r="J74" s="11">
        <v>5</v>
      </c>
      <c r="K74" s="11">
        <v>40</v>
      </c>
      <c r="L74" s="16">
        <f t="shared" si="9"/>
        <v>11.999999999999995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/>
      <c r="Z74" s="11"/>
      <c r="AA74" s="11">
        <v>40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67" t="s">
        <v>283</v>
      </c>
      <c r="F75" s="8" t="s">
        <v>42</v>
      </c>
      <c r="G75" s="9">
        <v>0.99305555555555558</v>
      </c>
      <c r="H75" s="9">
        <v>46112.020833333336</v>
      </c>
      <c r="I75" s="10">
        <f t="shared" si="8"/>
        <v>46111.027777777781</v>
      </c>
      <c r="J75" s="11">
        <v>5</v>
      </c>
      <c r="K75" s="11">
        <v>80</v>
      </c>
      <c r="L75" s="16">
        <f t="shared" si="9"/>
        <v>1.4457857453959254E-5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/>
      <c r="Z75" s="11"/>
      <c r="AA75" s="11">
        <v>40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67" t="s">
        <v>284</v>
      </c>
      <c r="F76" s="8" t="s">
        <v>42</v>
      </c>
      <c r="G76" s="9">
        <v>9.930555555555555E-2</v>
      </c>
      <c r="H76" s="9">
        <v>0.12708333333333333</v>
      </c>
      <c r="I76" s="10">
        <f t="shared" si="8"/>
        <v>2.7777777777777776E-2</v>
      </c>
      <c r="J76" s="11">
        <v>5</v>
      </c>
      <c r="K76" s="11">
        <v>80</v>
      </c>
      <c r="L76" s="16">
        <f t="shared" si="9"/>
        <v>24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>
        <v>40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67" t="s">
        <v>285</v>
      </c>
      <c r="F77" s="8" t="s">
        <v>42</v>
      </c>
      <c r="G77" s="9">
        <v>0.10972222222222222</v>
      </c>
      <c r="H77" s="9">
        <v>0.13750000000000001</v>
      </c>
      <c r="I77" s="10">
        <f t="shared" si="8"/>
        <v>2.777777777777779E-2</v>
      </c>
      <c r="J77" s="11">
        <v>5</v>
      </c>
      <c r="K77" s="11">
        <v>80</v>
      </c>
      <c r="L77" s="16">
        <f t="shared" si="9"/>
        <v>23.999999999999989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/>
      <c r="AA77" s="11">
        <v>40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67" t="s">
        <v>286</v>
      </c>
      <c r="F78" s="8" t="s">
        <v>42</v>
      </c>
      <c r="G78" s="9">
        <v>0.13194444444444445</v>
      </c>
      <c r="H78" s="9">
        <v>0.15972222222222221</v>
      </c>
      <c r="I78" s="10">
        <f t="shared" ref="I78:I90" si="10">H78-G78</f>
        <v>2.7777777777777762E-2</v>
      </c>
      <c r="J78" s="11">
        <v>5</v>
      </c>
      <c r="K78" s="11">
        <v>80</v>
      </c>
      <c r="L78" s="16">
        <f t="shared" si="9"/>
        <v>24.000000000000014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>
        <v>40</v>
      </c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67" t="s">
        <v>287</v>
      </c>
      <c r="F79" s="8" t="s">
        <v>42</v>
      </c>
      <c r="G79" s="9">
        <v>0.1451388888888889</v>
      </c>
      <c r="H79" s="9">
        <v>0.17291666666666666</v>
      </c>
      <c r="I79" s="10">
        <f t="shared" si="10"/>
        <v>2.7777777777777762E-2</v>
      </c>
      <c r="J79" s="11">
        <v>5</v>
      </c>
      <c r="K79" s="11">
        <v>40</v>
      </c>
      <c r="L79" s="16">
        <f t="shared" ref="L79:L90" si="11">IFERROR(((K79/(J79*I79)/24)),"0")</f>
        <v>12.000000000000007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/>
      <c r="Z79" s="11">
        <v>40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67" t="s">
        <v>288</v>
      </c>
      <c r="F80" s="8" t="s">
        <v>42</v>
      </c>
      <c r="G80" s="9">
        <v>0.1451388888888889</v>
      </c>
      <c r="H80" s="9">
        <v>0.17291666666666666</v>
      </c>
      <c r="I80" s="10">
        <f t="shared" si="10"/>
        <v>2.7777777777777762E-2</v>
      </c>
      <c r="J80" s="11">
        <v>5</v>
      </c>
      <c r="K80" s="11">
        <v>40</v>
      </c>
      <c r="L80" s="16">
        <f t="shared" si="11"/>
        <v>12.000000000000007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/>
      <c r="Y80" s="11"/>
      <c r="Z80" s="11">
        <v>40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1:38" ht="25.05" customHeight="1">
      <c r="B81" s="13"/>
      <c r="C81" s="29"/>
      <c r="D81" s="30"/>
      <c r="E81" s="67" t="s">
        <v>289</v>
      </c>
      <c r="F81" s="8" t="s">
        <v>42</v>
      </c>
      <c r="G81" s="9">
        <v>0.16458333333333333</v>
      </c>
      <c r="H81" s="9">
        <v>0.19236111111111112</v>
      </c>
      <c r="I81" s="10">
        <f t="shared" si="10"/>
        <v>2.777777777777779E-2</v>
      </c>
      <c r="J81" s="11">
        <v>5</v>
      </c>
      <c r="K81" s="11">
        <v>80</v>
      </c>
      <c r="L81" s="16">
        <f t="shared" si="11"/>
        <v>23.999999999999989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>
        <v>40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1:38" ht="25.05" customHeight="1">
      <c r="B82" s="13"/>
      <c r="C82" s="29"/>
      <c r="D82" s="30"/>
      <c r="E82" s="67" t="s">
        <v>290</v>
      </c>
      <c r="F82" s="8" t="s">
        <v>42</v>
      </c>
      <c r="G82" s="9">
        <v>0.1736111111111111</v>
      </c>
      <c r="H82" s="9">
        <v>0.20833333333333334</v>
      </c>
      <c r="I82" s="10">
        <f t="shared" si="10"/>
        <v>3.4722222222222238E-2</v>
      </c>
      <c r="J82" s="11">
        <v>5</v>
      </c>
      <c r="K82" s="11">
        <v>80</v>
      </c>
      <c r="L82" s="16">
        <f t="shared" si="11"/>
        <v>19.199999999999992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2</v>
      </c>
      <c r="X82" s="11"/>
      <c r="Y82" s="11"/>
      <c r="Z82" s="11">
        <v>40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1:38" ht="25.05" customHeight="1">
      <c r="B83" s="13"/>
      <c r="C83" s="29"/>
      <c r="D83" s="30"/>
      <c r="E83" s="67" t="s">
        <v>291</v>
      </c>
      <c r="F83" s="8" t="s">
        <v>42</v>
      </c>
      <c r="G83" s="9">
        <v>0.20347222222222222</v>
      </c>
      <c r="H83" s="9">
        <v>0.23125000000000001</v>
      </c>
      <c r="I83" s="10">
        <f t="shared" si="10"/>
        <v>2.777777777777779E-2</v>
      </c>
      <c r="J83" s="11">
        <v>5</v>
      </c>
      <c r="K83" s="11">
        <v>80</v>
      </c>
      <c r="L83" s="16">
        <f t="shared" si="11"/>
        <v>23.999999999999989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2</v>
      </c>
      <c r="X83" s="11"/>
      <c r="Y83" s="11">
        <v>40</v>
      </c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1:38" ht="25.05" customHeight="1">
      <c r="B84" s="13"/>
      <c r="C84" s="29"/>
      <c r="D84" s="30"/>
      <c r="E84" s="67" t="s">
        <v>292</v>
      </c>
      <c r="F84" s="8" t="s">
        <v>42</v>
      </c>
      <c r="G84" s="9">
        <v>0.21319444444444444</v>
      </c>
      <c r="H84" s="9">
        <v>0.24097222222222223</v>
      </c>
      <c r="I84" s="10">
        <f t="shared" si="10"/>
        <v>2.777777777777779E-2</v>
      </c>
      <c r="J84" s="11">
        <v>5</v>
      </c>
      <c r="K84" s="11">
        <v>80</v>
      </c>
      <c r="L84" s="16">
        <f t="shared" si="11"/>
        <v>23.999999999999989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/>
      <c r="Y84" s="11"/>
      <c r="Z84" s="11">
        <v>40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1:38" ht="25.05" customHeight="1">
      <c r="B85" s="13"/>
      <c r="C85" s="29"/>
      <c r="D85" s="30"/>
      <c r="E85" s="67" t="s">
        <v>293</v>
      </c>
      <c r="F85" s="8" t="s">
        <v>42</v>
      </c>
      <c r="G85" s="9">
        <v>0.2361111111111111</v>
      </c>
      <c r="H85" s="9">
        <v>0.2638888888888889</v>
      </c>
      <c r="I85" s="10">
        <f t="shared" si="10"/>
        <v>2.777777777777779E-2</v>
      </c>
      <c r="J85" s="11">
        <v>5</v>
      </c>
      <c r="K85" s="11">
        <v>40</v>
      </c>
      <c r="L85" s="16">
        <f t="shared" si="11"/>
        <v>11.999999999999995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/>
      <c r="Y85" s="11">
        <v>40</v>
      </c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1:38" ht="25.05" customHeight="1">
      <c r="B86" s="13"/>
      <c r="C86" s="29"/>
      <c r="D86" s="30"/>
      <c r="E86" s="67" t="s">
        <v>294</v>
      </c>
      <c r="F86" s="8" t="s">
        <v>42</v>
      </c>
      <c r="G86" s="9">
        <v>0.2361111111111111</v>
      </c>
      <c r="H86" s="9">
        <v>0.2638888888888889</v>
      </c>
      <c r="I86" s="10">
        <f t="shared" si="10"/>
        <v>2.777777777777779E-2</v>
      </c>
      <c r="J86" s="11">
        <v>5</v>
      </c>
      <c r="K86" s="11">
        <v>40</v>
      </c>
      <c r="L86" s="16">
        <f t="shared" si="11"/>
        <v>11.999999999999995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>
        <v>40</v>
      </c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1:38" ht="25.05" customHeight="1">
      <c r="B87" s="13"/>
      <c r="C87" s="29"/>
      <c r="D87" s="30"/>
      <c r="E87" s="67" t="s">
        <v>295</v>
      </c>
      <c r="F87" s="8" t="s">
        <v>42</v>
      </c>
      <c r="G87" s="9">
        <v>0.24861111111111112</v>
      </c>
      <c r="H87" s="9">
        <v>0.27638888888888891</v>
      </c>
      <c r="I87" s="10">
        <f t="shared" si="10"/>
        <v>2.777777777777779E-2</v>
      </c>
      <c r="J87" s="11">
        <v>5</v>
      </c>
      <c r="K87" s="11">
        <v>80</v>
      </c>
      <c r="L87" s="16">
        <f t="shared" si="11"/>
        <v>23.999999999999989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>
        <v>40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1:38" ht="25.05" customHeight="1">
      <c r="B88" s="13"/>
      <c r="C88" s="29"/>
      <c r="D88" s="30"/>
      <c r="E88" s="67" t="s">
        <v>296</v>
      </c>
      <c r="F88" s="8" t="s">
        <v>42</v>
      </c>
      <c r="G88" s="9">
        <v>0.25208333333333333</v>
      </c>
      <c r="H88" s="9">
        <v>0.27986111111111112</v>
      </c>
      <c r="I88" s="10">
        <f t="shared" si="10"/>
        <v>2.777777777777779E-2</v>
      </c>
      <c r="J88" s="11">
        <v>5</v>
      </c>
      <c r="K88" s="11">
        <v>80</v>
      </c>
      <c r="L88" s="16">
        <f t="shared" si="11"/>
        <v>23.999999999999989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/>
      <c r="AA88" s="11">
        <v>40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1:38" ht="25.05" customHeight="1">
      <c r="B89" s="13"/>
      <c r="C89" s="29"/>
      <c r="D89" s="30"/>
      <c r="E89" s="67" t="s">
        <v>297</v>
      </c>
      <c r="F89" s="8" t="s">
        <v>42</v>
      </c>
      <c r="G89" s="9">
        <v>0.2673611111111111</v>
      </c>
      <c r="H89" s="9">
        <v>0.2951388888888889</v>
      </c>
      <c r="I89" s="10">
        <f t="shared" si="10"/>
        <v>2.777777777777779E-2</v>
      </c>
      <c r="J89" s="11">
        <v>5</v>
      </c>
      <c r="K89" s="11">
        <v>80</v>
      </c>
      <c r="L89" s="16">
        <f t="shared" si="11"/>
        <v>23.999999999999989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>
        <v>40</v>
      </c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1:38" ht="25.05" customHeight="1">
      <c r="B90" s="13"/>
      <c r="C90" s="29"/>
      <c r="D90" s="30"/>
      <c r="E90" s="67" t="s">
        <v>298</v>
      </c>
      <c r="F90" s="8" t="s">
        <v>42</v>
      </c>
      <c r="G90" s="9">
        <v>0.27986111111111112</v>
      </c>
      <c r="H90" s="9">
        <v>0.30763888888888891</v>
      </c>
      <c r="I90" s="10">
        <f t="shared" si="10"/>
        <v>2.777777777777779E-2</v>
      </c>
      <c r="J90" s="11">
        <v>5</v>
      </c>
      <c r="K90" s="11">
        <v>80.78</v>
      </c>
      <c r="L90" s="16">
        <f t="shared" si="11"/>
        <v>24.233999999999991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>
        <v>40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1:38" ht="25.05" customHeight="1">
      <c r="B91" s="13"/>
      <c r="C91" s="29"/>
      <c r="D91" s="30"/>
      <c r="E91" s="19"/>
      <c r="F91" s="63"/>
      <c r="G91" s="19"/>
      <c r="H91" s="19"/>
      <c r="I91" s="19"/>
      <c r="J91" s="19"/>
      <c r="K91" s="19"/>
      <c r="L91" s="19"/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1:38" ht="25.05" customHeight="1">
      <c r="B92" s="13"/>
      <c r="C92" s="29"/>
      <c r="D92" s="183" t="s">
        <v>230</v>
      </c>
      <c r="E92" s="19" t="s">
        <v>299</v>
      </c>
      <c r="F92" s="8" t="s">
        <v>42</v>
      </c>
      <c r="G92" s="9">
        <v>0.99236111111111114</v>
      </c>
      <c r="H92" s="9">
        <v>46112.00277777778</v>
      </c>
      <c r="I92" s="10">
        <f t="shared" ref="I92:I93" si="12">H92-G92</f>
        <v>46111.010416666672</v>
      </c>
      <c r="J92" s="11">
        <v>3</v>
      </c>
      <c r="K92" s="11">
        <v>84.48</v>
      </c>
      <c r="L92" s="16">
        <f t="shared" ref="L92:L93" si="13">IFERROR(((K92/(J92*I92)/24)),"0")</f>
        <v>2.5445838699497162E-5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/>
      <c r="X92" s="11"/>
      <c r="Y92" s="11"/>
      <c r="Z92" s="11"/>
      <c r="AA92" s="11"/>
      <c r="AB92" s="11">
        <v>15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1:38" ht="25.05" customHeight="1">
      <c r="B93" s="13"/>
      <c r="C93" s="29"/>
      <c r="D93" s="30"/>
      <c r="E93" s="19"/>
      <c r="F93" s="8" t="s">
        <v>42</v>
      </c>
      <c r="G93" s="9"/>
      <c r="H93" s="9"/>
      <c r="I93" s="10">
        <f t="shared" si="12"/>
        <v>0</v>
      </c>
      <c r="J93" s="11"/>
      <c r="K93" s="11"/>
      <c r="L93" s="16" t="str">
        <f t="shared" si="13"/>
        <v>0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1:38" ht="25.05" customHeight="1">
      <c r="B94" s="13"/>
      <c r="C94" s="29"/>
      <c r="D94" s="30"/>
      <c r="E94" s="19"/>
      <c r="F94" s="8" t="s">
        <v>42</v>
      </c>
      <c r="G94" s="9"/>
      <c r="H94" s="9"/>
      <c r="I94" s="10">
        <v>4</v>
      </c>
      <c r="J94" s="11"/>
      <c r="K94" s="11"/>
      <c r="L94" s="16" t="str">
        <f t="shared" ref="L94" si="14">IFERROR(((K94/(J94*I94)/24)),"0")</f>
        <v>0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1:38" s="28" customFormat="1" ht="25.5" customHeight="1">
      <c r="A95" s="2"/>
      <c r="B95" s="32"/>
      <c r="C95" s="33"/>
      <c r="D95" s="34"/>
      <c r="E95" s="35"/>
      <c r="F95" s="35"/>
      <c r="G95" s="36"/>
      <c r="H95" s="36"/>
      <c r="I95" s="37"/>
      <c r="J95" s="38"/>
      <c r="K95" s="38">
        <f t="shared" ref="K95:AL95" si="15">SUM(K30:K94)</f>
        <v>4452.1399999999985</v>
      </c>
      <c r="L95" s="39">
        <f t="shared" si="15"/>
        <v>2364.3086138878498</v>
      </c>
      <c r="M95" s="38">
        <f t="shared" si="15"/>
        <v>0</v>
      </c>
      <c r="N95" s="38">
        <f t="shared" si="15"/>
        <v>0</v>
      </c>
      <c r="O95" s="38">
        <f t="shared" si="15"/>
        <v>0</v>
      </c>
      <c r="P95" s="38">
        <f t="shared" si="15"/>
        <v>0</v>
      </c>
      <c r="Q95" s="38">
        <f t="shared" si="15"/>
        <v>0</v>
      </c>
      <c r="R95" s="38">
        <f t="shared" si="15"/>
        <v>0</v>
      </c>
      <c r="S95" s="38">
        <f t="shared" si="15"/>
        <v>0</v>
      </c>
      <c r="T95" s="38">
        <f t="shared" si="15"/>
        <v>0</v>
      </c>
      <c r="U95" s="38">
        <f t="shared" si="15"/>
        <v>0</v>
      </c>
      <c r="V95" s="38">
        <f t="shared" si="15"/>
        <v>77</v>
      </c>
      <c r="W95" s="38">
        <f t="shared" si="15"/>
        <v>80</v>
      </c>
      <c r="X95" s="38">
        <f t="shared" si="15"/>
        <v>0</v>
      </c>
      <c r="Y95" s="38">
        <f t="shared" si="15"/>
        <v>280</v>
      </c>
      <c r="Z95" s="38">
        <f t="shared" si="15"/>
        <v>455</v>
      </c>
      <c r="AA95" s="38">
        <f t="shared" si="15"/>
        <v>515</v>
      </c>
      <c r="AB95" s="38">
        <f t="shared" si="15"/>
        <v>182</v>
      </c>
      <c r="AC95" s="38">
        <f t="shared" si="15"/>
        <v>200</v>
      </c>
      <c r="AD95" s="38">
        <f t="shared" si="15"/>
        <v>30</v>
      </c>
      <c r="AE95" s="38">
        <f t="shared" si="15"/>
        <v>0</v>
      </c>
      <c r="AF95" s="38">
        <f t="shared" si="15"/>
        <v>0</v>
      </c>
      <c r="AG95" s="38">
        <f t="shared" si="15"/>
        <v>101</v>
      </c>
      <c r="AH95" s="38">
        <f t="shared" si="15"/>
        <v>101</v>
      </c>
      <c r="AI95" s="38">
        <f t="shared" si="15"/>
        <v>101</v>
      </c>
      <c r="AJ95" s="38">
        <f t="shared" si="15"/>
        <v>101</v>
      </c>
      <c r="AK95" s="38">
        <f t="shared" si="15"/>
        <v>0</v>
      </c>
      <c r="AL95" s="38">
        <f t="shared" si="15"/>
        <v>0</v>
      </c>
    </row>
    <row r="96" spans="1:38" ht="38.1" customHeight="1">
      <c r="B96" s="40" t="s">
        <v>45</v>
      </c>
      <c r="C96" s="41"/>
      <c r="D96" s="41"/>
      <c r="E96" s="41"/>
      <c r="F96" s="41"/>
      <c r="G96" s="41"/>
      <c r="H96" s="41"/>
      <c r="I96" s="41"/>
      <c r="J96" s="41"/>
      <c r="K96" s="42">
        <f>K26+K29+K95</f>
        <v>5843.954999999999</v>
      </c>
      <c r="L96" s="42">
        <f>L26+L29+L95</f>
        <v>3903.6837932313119</v>
      </c>
      <c r="M96" s="43">
        <f t="shared" ref="M96:AL96" si="16">(M26+M29+M95)/(480-15-30)</f>
        <v>0.28735632183908044</v>
      </c>
      <c r="N96" s="43">
        <f t="shared" si="16"/>
        <v>0</v>
      </c>
      <c r="O96" s="43">
        <f t="shared" si="16"/>
        <v>0</v>
      </c>
      <c r="P96" s="43">
        <f t="shared" si="16"/>
        <v>0</v>
      </c>
      <c r="Q96" s="43">
        <f t="shared" si="16"/>
        <v>0.10114942528735632</v>
      </c>
      <c r="R96" s="43">
        <f t="shared" si="16"/>
        <v>0</v>
      </c>
      <c r="S96" s="43">
        <f t="shared" si="16"/>
        <v>0.58390804597701151</v>
      </c>
      <c r="T96" s="43">
        <f t="shared" si="16"/>
        <v>0</v>
      </c>
      <c r="U96" s="43">
        <f t="shared" si="16"/>
        <v>0</v>
      </c>
      <c r="V96" s="43">
        <f t="shared" si="16"/>
        <v>0.17701149425287357</v>
      </c>
      <c r="W96" s="43">
        <f t="shared" si="16"/>
        <v>0.18390804597701149</v>
      </c>
      <c r="X96" s="43">
        <f t="shared" si="16"/>
        <v>0</v>
      </c>
      <c r="Y96" s="43">
        <f t="shared" si="16"/>
        <v>0.64367816091954022</v>
      </c>
      <c r="Z96" s="43">
        <f t="shared" si="16"/>
        <v>1.0459770114942528</v>
      </c>
      <c r="AA96" s="43">
        <f t="shared" si="16"/>
        <v>1.1839080459770115</v>
      </c>
      <c r="AB96" s="43">
        <f t="shared" si="16"/>
        <v>0.41839080459770117</v>
      </c>
      <c r="AC96" s="43">
        <f t="shared" si="16"/>
        <v>0.45977011494252873</v>
      </c>
      <c r="AD96" s="43">
        <f t="shared" si="16"/>
        <v>6.8965517241379309E-2</v>
      </c>
      <c r="AE96" s="43">
        <f t="shared" si="16"/>
        <v>0</v>
      </c>
      <c r="AF96" s="43">
        <f t="shared" si="16"/>
        <v>0</v>
      </c>
      <c r="AG96" s="43">
        <f t="shared" si="16"/>
        <v>0.23218390804597702</v>
      </c>
      <c r="AH96" s="43">
        <f t="shared" si="16"/>
        <v>0.23218390804597702</v>
      </c>
      <c r="AI96" s="43">
        <f t="shared" si="16"/>
        <v>0.23218390804597702</v>
      </c>
      <c r="AJ96" s="43">
        <f t="shared" si="16"/>
        <v>0.23218390804597702</v>
      </c>
      <c r="AK96" s="43">
        <f t="shared" si="16"/>
        <v>0</v>
      </c>
      <c r="AL96" s="43">
        <f t="shared" si="16"/>
        <v>0</v>
      </c>
    </row>
    <row r="97" spans="2:36" ht="25.05" customHeight="1">
      <c r="B97" s="44"/>
      <c r="C97" s="44"/>
      <c r="D97" s="44"/>
      <c r="E97" s="45"/>
      <c r="F97" s="45"/>
      <c r="G97" s="45"/>
      <c r="H97" s="45"/>
      <c r="I97" s="46"/>
      <c r="J97" s="46"/>
      <c r="K97" s="45"/>
      <c r="L97" s="47"/>
      <c r="M97" s="47"/>
      <c r="N97" s="47"/>
      <c r="O97" s="47"/>
      <c r="P97" s="47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  <c r="AI97" s="45"/>
      <c r="AJ97" s="45"/>
    </row>
    <row r="98" spans="2:36" ht="25.05" customHeight="1">
      <c r="B98" s="44"/>
      <c r="C98" s="44"/>
      <c r="D98" s="44"/>
      <c r="E98" s="45"/>
      <c r="F98" s="45"/>
      <c r="G98" s="45"/>
      <c r="H98" s="45"/>
      <c r="I98" s="48" t="s">
        <v>46</v>
      </c>
      <c r="J98" s="46"/>
      <c r="K98" s="45"/>
      <c r="L98" s="47"/>
      <c r="M98" s="47"/>
      <c r="N98" s="47"/>
      <c r="O98" s="47"/>
      <c r="P98" s="47"/>
      <c r="Q98" s="45"/>
      <c r="R98" s="45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  <c r="AI98" s="45"/>
      <c r="AJ98" s="45"/>
    </row>
    <row r="99" spans="2:36" ht="25.05" customHeight="1">
      <c r="B99" s="44"/>
      <c r="C99" s="44"/>
      <c r="D99" s="44"/>
      <c r="E99" s="45"/>
      <c r="F99" s="45"/>
      <c r="G99" s="45"/>
      <c r="H99" s="45"/>
      <c r="I99" s="49" t="s">
        <v>47</v>
      </c>
      <c r="J99" s="9">
        <v>0</v>
      </c>
      <c r="K99" s="11">
        <v>7</v>
      </c>
      <c r="L99" s="11" t="s">
        <v>48</v>
      </c>
      <c r="M99" s="47"/>
      <c r="N99" s="14">
        <v>3</v>
      </c>
      <c r="O99" s="14"/>
      <c r="P99" s="14"/>
      <c r="Q99" s="50" t="s">
        <v>49</v>
      </c>
      <c r="R99" s="51"/>
      <c r="S99" s="45"/>
      <c r="T99" s="45"/>
      <c r="U99" s="45"/>
      <c r="V99" s="45"/>
      <c r="W99" s="45"/>
      <c r="X99" s="45"/>
      <c r="Y99" s="45"/>
      <c r="Z99" s="45"/>
      <c r="AA99" s="45"/>
      <c r="AC99" s="45"/>
      <c r="AD99" s="45"/>
      <c r="AE99" s="45"/>
      <c r="AF99" s="45"/>
      <c r="AG99" s="45"/>
      <c r="AH99" s="45"/>
    </row>
    <row r="100" spans="2:36" ht="25.05" customHeight="1">
      <c r="B100" s="44"/>
      <c r="C100" s="44"/>
      <c r="D100" s="44"/>
      <c r="E100" s="45"/>
      <c r="F100" s="45"/>
      <c r="G100" s="45"/>
      <c r="H100" s="45"/>
      <c r="I100" s="49" t="s">
        <v>50</v>
      </c>
      <c r="J100" s="9">
        <v>0</v>
      </c>
      <c r="K100" s="11">
        <v>0</v>
      </c>
      <c r="L100" s="11" t="s">
        <v>48</v>
      </c>
      <c r="M100" s="47"/>
      <c r="N100" s="14">
        <v>0</v>
      </c>
      <c r="O100" s="14"/>
      <c r="P100" s="14"/>
      <c r="Q100" s="50" t="s">
        <v>51</v>
      </c>
      <c r="R100" s="51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</row>
    <row r="101" spans="2:36" ht="25.05" customHeight="1">
      <c r="B101" s="44"/>
      <c r="C101" s="44"/>
      <c r="D101" s="44"/>
      <c r="E101" s="45"/>
      <c r="F101" s="45"/>
      <c r="G101" s="45"/>
      <c r="H101" s="45"/>
      <c r="I101" s="49" t="s">
        <v>52</v>
      </c>
      <c r="J101" s="9">
        <v>0</v>
      </c>
      <c r="K101" s="11">
        <v>18</v>
      </c>
      <c r="L101" s="11" t="s">
        <v>48</v>
      </c>
      <c r="M101" s="47"/>
      <c r="N101" s="14">
        <v>1</v>
      </c>
      <c r="O101" s="14"/>
      <c r="P101" s="14"/>
      <c r="Q101" s="50" t="s">
        <v>53</v>
      </c>
      <c r="R101" s="51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</row>
    <row r="102" spans="2:36" ht="25.05" customHeight="1">
      <c r="B102" s="44"/>
      <c r="C102" s="44"/>
      <c r="D102" s="44"/>
      <c r="E102" s="45"/>
      <c r="F102" s="45"/>
      <c r="G102" s="45"/>
      <c r="H102" s="45"/>
      <c r="I102" s="52" t="s">
        <v>54</v>
      </c>
      <c r="J102" s="53">
        <v>0</v>
      </c>
      <c r="K102" s="11">
        <v>2</v>
      </c>
      <c r="L102" s="54" t="s">
        <v>48</v>
      </c>
      <c r="M102" s="47"/>
      <c r="N102" s="14">
        <v>4</v>
      </c>
      <c r="O102" s="14"/>
      <c r="P102" s="14"/>
      <c r="Q102" s="50" t="s">
        <v>55</v>
      </c>
      <c r="R102" s="51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</row>
    <row r="103" spans="2:36" ht="25.05" customHeight="1">
      <c r="B103" s="44"/>
      <c r="C103" s="44"/>
      <c r="D103" s="44"/>
      <c r="E103" s="45"/>
      <c r="F103" s="45"/>
      <c r="G103" s="45"/>
      <c r="H103" s="45"/>
      <c r="I103" s="49" t="s">
        <v>56</v>
      </c>
      <c r="J103" s="9">
        <v>0</v>
      </c>
      <c r="K103" s="11">
        <v>27</v>
      </c>
      <c r="L103" s="11" t="s">
        <v>48</v>
      </c>
      <c r="M103" s="47"/>
      <c r="N103"/>
      <c r="O103"/>
      <c r="P103"/>
      <c r="Q103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</row>
    <row r="104" spans="2:36" ht="25.05" customHeight="1">
      <c r="B104" s="44"/>
      <c r="C104" s="44"/>
      <c r="D104" s="44"/>
      <c r="E104" s="45"/>
      <c r="F104" s="45"/>
      <c r="G104" s="45"/>
      <c r="H104" s="45"/>
      <c r="M104" s="47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</row>
    <row r="105" spans="2:36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3819E-E070-46ED-A664-B901D1742B5A}">
  <sheetPr>
    <pageSetUpPr fitToPage="1"/>
  </sheetPr>
  <dimension ref="A1:AL138"/>
  <sheetViews>
    <sheetView zoomScale="40" zoomScaleNormal="40" workbookViewId="0">
      <pane xSplit="12" ySplit="3" topLeftCell="O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8.777343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13" width="16.21875" style="2" customWidth="1"/>
    <col min="14" max="14" width="17.5546875" style="2" customWidth="1"/>
    <col min="15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73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300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17" si="0">H4-G4</f>
        <v>2.0833333333333315E-2</v>
      </c>
      <c r="J4" s="11">
        <v>1</v>
      </c>
      <c r="K4" s="11" t="s">
        <v>42</v>
      </c>
      <c r="L4" s="16" t="str">
        <f t="shared" ref="L4:L17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79</v>
      </c>
      <c r="E5" s="15" t="s">
        <v>80</v>
      </c>
      <c r="F5" s="8" t="s">
        <v>42</v>
      </c>
      <c r="G5" s="9">
        <v>0.29166666666666669</v>
      </c>
      <c r="H5" s="9">
        <v>0.30902777777777779</v>
      </c>
      <c r="I5" s="10">
        <f t="shared" si="0"/>
        <v>1.7361111111111105E-2</v>
      </c>
      <c r="J5" s="11">
        <v>1</v>
      </c>
      <c r="K5" s="27">
        <v>12.88</v>
      </c>
      <c r="L5" s="16">
        <f t="shared" si="1"/>
        <v>30.91200000000001</v>
      </c>
      <c r="M5" s="11"/>
      <c r="N5" s="11"/>
      <c r="O5" s="11">
        <v>25</v>
      </c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30" t="s">
        <v>301</v>
      </c>
      <c r="E6" s="15" t="s">
        <v>302</v>
      </c>
      <c r="F6" s="55" t="s">
        <v>303</v>
      </c>
      <c r="G6" s="9">
        <v>0.29166666666666669</v>
      </c>
      <c r="H6" s="9">
        <v>0.45833333333333331</v>
      </c>
      <c r="I6" s="10">
        <f t="shared" si="0"/>
        <v>0.16666666666666663</v>
      </c>
      <c r="J6" s="11">
        <v>8</v>
      </c>
      <c r="K6" s="27">
        <v>313.83999999999997</v>
      </c>
      <c r="L6" s="16">
        <f t="shared" si="1"/>
        <v>9.807500000000001</v>
      </c>
      <c r="M6" s="11"/>
      <c r="N6" s="11"/>
      <c r="O6" s="11"/>
      <c r="P6" s="11"/>
      <c r="Q6" s="11"/>
      <c r="R6" s="12"/>
      <c r="S6" s="12">
        <v>240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 t="s">
        <v>304</v>
      </c>
      <c r="E7" s="15" t="s">
        <v>81</v>
      </c>
      <c r="F7" s="130" t="s">
        <v>42</v>
      </c>
      <c r="G7" s="9">
        <v>0.29166666666666669</v>
      </c>
      <c r="H7" s="9">
        <v>0.31944444444444442</v>
      </c>
      <c r="I7" s="10">
        <f t="shared" si="0"/>
        <v>2.7777777777777735E-2</v>
      </c>
      <c r="J7" s="11">
        <v>2</v>
      </c>
      <c r="K7" s="27">
        <v>184</v>
      </c>
      <c r="L7" s="16">
        <f t="shared" si="1"/>
        <v>138.0000000000002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0" t="s">
        <v>301</v>
      </c>
      <c r="E8" s="15" t="s">
        <v>305</v>
      </c>
      <c r="F8" s="55" t="s">
        <v>306</v>
      </c>
      <c r="G8" s="9">
        <v>0.33333333333333331</v>
      </c>
      <c r="H8" s="9">
        <v>0.35069444444444442</v>
      </c>
      <c r="I8" s="10">
        <f t="shared" si="0"/>
        <v>1.7361111111111105E-2</v>
      </c>
      <c r="J8" s="11">
        <v>1</v>
      </c>
      <c r="K8" s="27">
        <v>78.8</v>
      </c>
      <c r="L8" s="16">
        <f t="shared" si="1"/>
        <v>189.12000000000003</v>
      </c>
      <c r="M8" s="11">
        <v>25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29" t="s">
        <v>307</v>
      </c>
      <c r="F9" s="55" t="s">
        <v>87</v>
      </c>
      <c r="G9" s="9">
        <v>0.35208333333333336</v>
      </c>
      <c r="H9" s="9">
        <v>0.36458333333333331</v>
      </c>
      <c r="I9" s="10">
        <f t="shared" si="0"/>
        <v>1.2499999999999956E-2</v>
      </c>
      <c r="J9" s="11">
        <v>1</v>
      </c>
      <c r="K9" s="27">
        <v>9.8800000000000008</v>
      </c>
      <c r="L9" s="16">
        <f t="shared" si="1"/>
        <v>32.933333333333451</v>
      </c>
      <c r="M9" s="11">
        <v>18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308</v>
      </c>
      <c r="F10" s="55" t="s">
        <v>87</v>
      </c>
      <c r="G10" s="9">
        <v>0.36805555555555558</v>
      </c>
      <c r="H10" s="9">
        <v>0.37847222222222221</v>
      </c>
      <c r="I10" s="10">
        <f t="shared" si="0"/>
        <v>1.041666666666663E-2</v>
      </c>
      <c r="J10" s="11">
        <v>1</v>
      </c>
      <c r="K10" s="27">
        <v>7.6</v>
      </c>
      <c r="L10" s="16">
        <f t="shared" si="1"/>
        <v>30.400000000000105</v>
      </c>
      <c r="M10" s="11">
        <v>15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 t="s">
        <v>304</v>
      </c>
      <c r="E11" s="169" t="s">
        <v>82</v>
      </c>
      <c r="F11" s="8" t="s">
        <v>42</v>
      </c>
      <c r="G11" s="9">
        <v>0.4236111111111111</v>
      </c>
      <c r="H11" s="9">
        <v>0.4513888888888889</v>
      </c>
      <c r="I11" s="10">
        <f t="shared" si="0"/>
        <v>2.777777777777779E-2</v>
      </c>
      <c r="J11" s="11">
        <v>1</v>
      </c>
      <c r="K11" s="27">
        <v>22.4</v>
      </c>
      <c r="L11" s="16">
        <f t="shared" si="1"/>
        <v>33.599999999999987</v>
      </c>
      <c r="M11" s="11">
        <v>40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31"/>
      <c r="E12" s="15" t="s">
        <v>96</v>
      </c>
      <c r="F12" s="8" t="s">
        <v>42</v>
      </c>
      <c r="G12" s="9">
        <v>0.45833333333333331</v>
      </c>
      <c r="H12" s="9">
        <v>0.47222222222222221</v>
      </c>
      <c r="I12" s="10">
        <f t="shared" si="0"/>
        <v>1.3888888888888895E-2</v>
      </c>
      <c r="J12" s="11">
        <v>9</v>
      </c>
      <c r="K12" s="27" t="s">
        <v>42</v>
      </c>
      <c r="L12" s="16" t="str">
        <f t="shared" si="1"/>
        <v>0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30" t="s">
        <v>83</v>
      </c>
      <c r="E13" s="111" t="s">
        <v>95</v>
      </c>
      <c r="F13" s="8" t="s">
        <v>42</v>
      </c>
      <c r="G13" s="9">
        <v>0.51388888888888884</v>
      </c>
      <c r="H13" s="9">
        <v>0.57638888888888884</v>
      </c>
      <c r="I13" s="10">
        <f t="shared" si="0"/>
        <v>6.25E-2</v>
      </c>
      <c r="J13" s="11">
        <v>9</v>
      </c>
      <c r="K13" s="11">
        <v>375</v>
      </c>
      <c r="L13" s="16">
        <f t="shared" si="1"/>
        <v>27.777777777777775</v>
      </c>
      <c r="M13" s="11"/>
      <c r="N13" s="11"/>
      <c r="O13" s="11"/>
      <c r="P13" s="11">
        <v>90</v>
      </c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166"/>
      <c r="E14" s="15" t="s">
        <v>97</v>
      </c>
      <c r="F14" s="8" t="s">
        <v>42</v>
      </c>
      <c r="G14" s="9">
        <v>0.53472222222222221</v>
      </c>
      <c r="H14" s="9">
        <v>0.60416666666666663</v>
      </c>
      <c r="I14" s="10">
        <f t="shared" si="0"/>
        <v>6.944444444444442E-2</v>
      </c>
      <c r="J14" s="11">
        <v>1</v>
      </c>
      <c r="K14" s="11">
        <v>326.2</v>
      </c>
      <c r="L14" s="16">
        <f t="shared" si="1"/>
        <v>195.72000000000006</v>
      </c>
      <c r="M14" s="11"/>
      <c r="N14" s="11"/>
      <c r="O14" s="11"/>
      <c r="P14" s="11"/>
      <c r="Q14" s="11"/>
      <c r="R14" s="12">
        <v>100</v>
      </c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 t="s">
        <v>304</v>
      </c>
      <c r="E15" s="15" t="s">
        <v>309</v>
      </c>
      <c r="F15" s="130" t="s">
        <v>310</v>
      </c>
      <c r="G15" s="9">
        <v>0.58333333333333337</v>
      </c>
      <c r="H15" s="9">
        <v>0.6875</v>
      </c>
      <c r="I15" s="10">
        <f t="shared" si="0"/>
        <v>0.10416666666666663</v>
      </c>
      <c r="J15" s="11">
        <v>8</v>
      </c>
      <c r="K15" s="27">
        <v>471.6</v>
      </c>
      <c r="L15" s="16">
        <f t="shared" si="1"/>
        <v>23.580000000000009</v>
      </c>
      <c r="M15" s="11"/>
      <c r="N15" s="11"/>
      <c r="O15" s="11">
        <v>150</v>
      </c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96</v>
      </c>
      <c r="F16" s="8" t="s">
        <v>42</v>
      </c>
      <c r="G16" s="9">
        <v>0.6875</v>
      </c>
      <c r="H16" s="9">
        <v>0.70833333333333337</v>
      </c>
      <c r="I16" s="10">
        <f t="shared" si="0"/>
        <v>2.083333333333337E-2</v>
      </c>
      <c r="J16" s="11">
        <v>8</v>
      </c>
      <c r="K16" s="27" t="s">
        <v>42</v>
      </c>
      <c r="L16" s="16" t="str">
        <f t="shared" si="1"/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5" customHeight="1">
      <c r="B17" s="13"/>
      <c r="C17" s="14"/>
      <c r="D17" s="6"/>
      <c r="E17" s="15"/>
      <c r="F17" s="8" t="s">
        <v>42</v>
      </c>
      <c r="G17" s="9"/>
      <c r="H17" s="9"/>
      <c r="I17" s="10">
        <f t="shared" si="0"/>
        <v>0</v>
      </c>
      <c r="J17" s="11"/>
      <c r="K17" s="11"/>
      <c r="L17" s="16" t="str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s="28" customFormat="1" ht="25.05" customHeight="1">
      <c r="A18" s="2"/>
      <c r="B18" s="21"/>
      <c r="C18" s="22"/>
      <c r="D18" s="23"/>
      <c r="E18" s="24"/>
      <c r="F18" s="24"/>
      <c r="G18" s="25"/>
      <c r="H18" s="25"/>
      <c r="I18" s="26"/>
      <c r="J18" s="27"/>
      <c r="K18" s="27">
        <f t="shared" ref="K18:AL18" si="2">SUM(K4:K17)</f>
        <v>1802.1999999999998</v>
      </c>
      <c r="L18" s="39">
        <f t="shared" si="2"/>
        <v>711.85061111111168</v>
      </c>
      <c r="M18" s="27">
        <f t="shared" si="2"/>
        <v>98</v>
      </c>
      <c r="N18" s="27">
        <f t="shared" si="2"/>
        <v>0</v>
      </c>
      <c r="O18" s="27">
        <f t="shared" si="2"/>
        <v>175</v>
      </c>
      <c r="P18" s="27">
        <f t="shared" si="2"/>
        <v>90</v>
      </c>
      <c r="Q18" s="27">
        <f t="shared" si="2"/>
        <v>0</v>
      </c>
      <c r="R18" s="27">
        <f t="shared" si="2"/>
        <v>100</v>
      </c>
      <c r="S18" s="27">
        <f t="shared" si="2"/>
        <v>240</v>
      </c>
      <c r="T18" s="27">
        <f t="shared" si="2"/>
        <v>0</v>
      </c>
      <c r="U18" s="27">
        <f t="shared" si="2"/>
        <v>0</v>
      </c>
      <c r="V18" s="27">
        <f t="shared" si="2"/>
        <v>0</v>
      </c>
      <c r="W18" s="27">
        <f t="shared" si="2"/>
        <v>0</v>
      </c>
      <c r="X18" s="27">
        <f t="shared" si="2"/>
        <v>0</v>
      </c>
      <c r="Y18" s="27">
        <f t="shared" si="2"/>
        <v>0</v>
      </c>
      <c r="Z18" s="27">
        <f t="shared" si="2"/>
        <v>0</v>
      </c>
      <c r="AA18" s="27">
        <f t="shared" si="2"/>
        <v>0</v>
      </c>
      <c r="AB18" s="27">
        <f t="shared" si="2"/>
        <v>0</v>
      </c>
      <c r="AC18" s="27">
        <f t="shared" si="2"/>
        <v>0</v>
      </c>
      <c r="AD18" s="27">
        <f t="shared" si="2"/>
        <v>0</v>
      </c>
      <c r="AE18" s="27">
        <f t="shared" si="2"/>
        <v>0</v>
      </c>
      <c r="AF18" s="27">
        <f t="shared" si="2"/>
        <v>0</v>
      </c>
      <c r="AG18" s="27">
        <f t="shared" si="2"/>
        <v>0</v>
      </c>
      <c r="AH18" s="27">
        <f t="shared" si="2"/>
        <v>0</v>
      </c>
      <c r="AI18" s="27">
        <f t="shared" si="2"/>
        <v>0</v>
      </c>
      <c r="AJ18" s="27">
        <f t="shared" si="2"/>
        <v>0</v>
      </c>
      <c r="AK18" s="27">
        <f t="shared" si="2"/>
        <v>0</v>
      </c>
      <c r="AL18" s="27">
        <f t="shared" si="2"/>
        <v>0</v>
      </c>
    </row>
    <row r="19" spans="1:38" ht="25.05" customHeight="1">
      <c r="B19" s="5" t="s">
        <v>300</v>
      </c>
      <c r="C19" s="14" t="s">
        <v>43</v>
      </c>
      <c r="D19" s="6"/>
      <c r="E19" s="7" t="s">
        <v>41</v>
      </c>
      <c r="F19" s="8" t="s">
        <v>42</v>
      </c>
      <c r="G19" s="9">
        <v>0.29166666666666669</v>
      </c>
      <c r="H19" s="9">
        <v>0.33333333333333331</v>
      </c>
      <c r="I19" s="10">
        <f>H19-G19</f>
        <v>4.166666666666663E-2</v>
      </c>
      <c r="J19" s="11">
        <v>2</v>
      </c>
      <c r="K19" s="11" t="s">
        <v>42</v>
      </c>
      <c r="L19" s="16" t="str">
        <f>IFERROR(((K19/(J19*I19)/24)),"0")</f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 t="s">
        <v>62</v>
      </c>
      <c r="E20" s="7" t="s">
        <v>311</v>
      </c>
      <c r="F20" s="8" t="s">
        <v>42</v>
      </c>
      <c r="G20" s="9">
        <v>0.33333333333333331</v>
      </c>
      <c r="H20" s="9">
        <v>0.375</v>
      </c>
      <c r="I20" s="10">
        <f t="shared" ref="I20:I25" si="3">H20-G20</f>
        <v>4.1666666666666685E-2</v>
      </c>
      <c r="J20" s="11">
        <v>12</v>
      </c>
      <c r="K20" s="11">
        <f>92*2</f>
        <v>184</v>
      </c>
      <c r="L20" s="16">
        <f t="shared" ref="L20:L25" si="4">IFERROR(((K20/(J20*I20)/24)),"0")</f>
        <v>15.333333333333327</v>
      </c>
      <c r="M20" s="11"/>
      <c r="N20" s="11"/>
      <c r="O20" s="11"/>
      <c r="P20" s="11"/>
      <c r="Q20" s="11"/>
      <c r="R20" s="12"/>
      <c r="S20" s="12"/>
      <c r="T20" s="11">
        <v>60</v>
      </c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30" t="s">
        <v>79</v>
      </c>
      <c r="E21" s="7" t="s">
        <v>312</v>
      </c>
      <c r="F21" s="8" t="s">
        <v>42</v>
      </c>
      <c r="G21" s="9">
        <v>0.375</v>
      </c>
      <c r="H21" s="9">
        <v>0.51041666666666663</v>
      </c>
      <c r="I21" s="10">
        <f t="shared" si="3"/>
        <v>0.13541666666666663</v>
      </c>
      <c r="J21" s="11">
        <v>12</v>
      </c>
      <c r="K21" s="11">
        <f>104*5</f>
        <v>520</v>
      </c>
      <c r="L21" s="16">
        <f t="shared" si="4"/>
        <v>13.333333333333337</v>
      </c>
      <c r="M21" s="11"/>
      <c r="N21" s="11"/>
      <c r="O21" s="11"/>
      <c r="P21" s="11"/>
      <c r="Q21" s="11"/>
      <c r="R21" s="12"/>
      <c r="S21" s="12">
        <v>195</v>
      </c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104</v>
      </c>
      <c r="F22" s="8" t="s">
        <v>42</v>
      </c>
      <c r="G22" s="9">
        <v>0.51041666666666663</v>
      </c>
      <c r="H22" s="9">
        <v>0.55208333333333337</v>
      </c>
      <c r="I22" s="10">
        <f t="shared" si="3"/>
        <v>4.1666666666666741E-2</v>
      </c>
      <c r="J22" s="11">
        <v>12</v>
      </c>
      <c r="K22" s="11" t="s">
        <v>42</v>
      </c>
      <c r="L22" s="16" t="str">
        <f t="shared" si="4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30" t="s">
        <v>79</v>
      </c>
      <c r="E23" s="7" t="s">
        <v>313</v>
      </c>
      <c r="F23" s="8" t="s">
        <v>42</v>
      </c>
      <c r="G23" s="9">
        <v>0.55208333333333337</v>
      </c>
      <c r="H23" s="9">
        <v>0.6875</v>
      </c>
      <c r="I23" s="10">
        <f t="shared" si="3"/>
        <v>0.13541666666666663</v>
      </c>
      <c r="J23" s="11">
        <v>12</v>
      </c>
      <c r="K23" s="11">
        <v>572</v>
      </c>
      <c r="L23" s="16">
        <f t="shared" si="4"/>
        <v>14.666666666666671</v>
      </c>
      <c r="M23" s="11"/>
      <c r="N23" s="11"/>
      <c r="O23" s="11"/>
      <c r="P23" s="11"/>
      <c r="Q23" s="11"/>
      <c r="R23" s="12"/>
      <c r="S23" s="12">
        <v>195</v>
      </c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 t="s">
        <v>96</v>
      </c>
      <c r="F24" s="8" t="s">
        <v>42</v>
      </c>
      <c r="G24" s="9">
        <v>0.6875</v>
      </c>
      <c r="H24" s="9">
        <v>0.70833333333333337</v>
      </c>
      <c r="I24" s="10">
        <f t="shared" si="3"/>
        <v>2.083333333333337E-2</v>
      </c>
      <c r="J24" s="11">
        <v>12</v>
      </c>
      <c r="K24" s="11"/>
      <c r="L24" s="16">
        <f t="shared" si="4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18"/>
      <c r="E25" s="6"/>
      <c r="F25" s="8" t="s">
        <v>42</v>
      </c>
      <c r="G25" s="9"/>
      <c r="H25" s="9"/>
      <c r="I25" s="10">
        <f t="shared" si="3"/>
        <v>0</v>
      </c>
      <c r="J25" s="11"/>
      <c r="K25" s="11"/>
      <c r="L25" s="16" t="str">
        <f t="shared" si="4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s="28" customFormat="1" ht="25.05" customHeight="1">
      <c r="A26" s="2"/>
      <c r="B26" s="21"/>
      <c r="C26" s="22"/>
      <c r="D26" s="23"/>
      <c r="E26" s="24"/>
      <c r="F26" s="22"/>
      <c r="G26" s="25"/>
      <c r="H26" s="25"/>
      <c r="I26" s="26"/>
      <c r="J26" s="27"/>
      <c r="K26" s="27">
        <f t="shared" ref="K26:AI26" si="5">SUM(K19:K25)</f>
        <v>1276</v>
      </c>
      <c r="L26" s="27">
        <f t="shared" si="5"/>
        <v>43.333333333333336</v>
      </c>
      <c r="M26" s="27">
        <f t="shared" si="5"/>
        <v>0</v>
      </c>
      <c r="N26" s="27">
        <f t="shared" si="5"/>
        <v>0</v>
      </c>
      <c r="O26" s="27">
        <f t="shared" si="5"/>
        <v>0</v>
      </c>
      <c r="P26" s="27">
        <f t="shared" si="5"/>
        <v>0</v>
      </c>
      <c r="Q26" s="27">
        <f t="shared" si="5"/>
        <v>0</v>
      </c>
      <c r="R26" s="27">
        <f t="shared" si="5"/>
        <v>0</v>
      </c>
      <c r="S26" s="27">
        <f t="shared" si="5"/>
        <v>390</v>
      </c>
      <c r="T26" s="27">
        <f t="shared" si="5"/>
        <v>60</v>
      </c>
      <c r="U26" s="27">
        <f t="shared" si="5"/>
        <v>0</v>
      </c>
      <c r="V26" s="27">
        <f t="shared" si="5"/>
        <v>0</v>
      </c>
      <c r="W26" s="27">
        <f t="shared" si="5"/>
        <v>0</v>
      </c>
      <c r="X26" s="27">
        <f t="shared" si="5"/>
        <v>0</v>
      </c>
      <c r="Y26" s="27">
        <f t="shared" si="5"/>
        <v>0</v>
      </c>
      <c r="Z26" s="27">
        <f t="shared" si="5"/>
        <v>0</v>
      </c>
      <c r="AA26" s="27">
        <f t="shared" si="5"/>
        <v>0</v>
      </c>
      <c r="AB26" s="27">
        <f t="shared" si="5"/>
        <v>0</v>
      </c>
      <c r="AC26" s="27">
        <f t="shared" si="5"/>
        <v>0</v>
      </c>
      <c r="AD26" s="27">
        <f t="shared" si="5"/>
        <v>0</v>
      </c>
      <c r="AE26" s="27">
        <f t="shared" si="5"/>
        <v>0</v>
      </c>
      <c r="AF26" s="27">
        <f t="shared" si="5"/>
        <v>0</v>
      </c>
      <c r="AG26" s="27">
        <f t="shared" si="5"/>
        <v>0</v>
      </c>
      <c r="AH26" s="27">
        <f t="shared" si="5"/>
        <v>0</v>
      </c>
      <c r="AI26" s="27">
        <f t="shared" si="5"/>
        <v>0</v>
      </c>
      <c r="AJ26" s="27">
        <f>SUM(AJ19:AJ25)</f>
        <v>0</v>
      </c>
      <c r="AK26" s="27">
        <f>SUM(AK19:AK25)</f>
        <v>0</v>
      </c>
      <c r="AL26" s="27">
        <f>SUM(AL19:AL25)</f>
        <v>0</v>
      </c>
    </row>
    <row r="27" spans="1:38" ht="25.05" customHeight="1">
      <c r="B27" s="5" t="s">
        <v>300</v>
      </c>
      <c r="C27" s="29" t="s">
        <v>44</v>
      </c>
      <c r="D27" s="30"/>
      <c r="E27" s="7" t="s">
        <v>41</v>
      </c>
      <c r="F27" s="8" t="s">
        <v>42</v>
      </c>
      <c r="G27" s="9">
        <v>0.29166666666666669</v>
      </c>
      <c r="H27" s="9">
        <v>0.33333333333333331</v>
      </c>
      <c r="I27" s="10">
        <f t="shared" ref="I27:I100" si="6">H27-G27</f>
        <v>4.166666666666663E-2</v>
      </c>
      <c r="J27" s="11">
        <v>5</v>
      </c>
      <c r="K27" s="11">
        <v>0</v>
      </c>
      <c r="L27" s="16">
        <f t="shared" ref="L27:L100" si="7">IFERROR(((K27/(J27*I27)/24)),"0")</f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4"/>
    </row>
    <row r="28" spans="1:38" ht="25.05" customHeight="1">
      <c r="B28" s="13"/>
      <c r="C28" s="29"/>
      <c r="D28" s="168" t="s">
        <v>79</v>
      </c>
      <c r="E28" s="19" t="s">
        <v>106</v>
      </c>
      <c r="F28" s="8" t="s">
        <v>42</v>
      </c>
      <c r="G28" s="9">
        <v>0.34930555555555554</v>
      </c>
      <c r="H28" s="9">
        <v>0.34947916666666667</v>
      </c>
      <c r="I28" s="10">
        <f t="shared" si="6"/>
        <v>1.7361111111113825E-4</v>
      </c>
      <c r="J28" s="11">
        <v>3</v>
      </c>
      <c r="K28" s="11">
        <v>55.78</v>
      </c>
      <c r="L28" s="16">
        <f t="shared" si="7"/>
        <v>4462.3999999993021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/>
      <c r="Y28" s="11"/>
      <c r="Z28" s="11"/>
      <c r="AA28" s="11"/>
      <c r="AB28" s="11">
        <v>1</v>
      </c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30"/>
      <c r="E29" s="19" t="s">
        <v>107</v>
      </c>
      <c r="F29" s="8" t="s">
        <v>42</v>
      </c>
      <c r="G29" s="9">
        <v>0.3576388888888889</v>
      </c>
      <c r="H29" s="9">
        <v>0.35781249999999998</v>
      </c>
      <c r="I29" s="10">
        <f t="shared" si="6"/>
        <v>1.7361111111108274E-4</v>
      </c>
      <c r="J29" s="11">
        <v>3</v>
      </c>
      <c r="K29" s="11">
        <v>55.56</v>
      </c>
      <c r="L29" s="16">
        <f t="shared" si="7"/>
        <v>4444.8000000007269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>
        <v>2</v>
      </c>
      <c r="X29" s="11"/>
      <c r="Y29" s="11"/>
      <c r="Z29" s="11"/>
      <c r="AA29" s="11"/>
      <c r="AB29" s="11">
        <v>1</v>
      </c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108</v>
      </c>
      <c r="F30" s="8" t="s">
        <v>42</v>
      </c>
      <c r="G30" s="9">
        <v>0.36249999999999999</v>
      </c>
      <c r="H30" s="9">
        <v>0.36267361111111113</v>
      </c>
      <c r="I30" s="10">
        <f t="shared" si="6"/>
        <v>1.7361111111113825E-4</v>
      </c>
      <c r="J30" s="11">
        <v>3</v>
      </c>
      <c r="K30" s="11">
        <v>55.52</v>
      </c>
      <c r="L30" s="16">
        <f t="shared" si="7"/>
        <v>4441.5999999993064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/>
      <c r="Y30" s="11"/>
      <c r="Z30" s="11"/>
      <c r="AA30" s="11"/>
      <c r="AB30" s="11">
        <v>1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109</v>
      </c>
      <c r="F31" s="8" t="s">
        <v>42</v>
      </c>
      <c r="G31" s="9">
        <v>0.36805555555555558</v>
      </c>
      <c r="H31" s="9">
        <v>0.36822916666666666</v>
      </c>
      <c r="I31" s="10">
        <f t="shared" si="6"/>
        <v>1.7361111111108274E-4</v>
      </c>
      <c r="J31" s="11">
        <v>3</v>
      </c>
      <c r="K31" s="11">
        <v>59.36</v>
      </c>
      <c r="L31" s="16">
        <f t="shared" si="7"/>
        <v>4748.800000000776</v>
      </c>
      <c r="M31" s="11"/>
      <c r="N31" s="11"/>
      <c r="O31" s="11"/>
      <c r="P31" s="11"/>
      <c r="Q31" s="11"/>
      <c r="R31" s="12"/>
      <c r="S31" s="12"/>
      <c r="T31" s="11"/>
      <c r="U31" s="11"/>
      <c r="V31" s="12">
        <v>2</v>
      </c>
      <c r="W31" s="12"/>
      <c r="X31" s="11"/>
      <c r="Y31" s="11"/>
      <c r="Z31" s="11"/>
      <c r="AA31" s="11"/>
      <c r="AB31" s="11">
        <v>1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65"/>
      <c r="E32" s="19" t="s">
        <v>110</v>
      </c>
      <c r="F32" s="8" t="s">
        <v>42</v>
      </c>
      <c r="G32" s="9">
        <v>0.37152777777777779</v>
      </c>
      <c r="H32" s="9">
        <v>0.37170138888888887</v>
      </c>
      <c r="I32" s="10">
        <f t="shared" si="6"/>
        <v>1.7361111111108274E-4</v>
      </c>
      <c r="J32" s="11">
        <v>3</v>
      </c>
      <c r="K32" s="11">
        <v>55.3</v>
      </c>
      <c r="L32" s="16">
        <f t="shared" si="7"/>
        <v>4424.000000000723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2</v>
      </c>
      <c r="W32" s="12"/>
      <c r="X32" s="11"/>
      <c r="Y32" s="11"/>
      <c r="Z32" s="11"/>
      <c r="AA32" s="11"/>
      <c r="AB32" s="11">
        <v>1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65"/>
      <c r="E33" s="19" t="s">
        <v>111</v>
      </c>
      <c r="F33" s="8" t="s">
        <v>42</v>
      </c>
      <c r="G33" s="9">
        <v>0.37847222222222221</v>
      </c>
      <c r="H33" s="9">
        <v>0.37864583333333335</v>
      </c>
      <c r="I33" s="10">
        <f t="shared" si="6"/>
        <v>1.7361111111113825E-4</v>
      </c>
      <c r="J33" s="11">
        <v>3</v>
      </c>
      <c r="K33" s="11">
        <v>56.82</v>
      </c>
      <c r="L33" s="16">
        <f t="shared" si="7"/>
        <v>4545.59999999929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/>
      <c r="Y33" s="11"/>
      <c r="Z33" s="11"/>
      <c r="AA33" s="11"/>
      <c r="AB33" s="11">
        <v>1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65"/>
      <c r="E34" s="19" t="s">
        <v>112</v>
      </c>
      <c r="F34" s="8" t="s">
        <v>42</v>
      </c>
      <c r="G34" s="9">
        <v>0.3840277777777778</v>
      </c>
      <c r="H34" s="9">
        <v>0.38420138888888888</v>
      </c>
      <c r="I34" s="10">
        <f t="shared" si="6"/>
        <v>1.7361111111108274E-4</v>
      </c>
      <c r="J34" s="11">
        <v>3</v>
      </c>
      <c r="K34" s="11">
        <v>53.13</v>
      </c>
      <c r="L34" s="16">
        <f t="shared" si="7"/>
        <v>4250.4000000006954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/>
      <c r="AA34" s="11"/>
      <c r="AB34" s="11">
        <v>1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65"/>
      <c r="E35" s="19" t="s">
        <v>113</v>
      </c>
      <c r="F35" s="8" t="s">
        <v>42</v>
      </c>
      <c r="G35" s="9">
        <v>0.39097222222222222</v>
      </c>
      <c r="H35" s="9">
        <v>0.39114583333333336</v>
      </c>
      <c r="I35" s="10">
        <f t="shared" si="6"/>
        <v>1.7361111111113825E-4</v>
      </c>
      <c r="J35" s="11">
        <v>3</v>
      </c>
      <c r="K35" s="11">
        <v>57.03</v>
      </c>
      <c r="L35" s="16">
        <f t="shared" si="7"/>
        <v>4562.3999999992875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>
        <v>1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65"/>
      <c r="E36" s="169" t="s">
        <v>132</v>
      </c>
      <c r="F36" s="8" t="s">
        <v>42</v>
      </c>
      <c r="G36" s="9">
        <v>0.35694444444444445</v>
      </c>
      <c r="H36" s="9">
        <v>0.35700231481481481</v>
      </c>
      <c r="I36" s="10">
        <f t="shared" si="6"/>
        <v>5.7870370370360913E-5</v>
      </c>
      <c r="J36" s="11">
        <v>3</v>
      </c>
      <c r="K36" s="11">
        <v>1.61</v>
      </c>
      <c r="L36" s="16">
        <f t="shared" si="7"/>
        <v>386.40000000006313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/>
      <c r="AC36" s="11"/>
      <c r="AD36" s="11">
        <v>1</v>
      </c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65"/>
      <c r="E37" s="169" t="s">
        <v>133</v>
      </c>
      <c r="F37" s="8" t="s">
        <v>42</v>
      </c>
      <c r="G37" s="9">
        <v>0.3576388888888889</v>
      </c>
      <c r="H37" s="9">
        <v>0.35769675925925926</v>
      </c>
      <c r="I37" s="10">
        <f t="shared" si="6"/>
        <v>5.7870370370360913E-5</v>
      </c>
      <c r="J37" s="11">
        <v>3</v>
      </c>
      <c r="K37" s="11">
        <v>178</v>
      </c>
      <c r="L37" s="16">
        <f t="shared" si="7"/>
        <v>42720.000000006978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/>
      <c r="AD37" s="11">
        <v>1</v>
      </c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65"/>
      <c r="E38" s="169" t="s">
        <v>134</v>
      </c>
      <c r="F38" s="8" t="s">
        <v>42</v>
      </c>
      <c r="G38" s="9">
        <v>0.358333333333333</v>
      </c>
      <c r="H38" s="9">
        <v>0.3583912037037037</v>
      </c>
      <c r="I38" s="10">
        <f t="shared" si="6"/>
        <v>5.787037037069398E-5</v>
      </c>
      <c r="J38" s="11">
        <v>3</v>
      </c>
      <c r="K38" s="11">
        <v>1.9</v>
      </c>
      <c r="L38" s="16">
        <f t="shared" si="7"/>
        <v>455.99999999745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/>
      <c r="AC38" s="11"/>
      <c r="AD38" s="11">
        <v>1</v>
      </c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69" t="s">
        <v>135</v>
      </c>
      <c r="F39" s="8" t="s">
        <v>42</v>
      </c>
      <c r="G39" s="9">
        <v>0.359027777777778</v>
      </c>
      <c r="H39" s="9">
        <v>0.35908564814814814</v>
      </c>
      <c r="I39" s="10">
        <f t="shared" si="6"/>
        <v>5.7870370370138868E-5</v>
      </c>
      <c r="J39" s="11">
        <v>3</v>
      </c>
      <c r="K39" s="11">
        <v>1.8</v>
      </c>
      <c r="L39" s="16">
        <f t="shared" si="7"/>
        <v>432.00000000172821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/>
      <c r="AC39" s="11"/>
      <c r="AD39" s="11">
        <v>1</v>
      </c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69" t="s">
        <v>136</v>
      </c>
      <c r="F40" s="8" t="s">
        <v>42</v>
      </c>
      <c r="G40" s="9">
        <v>0.359722222222222</v>
      </c>
      <c r="H40" s="9">
        <v>0.35978009259259258</v>
      </c>
      <c r="I40" s="10">
        <f t="shared" si="6"/>
        <v>5.7870370370582958E-5</v>
      </c>
      <c r="J40" s="11">
        <v>3</v>
      </c>
      <c r="K40" s="11">
        <v>1.8</v>
      </c>
      <c r="L40" s="16">
        <f t="shared" si="7"/>
        <v>431.9999999984131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/>
      <c r="AD40" s="11">
        <v>1</v>
      </c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69" t="s">
        <v>137</v>
      </c>
      <c r="F41" s="8" t="s">
        <v>42</v>
      </c>
      <c r="G41" s="9">
        <v>0.360416666666667</v>
      </c>
      <c r="H41" s="9">
        <v>0.36047453703703702</v>
      </c>
      <c r="I41" s="10">
        <f t="shared" si="6"/>
        <v>5.7870370370027846E-5</v>
      </c>
      <c r="J41" s="11">
        <v>3</v>
      </c>
      <c r="K41" s="11">
        <v>1.76</v>
      </c>
      <c r="L41" s="16">
        <f t="shared" si="7"/>
        <v>422.40000000250012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/>
      <c r="AD41" s="11">
        <v>1</v>
      </c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69" t="s">
        <v>138</v>
      </c>
      <c r="F42" s="8" t="s">
        <v>42</v>
      </c>
      <c r="G42" s="9">
        <v>0.36111111111111099</v>
      </c>
      <c r="H42" s="9">
        <v>0.36116898148148147</v>
      </c>
      <c r="I42" s="10">
        <f t="shared" si="6"/>
        <v>5.7870370370471935E-5</v>
      </c>
      <c r="J42" s="11">
        <v>3</v>
      </c>
      <c r="K42" s="11">
        <v>1.77</v>
      </c>
      <c r="L42" s="16">
        <f t="shared" si="7"/>
        <v>424.79999999925445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/>
      <c r="AC42" s="11"/>
      <c r="AD42" s="11">
        <v>1</v>
      </c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69" t="s">
        <v>139</v>
      </c>
      <c r="F43" s="8" t="s">
        <v>42</v>
      </c>
      <c r="G43" s="9">
        <v>0.36180555555555599</v>
      </c>
      <c r="H43" s="9">
        <v>0.36186342592592591</v>
      </c>
      <c r="I43" s="10">
        <f t="shared" si="6"/>
        <v>5.7870370369916824E-5</v>
      </c>
      <c r="J43" s="11">
        <v>3</v>
      </c>
      <c r="K43" s="11">
        <v>1.56</v>
      </c>
      <c r="L43" s="16">
        <f t="shared" si="7"/>
        <v>374.40000000293429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/>
      <c r="AD43" s="11">
        <v>1</v>
      </c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69" t="s">
        <v>117</v>
      </c>
      <c r="F44" s="8" t="s">
        <v>42</v>
      </c>
      <c r="G44" s="9">
        <v>0.37222222222222223</v>
      </c>
      <c r="H44" s="9">
        <v>0.37228009259259259</v>
      </c>
      <c r="I44" s="10">
        <f t="shared" si="6"/>
        <v>5.7870370370360913E-5</v>
      </c>
      <c r="J44" s="11">
        <v>3</v>
      </c>
      <c r="K44" s="11">
        <v>26.54</v>
      </c>
      <c r="L44" s="16">
        <f t="shared" si="7"/>
        <v>6369.6000000010399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/>
      <c r="AC44" s="11"/>
      <c r="AD44" s="11">
        <v>1</v>
      </c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69" t="s">
        <v>118</v>
      </c>
      <c r="F45" s="8" t="s">
        <v>42</v>
      </c>
      <c r="G45" s="9">
        <v>0.37361111111111112</v>
      </c>
      <c r="H45" s="9">
        <v>0.37366898148148148</v>
      </c>
      <c r="I45" s="10">
        <f t="shared" si="6"/>
        <v>5.7870370370360913E-5</v>
      </c>
      <c r="J45" s="11">
        <v>3</v>
      </c>
      <c r="K45" s="11">
        <v>25.45</v>
      </c>
      <c r="L45" s="16">
        <f t="shared" si="7"/>
        <v>6108.0000000009977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/>
      <c r="AA45" s="11"/>
      <c r="AB45" s="11"/>
      <c r="AC45" s="11"/>
      <c r="AD45" s="11">
        <v>1</v>
      </c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69" t="s">
        <v>119</v>
      </c>
      <c r="F46" s="8" t="s">
        <v>42</v>
      </c>
      <c r="G46" s="9">
        <v>0.37569444444444444</v>
      </c>
      <c r="H46" s="9">
        <v>0.3757523148148148</v>
      </c>
      <c r="I46" s="10">
        <f t="shared" si="6"/>
        <v>5.7870370370360913E-5</v>
      </c>
      <c r="J46" s="11">
        <v>3</v>
      </c>
      <c r="K46" s="11">
        <v>26.93</v>
      </c>
      <c r="L46" s="16">
        <f t="shared" si="7"/>
        <v>6463.2000000010557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69" t="s">
        <v>120</v>
      </c>
      <c r="F47" s="8" t="s">
        <v>42</v>
      </c>
      <c r="G47" s="9">
        <v>0.37847222222222221</v>
      </c>
      <c r="H47" s="9">
        <v>0.37853009259259257</v>
      </c>
      <c r="I47" s="10">
        <f t="shared" si="6"/>
        <v>5.7870370370360913E-5</v>
      </c>
      <c r="J47" s="11">
        <v>3</v>
      </c>
      <c r="K47" s="11">
        <v>26.84</v>
      </c>
      <c r="L47" s="16">
        <f t="shared" si="7"/>
        <v>6441.6000000010526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/>
      <c r="Y47" s="11"/>
      <c r="Z47" s="11"/>
      <c r="AA47" s="11"/>
      <c r="AB47" s="11"/>
      <c r="AC47" s="11"/>
      <c r="AD47" s="11">
        <v>1</v>
      </c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69" t="s">
        <v>121</v>
      </c>
      <c r="F48" s="8" t="s">
        <v>42</v>
      </c>
      <c r="G48" s="9">
        <v>0.37916666666666665</v>
      </c>
      <c r="H48" s="9">
        <v>0.37922453703703701</v>
      </c>
      <c r="I48" s="10">
        <f t="shared" si="6"/>
        <v>5.7870370370360913E-5</v>
      </c>
      <c r="J48" s="11">
        <v>3</v>
      </c>
      <c r="K48" s="11">
        <v>27.15</v>
      </c>
      <c r="L48" s="16">
        <f t="shared" si="7"/>
        <v>6516.000000001065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/>
      <c r="AA48" s="11"/>
      <c r="AB48" s="11"/>
      <c r="AC48" s="11"/>
      <c r="AD48" s="11">
        <v>1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69" t="s">
        <v>122</v>
      </c>
      <c r="F49" s="8" t="s">
        <v>42</v>
      </c>
      <c r="G49" s="9">
        <v>0.38194444444444442</v>
      </c>
      <c r="H49" s="9">
        <v>0.38200231481481484</v>
      </c>
      <c r="I49" s="10">
        <f t="shared" si="6"/>
        <v>5.7870370370416424E-5</v>
      </c>
      <c r="J49" s="11">
        <v>3</v>
      </c>
      <c r="K49" s="11">
        <v>26.93</v>
      </c>
      <c r="L49" s="16">
        <f t="shared" si="7"/>
        <v>6463.1999999948566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/>
      <c r="AC49" s="11"/>
      <c r="AD49" s="11">
        <v>1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69" t="s">
        <v>123</v>
      </c>
      <c r="F50" s="8" t="s">
        <v>42</v>
      </c>
      <c r="G50" s="9">
        <v>0.38750000000000001</v>
      </c>
      <c r="H50" s="9">
        <v>0.38755787037037037</v>
      </c>
      <c r="I50" s="10">
        <f t="shared" si="6"/>
        <v>5.7870370370360913E-5</v>
      </c>
      <c r="J50" s="11">
        <v>3</v>
      </c>
      <c r="K50" s="11">
        <v>27.16</v>
      </c>
      <c r="L50" s="16">
        <f t="shared" si="7"/>
        <v>6518.4000000010647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/>
      <c r="AD50" s="11">
        <v>1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69" t="s">
        <v>124</v>
      </c>
      <c r="F51" s="8" t="s">
        <v>42</v>
      </c>
      <c r="G51" s="9">
        <v>0.3888888888888889</v>
      </c>
      <c r="H51" s="9">
        <v>0.38894675925925926</v>
      </c>
      <c r="I51" s="10">
        <f t="shared" si="6"/>
        <v>5.7870370370360913E-5</v>
      </c>
      <c r="J51" s="11">
        <v>3</v>
      </c>
      <c r="K51" s="11">
        <v>27.06</v>
      </c>
      <c r="L51" s="16">
        <f t="shared" si="7"/>
        <v>6494.400000001061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>
        <v>1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314</v>
      </c>
      <c r="F52" s="8" t="s">
        <v>42</v>
      </c>
      <c r="G52" s="9">
        <v>0.35694444444444445</v>
      </c>
      <c r="H52" s="9">
        <v>0.38819444444444445</v>
      </c>
      <c r="I52" s="10">
        <f t="shared" si="6"/>
        <v>3.125E-2</v>
      </c>
      <c r="J52" s="11">
        <v>4</v>
      </c>
      <c r="K52" s="11">
        <f>4.24*20</f>
        <v>84.800000000000011</v>
      </c>
      <c r="L52" s="16">
        <f t="shared" si="7"/>
        <v>28.266666666666669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>
        <v>45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315</v>
      </c>
      <c r="F53" s="8" t="s">
        <v>42</v>
      </c>
      <c r="G53" s="9">
        <v>0.36319444444444443</v>
      </c>
      <c r="H53" s="9">
        <v>0.39444444444444443</v>
      </c>
      <c r="I53" s="10">
        <f t="shared" si="6"/>
        <v>3.125E-2</v>
      </c>
      <c r="J53" s="11">
        <v>4</v>
      </c>
      <c r="K53" s="11">
        <f t="shared" ref="K53:K59" si="8">4.24*20</f>
        <v>84.800000000000011</v>
      </c>
      <c r="L53" s="16">
        <f t="shared" si="7"/>
        <v>28.266666666666669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>
        <v>45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316</v>
      </c>
      <c r="F54" s="8" t="s">
        <v>42</v>
      </c>
      <c r="G54" s="9">
        <v>0.36875000000000002</v>
      </c>
      <c r="H54" s="9">
        <v>0.4</v>
      </c>
      <c r="I54" s="10">
        <f t="shared" si="6"/>
        <v>3.125E-2</v>
      </c>
      <c r="J54" s="11">
        <v>4</v>
      </c>
      <c r="K54" s="11">
        <f>4.24*2</f>
        <v>8.48</v>
      </c>
      <c r="L54" s="16">
        <f t="shared" si="7"/>
        <v>2.8266666666666667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>
        <v>45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317</v>
      </c>
      <c r="F55" s="8" t="s">
        <v>42</v>
      </c>
      <c r="G55" s="9">
        <v>0.36875000000000002</v>
      </c>
      <c r="H55" s="9">
        <v>0.4</v>
      </c>
      <c r="I55" s="10">
        <f t="shared" si="6"/>
        <v>3.125E-2</v>
      </c>
      <c r="J55" s="11">
        <v>4</v>
      </c>
      <c r="K55" s="11">
        <f>4.24*18</f>
        <v>76.320000000000007</v>
      </c>
      <c r="L55" s="16">
        <f t="shared" si="7"/>
        <v>25.44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>
        <v>45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318</v>
      </c>
      <c r="F56" s="8" t="s">
        <v>42</v>
      </c>
      <c r="G56" s="9">
        <v>0.40277777777777779</v>
      </c>
      <c r="H56" s="9">
        <v>0.43402777777777779</v>
      </c>
      <c r="I56" s="10">
        <f t="shared" si="6"/>
        <v>3.125E-2</v>
      </c>
      <c r="J56" s="11">
        <v>4</v>
      </c>
      <c r="K56" s="11">
        <f t="shared" si="8"/>
        <v>84.800000000000011</v>
      </c>
      <c r="L56" s="16">
        <f t="shared" si="7"/>
        <v>28.266666666666669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>
        <v>45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319</v>
      </c>
      <c r="F57" s="8" t="s">
        <v>42</v>
      </c>
      <c r="G57" s="9">
        <v>0.40902777777777777</v>
      </c>
      <c r="H57" s="9">
        <v>0.44027777777777777</v>
      </c>
      <c r="I57" s="10">
        <f t="shared" si="6"/>
        <v>3.125E-2</v>
      </c>
      <c r="J57" s="11">
        <v>4</v>
      </c>
      <c r="K57" s="11">
        <f>4.24*4</f>
        <v>16.96</v>
      </c>
      <c r="L57" s="16">
        <f t="shared" si="7"/>
        <v>5.6533333333333333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>
        <v>45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320</v>
      </c>
      <c r="F58" s="8" t="s">
        <v>42</v>
      </c>
      <c r="G58" s="9">
        <v>0.40902777777777777</v>
      </c>
      <c r="H58" s="9">
        <v>0.44027777777777777</v>
      </c>
      <c r="I58" s="10">
        <f t="shared" si="6"/>
        <v>3.125E-2</v>
      </c>
      <c r="J58" s="11">
        <v>4</v>
      </c>
      <c r="K58" s="11">
        <f>4.24*16</f>
        <v>67.84</v>
      </c>
      <c r="L58" s="16">
        <f t="shared" si="7"/>
        <v>22.613333333333333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/>
      <c r="Y58" s="11">
        <v>45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321</v>
      </c>
      <c r="F59" s="8" t="s">
        <v>42</v>
      </c>
      <c r="G59" s="9">
        <v>0.4152777777777778</v>
      </c>
      <c r="H59" s="9">
        <v>0.4465277777777778</v>
      </c>
      <c r="I59" s="10">
        <f t="shared" si="6"/>
        <v>3.125E-2</v>
      </c>
      <c r="J59" s="11">
        <v>4</v>
      </c>
      <c r="K59" s="11">
        <f t="shared" si="8"/>
        <v>84.800000000000011</v>
      </c>
      <c r="L59" s="16">
        <f t="shared" si="7"/>
        <v>28.266666666666669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/>
      <c r="Z59" s="11"/>
      <c r="AA59" s="11">
        <v>45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322</v>
      </c>
      <c r="F60" s="8" t="s">
        <v>42</v>
      </c>
      <c r="G60" s="9">
        <v>0.43611111111111112</v>
      </c>
      <c r="H60" s="9">
        <v>0.46736111111111112</v>
      </c>
      <c r="I60" s="10">
        <f t="shared" si="6"/>
        <v>3.125E-2</v>
      </c>
      <c r="J60" s="11">
        <v>4</v>
      </c>
      <c r="K60" s="11">
        <f>4.24*6</f>
        <v>25.44</v>
      </c>
      <c r="L60" s="16">
        <f t="shared" si="7"/>
        <v>8.48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>
        <v>45</v>
      </c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65"/>
      <c r="E61" s="116"/>
      <c r="F61" s="8" t="s">
        <v>42</v>
      </c>
      <c r="G61" s="9"/>
      <c r="H61" s="9"/>
      <c r="I61" s="10">
        <f t="shared" si="6"/>
        <v>0</v>
      </c>
      <c r="J61" s="11"/>
      <c r="K61" s="11"/>
      <c r="L61" s="16" t="str">
        <f t="shared" si="7"/>
        <v>0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65" t="s">
        <v>323</v>
      </c>
      <c r="E62" s="19" t="s">
        <v>324</v>
      </c>
      <c r="F62" s="8" t="s">
        <v>42</v>
      </c>
      <c r="G62" s="9">
        <v>0.41458333333333336</v>
      </c>
      <c r="H62" s="9">
        <v>0.41666666666666669</v>
      </c>
      <c r="I62" s="10">
        <f t="shared" si="6"/>
        <v>2.0833333333333259E-3</v>
      </c>
      <c r="J62" s="11">
        <v>4</v>
      </c>
      <c r="K62" s="11">
        <v>44.67</v>
      </c>
      <c r="L62" s="16">
        <f t="shared" si="7"/>
        <v>223.35000000000082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3</v>
      </c>
      <c r="W62" s="12"/>
      <c r="X62" s="11"/>
      <c r="Y62" s="11"/>
      <c r="Z62" s="11"/>
      <c r="AA62" s="11"/>
      <c r="AB62" s="11">
        <v>3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65"/>
      <c r="E63" s="19" t="s">
        <v>325</v>
      </c>
      <c r="F63" s="8" t="s">
        <v>42</v>
      </c>
      <c r="G63" s="9">
        <v>0.42291666666666666</v>
      </c>
      <c r="H63" s="9">
        <v>0.42499999999999999</v>
      </c>
      <c r="I63" s="10">
        <f t="shared" si="6"/>
        <v>2.0833333333333259E-3</v>
      </c>
      <c r="J63" s="11">
        <v>4</v>
      </c>
      <c r="K63" s="11">
        <v>45.62</v>
      </c>
      <c r="L63" s="16">
        <f t="shared" si="7"/>
        <v>228.10000000000079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3</v>
      </c>
      <c r="X63" s="11"/>
      <c r="Y63" s="11"/>
      <c r="Z63" s="11"/>
      <c r="AA63" s="11"/>
      <c r="AB63" s="11">
        <v>3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65"/>
      <c r="E64" s="19" t="s">
        <v>326</v>
      </c>
      <c r="F64" s="8" t="s">
        <v>42</v>
      </c>
      <c r="G64" s="9">
        <v>0.43194444444444446</v>
      </c>
      <c r="H64" s="9">
        <v>0.43402777777777779</v>
      </c>
      <c r="I64" s="10">
        <f t="shared" ref="I64" si="9">H64-G64</f>
        <v>2.0833333333333259E-3</v>
      </c>
      <c r="J64" s="11">
        <v>4</v>
      </c>
      <c r="K64" s="11">
        <v>45.58</v>
      </c>
      <c r="L64" s="16">
        <f t="shared" ref="L64" si="10">IFERROR(((K64/(J64*I64)/24)),"0")</f>
        <v>227.9000000000008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3</v>
      </c>
      <c r="X64" s="11"/>
      <c r="Y64" s="11"/>
      <c r="Z64" s="11"/>
      <c r="AA64" s="11"/>
      <c r="AB64" s="11">
        <v>3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172"/>
      <c r="E65" s="19" t="s">
        <v>327</v>
      </c>
      <c r="F65" s="8" t="s">
        <v>42</v>
      </c>
      <c r="G65" s="9">
        <v>0.43958333333333333</v>
      </c>
      <c r="H65" s="9">
        <v>0.44166666666666665</v>
      </c>
      <c r="I65" s="10">
        <f t="shared" si="6"/>
        <v>2.0833333333333259E-3</v>
      </c>
      <c r="J65" s="11">
        <v>4</v>
      </c>
      <c r="K65" s="11">
        <v>45.53</v>
      </c>
      <c r="L65" s="16">
        <f t="shared" si="7"/>
        <v>227.6500000000008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3</v>
      </c>
      <c r="X65" s="11"/>
      <c r="Y65" s="11"/>
      <c r="Z65" s="11"/>
      <c r="AA65" s="11"/>
      <c r="AB65" s="11">
        <v>3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172"/>
      <c r="E66" s="19" t="s">
        <v>328</v>
      </c>
      <c r="F66" s="8" t="s">
        <v>42</v>
      </c>
      <c r="G66" s="9">
        <v>0.44722222222222224</v>
      </c>
      <c r="H66" s="9">
        <v>0.44930555555555557</v>
      </c>
      <c r="I66" s="10">
        <f t="shared" si="6"/>
        <v>2.0833333333333259E-3</v>
      </c>
      <c r="J66" s="11">
        <v>4</v>
      </c>
      <c r="K66" s="11">
        <v>47.12</v>
      </c>
      <c r="L66" s="16">
        <f t="shared" si="7"/>
        <v>235.60000000000082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3</v>
      </c>
      <c r="W66" s="12"/>
      <c r="X66" s="11"/>
      <c r="Y66" s="11"/>
      <c r="Z66" s="11"/>
      <c r="AA66" s="11"/>
      <c r="AB66" s="11"/>
      <c r="AC66" s="11"/>
      <c r="AD66" s="11">
        <v>3</v>
      </c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172"/>
      <c r="E67" s="19" t="s">
        <v>329</v>
      </c>
      <c r="F67" s="8" t="s">
        <v>42</v>
      </c>
      <c r="G67" s="9">
        <v>0.45069444444444445</v>
      </c>
      <c r="H67" s="9">
        <v>0.45277777777777778</v>
      </c>
      <c r="I67" s="10">
        <f t="shared" ref="I67" si="11">H67-G67</f>
        <v>2.0833333333333259E-3</v>
      </c>
      <c r="J67" s="11">
        <v>4</v>
      </c>
      <c r="K67" s="11">
        <v>43.56</v>
      </c>
      <c r="L67" s="16">
        <f t="shared" ref="L67" si="12">IFERROR(((K67/(J67*I67)/24)),"0")</f>
        <v>217.80000000000078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3</v>
      </c>
      <c r="W67" s="12"/>
      <c r="X67" s="11"/>
      <c r="Y67" s="11"/>
      <c r="Z67" s="11"/>
      <c r="AA67" s="11"/>
      <c r="AB67" s="11">
        <v>3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166"/>
      <c r="E68" s="19" t="s">
        <v>330</v>
      </c>
      <c r="F68" s="8" t="s">
        <v>42</v>
      </c>
      <c r="G68" s="9">
        <v>0.45555555555555555</v>
      </c>
      <c r="H68" s="9">
        <v>0.45763888888888887</v>
      </c>
      <c r="I68" s="10">
        <f t="shared" si="6"/>
        <v>2.0833333333333259E-3</v>
      </c>
      <c r="J68" s="11">
        <v>4</v>
      </c>
      <c r="K68" s="11">
        <v>45.37</v>
      </c>
      <c r="L68" s="16">
        <f t="shared" si="7"/>
        <v>226.85000000000079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3</v>
      </c>
      <c r="W68" s="12"/>
      <c r="X68" s="11"/>
      <c r="Y68" s="11"/>
      <c r="Z68" s="11"/>
      <c r="AA68" s="11"/>
      <c r="AB68" s="11"/>
      <c r="AC68" s="11"/>
      <c r="AD68" s="11">
        <v>3</v>
      </c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331</v>
      </c>
      <c r="F69" s="8" t="s">
        <v>42</v>
      </c>
      <c r="G69" s="9">
        <v>0.46250000000000002</v>
      </c>
      <c r="H69" s="9">
        <v>0.46458333333333335</v>
      </c>
      <c r="I69" s="10">
        <f t="shared" si="6"/>
        <v>2.0833333333333259E-3</v>
      </c>
      <c r="J69" s="11">
        <v>4</v>
      </c>
      <c r="K69" s="11">
        <v>45.35</v>
      </c>
      <c r="L69" s="16">
        <f t="shared" si="7"/>
        <v>226.7500000000008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3</v>
      </c>
      <c r="W69" s="12"/>
      <c r="X69" s="11"/>
      <c r="Y69" s="11"/>
      <c r="Z69" s="11"/>
      <c r="AA69" s="11"/>
      <c r="AB69" s="11">
        <v>3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332</v>
      </c>
      <c r="F70" s="8" t="s">
        <v>42</v>
      </c>
      <c r="G70" s="9">
        <v>0.46597222222222223</v>
      </c>
      <c r="H70" s="9">
        <v>0.46805555555555556</v>
      </c>
      <c r="I70" s="10">
        <f t="shared" ref="I70" si="13">H70-G70</f>
        <v>2.0833333333333259E-3</v>
      </c>
      <c r="J70" s="11">
        <v>4</v>
      </c>
      <c r="K70" s="11">
        <v>46.24</v>
      </c>
      <c r="L70" s="16">
        <f t="shared" ref="L70" si="14">IFERROR(((K70/(J70*I70)/24)),"0")</f>
        <v>231.20000000000084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3</v>
      </c>
      <c r="W70" s="12"/>
      <c r="X70" s="11"/>
      <c r="Y70" s="11"/>
      <c r="Z70" s="11"/>
      <c r="AA70" s="11"/>
      <c r="AB70" s="11"/>
      <c r="AC70" s="11"/>
      <c r="AD70" s="11">
        <v>3</v>
      </c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333</v>
      </c>
      <c r="F71" s="8" t="s">
        <v>42</v>
      </c>
      <c r="G71" s="9">
        <v>0.47152777777777777</v>
      </c>
      <c r="H71" s="9">
        <v>0.47361111111111109</v>
      </c>
      <c r="I71" s="10">
        <f t="shared" si="6"/>
        <v>2.0833333333333259E-3</v>
      </c>
      <c r="J71" s="11">
        <v>4</v>
      </c>
      <c r="K71" s="11">
        <v>44.86</v>
      </c>
      <c r="L71" s="16">
        <f t="shared" si="7"/>
        <v>224.30000000000078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3</v>
      </c>
      <c r="W71" s="12"/>
      <c r="X71" s="11"/>
      <c r="Y71" s="11"/>
      <c r="Z71" s="11"/>
      <c r="AA71" s="11"/>
      <c r="AB71" s="11">
        <v>3</v>
      </c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5" customHeight="1">
      <c r="B72" s="13"/>
      <c r="C72" s="29"/>
      <c r="D72" s="30"/>
      <c r="E72" s="19" t="s">
        <v>334</v>
      </c>
      <c r="F72" s="8" t="s">
        <v>42</v>
      </c>
      <c r="G72" s="9">
        <v>0.47569444444444442</v>
      </c>
      <c r="H72" s="9">
        <v>0.4777777777777778</v>
      </c>
      <c r="I72" s="10">
        <f t="shared" si="6"/>
        <v>2.0833333333333814E-3</v>
      </c>
      <c r="J72" s="11">
        <v>4</v>
      </c>
      <c r="K72" s="11">
        <v>45.62</v>
      </c>
      <c r="L72" s="16">
        <f t="shared" si="7"/>
        <v>228.09999999999471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3</v>
      </c>
      <c r="X72" s="11"/>
      <c r="Y72" s="11"/>
      <c r="Z72" s="11"/>
      <c r="AA72" s="11"/>
      <c r="AB72" s="11"/>
      <c r="AC72" s="11"/>
      <c r="AD72" s="11">
        <v>3</v>
      </c>
      <c r="AE72" s="11"/>
      <c r="AF72" s="11"/>
      <c r="AG72" s="11"/>
      <c r="AH72" s="11"/>
      <c r="AI72" s="11"/>
      <c r="AJ72" s="11"/>
      <c r="AK72" s="11"/>
      <c r="AL72" s="14"/>
    </row>
    <row r="73" spans="2:38" ht="25.5" customHeight="1">
      <c r="B73" s="13"/>
      <c r="C73" s="29"/>
      <c r="D73" s="30"/>
      <c r="E73" s="19" t="s">
        <v>335</v>
      </c>
      <c r="F73" s="8" t="s">
        <v>42</v>
      </c>
      <c r="G73" s="9">
        <v>0.47986111111111113</v>
      </c>
      <c r="H73" s="9">
        <v>0.48194444444444445</v>
      </c>
      <c r="I73" s="10">
        <f t="shared" ref="I73" si="15">H73-G73</f>
        <v>2.0833333333333259E-3</v>
      </c>
      <c r="J73" s="11">
        <v>4</v>
      </c>
      <c r="K73" s="11">
        <v>45.29</v>
      </c>
      <c r="L73" s="16">
        <f t="shared" ref="L73" si="16">IFERROR(((K73/(J73*I73)/24)),"0")</f>
        <v>226.45000000000081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3</v>
      </c>
      <c r="W73" s="12"/>
      <c r="X73" s="11"/>
      <c r="Y73" s="11"/>
      <c r="Z73" s="11"/>
      <c r="AA73" s="11"/>
      <c r="AB73" s="11">
        <v>3</v>
      </c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336</v>
      </c>
      <c r="F74" s="8" t="s">
        <v>42</v>
      </c>
      <c r="G74" s="9">
        <v>0.48472222222222222</v>
      </c>
      <c r="H74" s="9">
        <v>0.48680555555555555</v>
      </c>
      <c r="I74" s="10">
        <f t="shared" si="6"/>
        <v>2.0833333333333259E-3</v>
      </c>
      <c r="J74" s="11">
        <v>4</v>
      </c>
      <c r="K74" s="11">
        <v>43.05</v>
      </c>
      <c r="L74" s="16">
        <f t="shared" si="7"/>
        <v>215.25000000000077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3</v>
      </c>
      <c r="W74" s="12"/>
      <c r="X74" s="11"/>
      <c r="Y74" s="11"/>
      <c r="Z74" s="11"/>
      <c r="AA74" s="11"/>
      <c r="AB74" s="11"/>
      <c r="AC74" s="11"/>
      <c r="AD74" s="11">
        <v>3</v>
      </c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337</v>
      </c>
      <c r="F75" s="8" t="s">
        <v>42</v>
      </c>
      <c r="G75" s="9">
        <v>0.48888888888888887</v>
      </c>
      <c r="H75" s="9">
        <v>0.4909722222222222</v>
      </c>
      <c r="I75" s="10">
        <f t="shared" si="6"/>
        <v>2.0833333333333259E-3</v>
      </c>
      <c r="J75" s="11">
        <v>4</v>
      </c>
      <c r="K75" s="11">
        <v>45.65</v>
      </c>
      <c r="L75" s="16">
        <f t="shared" si="7"/>
        <v>228.2500000000008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3</v>
      </c>
      <c r="W75" s="12"/>
      <c r="X75" s="11"/>
      <c r="Y75" s="11"/>
      <c r="Z75" s="11"/>
      <c r="AA75" s="11"/>
      <c r="AB75" s="11">
        <v>3</v>
      </c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338</v>
      </c>
      <c r="F76" s="8" t="s">
        <v>42</v>
      </c>
      <c r="G76" s="9">
        <v>0.49861111111111112</v>
      </c>
      <c r="H76" s="9">
        <v>0.50069444444444444</v>
      </c>
      <c r="I76" s="10">
        <f t="shared" ref="I76" si="17">H76-G76</f>
        <v>2.0833333333333259E-3</v>
      </c>
      <c r="J76" s="11">
        <v>4</v>
      </c>
      <c r="K76" s="11">
        <v>45.07</v>
      </c>
      <c r="L76" s="16">
        <f t="shared" ref="L76" si="18">IFERROR(((K76/(J76*I76)/24)),"0")</f>
        <v>225.35000000000082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3</v>
      </c>
      <c r="W76" s="12"/>
      <c r="X76" s="11"/>
      <c r="Y76" s="11"/>
      <c r="Z76" s="11"/>
      <c r="AA76" s="11"/>
      <c r="AB76" s="11">
        <v>3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339</v>
      </c>
      <c r="F77" s="8" t="s">
        <v>42</v>
      </c>
      <c r="G77" s="9">
        <v>0.56874999999999998</v>
      </c>
      <c r="H77" s="9">
        <v>0.5708333333333333</v>
      </c>
      <c r="I77" s="10">
        <f t="shared" si="6"/>
        <v>2.0833333333333259E-3</v>
      </c>
      <c r="J77" s="11">
        <v>4</v>
      </c>
      <c r="K77" s="11">
        <v>45.69</v>
      </c>
      <c r="L77" s="16">
        <f t="shared" si="7"/>
        <v>228.45000000000081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3</v>
      </c>
      <c r="W77" s="12"/>
      <c r="X77" s="11"/>
      <c r="Y77" s="11"/>
      <c r="Z77" s="11"/>
      <c r="AA77" s="11"/>
      <c r="AB77" s="11">
        <v>3</v>
      </c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340</v>
      </c>
      <c r="F78" s="8" t="s">
        <v>42</v>
      </c>
      <c r="G78" s="9">
        <v>0.57361111111111107</v>
      </c>
      <c r="H78" s="9">
        <v>0.5756944444444444</v>
      </c>
      <c r="I78" s="10">
        <f t="shared" si="6"/>
        <v>2.0833333333333259E-3</v>
      </c>
      <c r="J78" s="11">
        <v>4</v>
      </c>
      <c r="K78" s="11">
        <v>45.97</v>
      </c>
      <c r="L78" s="16">
        <f t="shared" si="7"/>
        <v>229.85000000000082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3</v>
      </c>
      <c r="W78" s="12"/>
      <c r="X78" s="11"/>
      <c r="Y78" s="11"/>
      <c r="Z78" s="11"/>
      <c r="AA78" s="11"/>
      <c r="AB78" s="11"/>
      <c r="AC78" s="11">
        <v>3</v>
      </c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341</v>
      </c>
      <c r="F79" s="8" t="s">
        <v>42</v>
      </c>
      <c r="G79" s="9">
        <v>0.57916666666666672</v>
      </c>
      <c r="H79" s="9">
        <v>0.58125000000000004</v>
      </c>
      <c r="I79" s="10">
        <f t="shared" ref="I79" si="19">H79-G79</f>
        <v>2.0833333333333259E-3</v>
      </c>
      <c r="J79" s="11">
        <v>4</v>
      </c>
      <c r="K79" s="11">
        <v>46.17</v>
      </c>
      <c r="L79" s="16">
        <f t="shared" ref="L79" si="20">IFERROR(((K79/(J79*I79)/24)),"0")</f>
        <v>230.85000000000082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3</v>
      </c>
      <c r="W79" s="12"/>
      <c r="X79" s="11"/>
      <c r="Y79" s="11"/>
      <c r="Z79" s="11"/>
      <c r="AA79" s="11"/>
      <c r="AB79" s="11">
        <v>3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342</v>
      </c>
      <c r="F80" s="8" t="s">
        <v>42</v>
      </c>
      <c r="G80" s="9">
        <v>0.58333333333333337</v>
      </c>
      <c r="H80" s="9">
        <v>0.5854166666666667</v>
      </c>
      <c r="I80" s="10">
        <f t="shared" si="6"/>
        <v>2.0833333333333259E-3</v>
      </c>
      <c r="J80" s="11">
        <v>4</v>
      </c>
      <c r="K80" s="11">
        <v>46.03</v>
      </c>
      <c r="L80" s="16">
        <f t="shared" si="7"/>
        <v>230.1500000000008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3</v>
      </c>
      <c r="W80" s="12"/>
      <c r="X80" s="11"/>
      <c r="Y80" s="11"/>
      <c r="Z80" s="11"/>
      <c r="AA80" s="11"/>
      <c r="AB80" s="11"/>
      <c r="AC80" s="11">
        <v>3</v>
      </c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343</v>
      </c>
      <c r="F81" s="8" t="s">
        <v>42</v>
      </c>
      <c r="G81" s="9">
        <v>0.58888888888888891</v>
      </c>
      <c r="H81" s="9">
        <v>0.59097222222222223</v>
      </c>
      <c r="I81" s="10">
        <f t="shared" si="6"/>
        <v>2.0833333333333259E-3</v>
      </c>
      <c r="J81" s="11">
        <v>4</v>
      </c>
      <c r="K81" s="11">
        <v>45.75</v>
      </c>
      <c r="L81" s="16">
        <f t="shared" si="7"/>
        <v>228.7500000000008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3</v>
      </c>
      <c r="W81" s="12"/>
      <c r="X81" s="11"/>
      <c r="Y81" s="11"/>
      <c r="Z81" s="11"/>
      <c r="AA81" s="11"/>
      <c r="AB81" s="11">
        <v>3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344</v>
      </c>
      <c r="F82" s="8" t="s">
        <v>42</v>
      </c>
      <c r="G82" s="9">
        <v>0.59166666666666667</v>
      </c>
      <c r="H82" s="9">
        <v>0.59375</v>
      </c>
      <c r="I82" s="10">
        <f t="shared" ref="I82" si="21">H82-G82</f>
        <v>2.0833333333333259E-3</v>
      </c>
      <c r="J82" s="11">
        <v>4</v>
      </c>
      <c r="K82" s="11">
        <v>45.42</v>
      </c>
      <c r="L82" s="16">
        <f t="shared" ref="L82" si="22">IFERROR(((K82/(J82*I82)/24)),"0")</f>
        <v>227.10000000000082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3</v>
      </c>
      <c r="W82" s="12"/>
      <c r="X82" s="11"/>
      <c r="Y82" s="11"/>
      <c r="Z82" s="11"/>
      <c r="AA82" s="11"/>
      <c r="AB82" s="11"/>
      <c r="AC82" s="11">
        <v>3</v>
      </c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345</v>
      </c>
      <c r="F83" s="8" t="s">
        <v>42</v>
      </c>
      <c r="G83" s="9">
        <v>0.59652777777777777</v>
      </c>
      <c r="H83" s="9">
        <v>0.59861111111111109</v>
      </c>
      <c r="I83" s="10">
        <f t="shared" si="6"/>
        <v>2.0833333333333259E-3</v>
      </c>
      <c r="J83" s="11">
        <v>4</v>
      </c>
      <c r="K83" s="11">
        <v>45.57</v>
      </c>
      <c r="L83" s="16">
        <f t="shared" si="7"/>
        <v>227.85000000000082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3</v>
      </c>
      <c r="W83" s="12"/>
      <c r="X83" s="11"/>
      <c r="Y83" s="11"/>
      <c r="Z83" s="11"/>
      <c r="AA83" s="11"/>
      <c r="AB83" s="11">
        <v>3</v>
      </c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346</v>
      </c>
      <c r="F84" s="8" t="s">
        <v>42</v>
      </c>
      <c r="G84" s="9">
        <v>0.6</v>
      </c>
      <c r="H84" s="9">
        <v>0.6020833333333333</v>
      </c>
      <c r="I84" s="10">
        <f t="shared" si="6"/>
        <v>2.0833333333333259E-3</v>
      </c>
      <c r="J84" s="11">
        <v>4</v>
      </c>
      <c r="K84" s="11">
        <v>44.38</v>
      </c>
      <c r="L84" s="16">
        <f t="shared" si="7"/>
        <v>221.9000000000008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3</v>
      </c>
      <c r="W84" s="12"/>
      <c r="X84" s="11"/>
      <c r="Y84" s="11"/>
      <c r="Z84" s="11"/>
      <c r="AA84" s="11"/>
      <c r="AB84" s="11"/>
      <c r="AC84" s="11">
        <v>3</v>
      </c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347</v>
      </c>
      <c r="F85" s="8" t="s">
        <v>42</v>
      </c>
      <c r="G85" s="9">
        <v>0.60347222222222219</v>
      </c>
      <c r="H85" s="9">
        <v>0.60555555555555551</v>
      </c>
      <c r="I85" s="10">
        <f t="shared" ref="I85" si="23">H85-G85</f>
        <v>2.0833333333333259E-3</v>
      </c>
      <c r="J85" s="11">
        <v>4</v>
      </c>
      <c r="K85" s="11">
        <v>46.16</v>
      </c>
      <c r="L85" s="16">
        <f t="shared" ref="L85" si="24">IFERROR(((K85/(J85*I85)/24)),"0")</f>
        <v>230.80000000000078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3</v>
      </c>
      <c r="W85" s="12"/>
      <c r="X85" s="11"/>
      <c r="Y85" s="11"/>
      <c r="Z85" s="11"/>
      <c r="AA85" s="11"/>
      <c r="AB85" s="11">
        <v>3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348</v>
      </c>
      <c r="F86" s="8" t="s">
        <v>42</v>
      </c>
      <c r="G86" s="9">
        <v>0.60833333333333328</v>
      </c>
      <c r="H86" s="9">
        <v>0.61041666666666672</v>
      </c>
      <c r="I86" s="10">
        <f t="shared" si="6"/>
        <v>2.083333333333437E-3</v>
      </c>
      <c r="J86" s="11">
        <v>4</v>
      </c>
      <c r="K86" s="11">
        <v>46.38</v>
      </c>
      <c r="L86" s="16">
        <f t="shared" si="7"/>
        <v>231.89999999998849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3</v>
      </c>
      <c r="W86" s="12"/>
      <c r="X86" s="11"/>
      <c r="Y86" s="11"/>
      <c r="Z86" s="11"/>
      <c r="AA86" s="11"/>
      <c r="AB86" s="11"/>
      <c r="AC86" s="11">
        <v>3</v>
      </c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349</v>
      </c>
      <c r="F87" s="8" t="s">
        <v>42</v>
      </c>
      <c r="G87" s="9">
        <v>0.61250000000000004</v>
      </c>
      <c r="H87" s="9">
        <v>0.61458333333333337</v>
      </c>
      <c r="I87" s="10">
        <f t="shared" si="6"/>
        <v>2.0833333333333259E-3</v>
      </c>
      <c r="J87" s="11">
        <v>4</v>
      </c>
      <c r="K87" s="11">
        <v>45.38</v>
      </c>
      <c r="L87" s="16">
        <f t="shared" si="7"/>
        <v>226.9000000000008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3</v>
      </c>
      <c r="W87" s="12"/>
      <c r="X87" s="11"/>
      <c r="Y87" s="11"/>
      <c r="Z87" s="11"/>
      <c r="AA87" s="11"/>
      <c r="AB87" s="11">
        <v>3</v>
      </c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350</v>
      </c>
      <c r="F88" s="8" t="s">
        <v>42</v>
      </c>
      <c r="G88" s="9">
        <v>0.61736111111111114</v>
      </c>
      <c r="H88" s="9">
        <v>0.61944444444444446</v>
      </c>
      <c r="I88" s="10">
        <f t="shared" ref="I88" si="25">H88-G88</f>
        <v>2.0833333333333259E-3</v>
      </c>
      <c r="J88" s="11">
        <v>4</v>
      </c>
      <c r="K88" s="11">
        <v>45.45</v>
      </c>
      <c r="L88" s="16">
        <f t="shared" ref="L88" si="26">IFERROR(((K88/(J88*I88)/24)),"0")</f>
        <v>227.25000000000082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3</v>
      </c>
      <c r="W88" s="12"/>
      <c r="X88" s="11"/>
      <c r="Y88" s="11"/>
      <c r="Z88" s="11"/>
      <c r="AA88" s="11"/>
      <c r="AB88" s="11"/>
      <c r="AC88" s="11">
        <v>3</v>
      </c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351</v>
      </c>
      <c r="F89" s="8" t="s">
        <v>42</v>
      </c>
      <c r="G89" s="9">
        <v>0.68958333333333333</v>
      </c>
      <c r="H89" s="9">
        <v>0.69930555555555551</v>
      </c>
      <c r="I89" s="10">
        <f t="shared" si="6"/>
        <v>9.7222222222221877E-3</v>
      </c>
      <c r="J89" s="11">
        <v>4</v>
      </c>
      <c r="K89" s="11">
        <v>43.3</v>
      </c>
      <c r="L89" s="16">
        <f t="shared" si="7"/>
        <v>46.392857142857309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/>
      <c r="X89" s="11"/>
      <c r="Y89" s="11"/>
      <c r="Z89" s="11">
        <v>14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352</v>
      </c>
      <c r="F90" s="8" t="s">
        <v>42</v>
      </c>
      <c r="G90" s="9">
        <v>0.69305555555555554</v>
      </c>
      <c r="H90" s="9">
        <v>0.70277777777777772</v>
      </c>
      <c r="I90" s="10">
        <f t="shared" si="6"/>
        <v>9.7222222222221877E-3</v>
      </c>
      <c r="J90" s="11">
        <v>4</v>
      </c>
      <c r="K90" s="11">
        <v>51.67</v>
      </c>
      <c r="L90" s="16">
        <f t="shared" si="7"/>
        <v>55.360714285714486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/>
      <c r="X90" s="11"/>
      <c r="Y90" s="11">
        <v>14</v>
      </c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353</v>
      </c>
      <c r="F91" s="8" t="s">
        <v>42</v>
      </c>
      <c r="G91" s="9">
        <v>0.70208333333333328</v>
      </c>
      <c r="H91" s="9">
        <v>0.71180555555555558</v>
      </c>
      <c r="I91" s="10">
        <f t="shared" ref="I91" si="27">H91-G91</f>
        <v>9.7222222222222987E-3</v>
      </c>
      <c r="J91" s="11">
        <v>4</v>
      </c>
      <c r="K91" s="11">
        <v>50.85</v>
      </c>
      <c r="L91" s="16">
        <f t="shared" ref="L91" si="28">IFERROR(((K91/(J91*I91)/24)),"0")</f>
        <v>54.482142857142428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/>
      <c r="X91" s="11"/>
      <c r="Y91" s="11"/>
      <c r="Z91" s="11">
        <v>14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354</v>
      </c>
      <c r="F92" s="8" t="s">
        <v>42</v>
      </c>
      <c r="G92" s="9">
        <v>0.70486111111111116</v>
      </c>
      <c r="H92" s="9">
        <v>0.71458333333333335</v>
      </c>
      <c r="I92" s="10">
        <f t="shared" si="6"/>
        <v>9.7222222222221877E-3</v>
      </c>
      <c r="J92" s="11">
        <v>4</v>
      </c>
      <c r="K92" s="11">
        <v>44.07</v>
      </c>
      <c r="L92" s="16">
        <f t="shared" si="7"/>
        <v>47.217857142857305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/>
      <c r="X92" s="11"/>
      <c r="Y92" s="11"/>
      <c r="Z92" s="11"/>
      <c r="AA92" s="11">
        <v>14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/>
      <c r="F93" s="8" t="s">
        <v>42</v>
      </c>
      <c r="G93" s="9"/>
      <c r="H93" s="9"/>
      <c r="I93" s="10"/>
      <c r="J93" s="11"/>
      <c r="K93" s="11"/>
      <c r="L93" s="16"/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 t="s">
        <v>301</v>
      </c>
      <c r="E94" s="19" t="s">
        <v>355</v>
      </c>
      <c r="F94" s="8" t="s">
        <v>42</v>
      </c>
      <c r="G94" s="9">
        <v>0.60138888888888886</v>
      </c>
      <c r="H94" s="9">
        <v>0.61111111111111116</v>
      </c>
      <c r="I94" s="10">
        <f t="shared" si="6"/>
        <v>9.7222222222222987E-3</v>
      </c>
      <c r="J94" s="11">
        <v>3</v>
      </c>
      <c r="K94" s="11">
        <v>48.32</v>
      </c>
      <c r="L94" s="16">
        <f t="shared" si="7"/>
        <v>69.028571428570885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3</v>
      </c>
      <c r="X94" s="11"/>
      <c r="Y94" s="11"/>
      <c r="Z94" s="11"/>
      <c r="AA94" s="11"/>
      <c r="AB94" s="11"/>
      <c r="AC94" s="11"/>
      <c r="AD94" s="11">
        <v>14</v>
      </c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356</v>
      </c>
      <c r="F95" s="8" t="s">
        <v>42</v>
      </c>
      <c r="G95" s="9">
        <v>0.65416666666666667</v>
      </c>
      <c r="H95" s="9">
        <v>0.67013888888888884</v>
      </c>
      <c r="I95" s="10">
        <f t="shared" si="6"/>
        <v>1.5972222222222165E-2</v>
      </c>
      <c r="J95" s="11">
        <v>3</v>
      </c>
      <c r="K95" s="11">
        <v>49.61</v>
      </c>
      <c r="L95" s="16">
        <f t="shared" si="7"/>
        <v>43.139130434782764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3</v>
      </c>
      <c r="X95" s="11"/>
      <c r="Y95" s="11"/>
      <c r="Z95" s="11"/>
      <c r="AA95" s="11"/>
      <c r="AB95" s="11"/>
      <c r="AC95" s="11">
        <v>23</v>
      </c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162"/>
      <c r="E96" s="19" t="s">
        <v>357</v>
      </c>
      <c r="F96" s="8" t="s">
        <v>42</v>
      </c>
      <c r="G96" s="9">
        <v>0.67708333333333337</v>
      </c>
      <c r="H96" s="9">
        <v>0.68680555555555556</v>
      </c>
      <c r="I96" s="10">
        <f t="shared" si="6"/>
        <v>9.7222222222221877E-3</v>
      </c>
      <c r="J96" s="11">
        <v>3</v>
      </c>
      <c r="K96" s="11">
        <v>47</v>
      </c>
      <c r="L96" s="16">
        <f t="shared" si="7"/>
        <v>67.14285714285738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3</v>
      </c>
      <c r="X96" s="11"/>
      <c r="Y96" s="11"/>
      <c r="Z96" s="11"/>
      <c r="AA96" s="11"/>
      <c r="AB96" s="11"/>
      <c r="AC96" s="11">
        <v>14</v>
      </c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358</v>
      </c>
      <c r="F97" s="8" t="s">
        <v>42</v>
      </c>
      <c r="G97" s="9">
        <v>0.68888888888888888</v>
      </c>
      <c r="H97" s="9">
        <v>0.69861111111111107</v>
      </c>
      <c r="I97" s="10">
        <f t="shared" si="6"/>
        <v>9.7222222222221877E-3</v>
      </c>
      <c r="J97" s="11">
        <v>3</v>
      </c>
      <c r="K97" s="11">
        <v>48.56</v>
      </c>
      <c r="L97" s="16">
        <f t="shared" si="7"/>
        <v>69.371428571428822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3</v>
      </c>
      <c r="X97" s="11"/>
      <c r="Y97" s="11"/>
      <c r="Z97" s="11"/>
      <c r="AA97" s="11"/>
      <c r="AB97" s="11"/>
      <c r="AC97" s="11">
        <v>14</v>
      </c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69" t="s">
        <v>359</v>
      </c>
      <c r="F98" s="8" t="s">
        <v>42</v>
      </c>
      <c r="G98" s="9">
        <v>0.4284722222222222</v>
      </c>
      <c r="H98" s="9">
        <v>0.43611111111111112</v>
      </c>
      <c r="I98" s="10">
        <f t="shared" si="6"/>
        <v>7.6388888888889173E-3</v>
      </c>
      <c r="J98" s="11">
        <v>3</v>
      </c>
      <c r="K98" s="11">
        <v>14.48</v>
      </c>
      <c r="L98" s="16">
        <f t="shared" si="7"/>
        <v>26.327272727272629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2</v>
      </c>
      <c r="X98" s="11"/>
      <c r="Y98" s="11"/>
      <c r="Z98" s="11"/>
      <c r="AA98" s="11"/>
      <c r="AB98" s="11"/>
      <c r="AC98" s="11"/>
      <c r="AD98" s="11">
        <v>11</v>
      </c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69" t="s">
        <v>360</v>
      </c>
      <c r="F99" s="8" t="s">
        <v>209</v>
      </c>
      <c r="G99" s="9">
        <v>0.62291666666666667</v>
      </c>
      <c r="H99" s="9">
        <v>0.67638888888888893</v>
      </c>
      <c r="I99" s="10">
        <f t="shared" si="6"/>
        <v>5.3472222222222254E-2</v>
      </c>
      <c r="J99" s="11">
        <v>4</v>
      </c>
      <c r="K99" s="11">
        <v>79.7</v>
      </c>
      <c r="L99" s="16">
        <f t="shared" si="7"/>
        <v>15.525974025974017</v>
      </c>
      <c r="M99" s="11"/>
      <c r="N99" s="11"/>
      <c r="O99" s="11"/>
      <c r="P99" s="11"/>
      <c r="Q99" s="11"/>
      <c r="R99" s="12"/>
      <c r="S99" s="12"/>
      <c r="T99" s="11"/>
      <c r="U99" s="11"/>
      <c r="V99" s="12">
        <v>5</v>
      </c>
      <c r="W99" s="12"/>
      <c r="X99" s="11"/>
      <c r="Y99" s="11"/>
      <c r="Z99" s="11"/>
      <c r="AA99" s="11"/>
      <c r="AB99" s="11"/>
      <c r="AC99" s="11"/>
      <c r="AD99" s="11"/>
      <c r="AE99" s="11"/>
      <c r="AF99" s="11"/>
      <c r="AG99" s="11">
        <v>25.66</v>
      </c>
      <c r="AH99" s="11">
        <v>25.66</v>
      </c>
      <c r="AI99" s="11">
        <v>25.66</v>
      </c>
      <c r="AJ99" s="11"/>
      <c r="AK99" s="11"/>
      <c r="AL99" s="14"/>
    </row>
    <row r="100" spans="2:38" ht="25.05" customHeight="1">
      <c r="B100" s="13"/>
      <c r="C100" s="29"/>
      <c r="D100" s="30"/>
      <c r="E100" s="169" t="s">
        <v>361</v>
      </c>
      <c r="F100" s="8" t="s">
        <v>42</v>
      </c>
      <c r="G100" s="9">
        <v>0.4465277777777778</v>
      </c>
      <c r="H100" s="9">
        <v>0.45763888888888887</v>
      </c>
      <c r="I100" s="10">
        <f t="shared" si="6"/>
        <v>1.1111111111111072E-2</v>
      </c>
      <c r="J100" s="11">
        <v>3</v>
      </c>
      <c r="K100" s="11">
        <v>60</v>
      </c>
      <c r="L100" s="16">
        <f t="shared" si="7"/>
        <v>75.00000000000027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>
        <v>2</v>
      </c>
      <c r="X100" s="11"/>
      <c r="Y100" s="11"/>
      <c r="Z100" s="11"/>
      <c r="AA100" s="11"/>
      <c r="AB100" s="11"/>
      <c r="AC100" s="11"/>
      <c r="AD100" s="11"/>
      <c r="AE100" s="11">
        <v>16</v>
      </c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69" t="s">
        <v>362</v>
      </c>
      <c r="F101" s="8" t="s">
        <v>42</v>
      </c>
      <c r="G101" s="9">
        <v>0.65486111111111112</v>
      </c>
      <c r="H101" s="9">
        <v>0.67152777777777772</v>
      </c>
      <c r="I101" s="10">
        <f t="shared" ref="I101:I120" si="29">H101-G101</f>
        <v>1.6666666666666607E-2</v>
      </c>
      <c r="J101" s="11">
        <v>3</v>
      </c>
      <c r="K101" s="11">
        <v>58.51</v>
      </c>
      <c r="L101" s="16">
        <f t="shared" ref="L101:L127" si="30">IFERROR(((K101/(J101*I101)/24)),"0")</f>
        <v>48.758333333333503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2</v>
      </c>
      <c r="W101" s="12"/>
      <c r="X101" s="11"/>
      <c r="Y101" s="11"/>
      <c r="Z101" s="11"/>
      <c r="AA101" s="11"/>
      <c r="AB101" s="11"/>
      <c r="AC101" s="11"/>
      <c r="AD101" s="11"/>
      <c r="AE101" s="11">
        <v>24</v>
      </c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69" t="s">
        <v>363</v>
      </c>
      <c r="F102" s="8" t="s">
        <v>42</v>
      </c>
      <c r="G102" s="9">
        <v>0.40763888888888888</v>
      </c>
      <c r="H102" s="9">
        <v>0.4201388888888889</v>
      </c>
      <c r="I102" s="10">
        <f t="shared" si="29"/>
        <v>1.2500000000000011E-2</v>
      </c>
      <c r="J102" s="11">
        <v>3</v>
      </c>
      <c r="K102" s="11">
        <v>27.34</v>
      </c>
      <c r="L102" s="16">
        <f t="shared" si="30"/>
        <v>30.377777777777752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>
        <v>2</v>
      </c>
      <c r="X102" s="11"/>
      <c r="Y102" s="11"/>
      <c r="Z102" s="11"/>
      <c r="AA102" s="11"/>
      <c r="AB102" s="11"/>
      <c r="AC102" s="11"/>
      <c r="AD102" s="11">
        <v>18</v>
      </c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69" t="s">
        <v>364</v>
      </c>
      <c r="F103" s="8" t="s">
        <v>42</v>
      </c>
      <c r="G103" s="9">
        <v>0.375</v>
      </c>
      <c r="H103" s="9">
        <v>0.3923611111111111</v>
      </c>
      <c r="I103" s="10">
        <f t="shared" si="29"/>
        <v>1.7361111111111105E-2</v>
      </c>
      <c r="J103" s="11">
        <v>3</v>
      </c>
      <c r="K103" s="11">
        <v>112.22</v>
      </c>
      <c r="L103" s="16">
        <f t="shared" si="30"/>
        <v>89.776000000000025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2</v>
      </c>
      <c r="X103" s="11"/>
      <c r="Y103" s="11"/>
      <c r="Z103" s="11"/>
      <c r="AA103" s="11"/>
      <c r="AB103" s="11"/>
      <c r="AC103" s="11">
        <v>25</v>
      </c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69" t="s">
        <v>365</v>
      </c>
      <c r="F104" s="8" t="s">
        <v>42</v>
      </c>
      <c r="G104" s="9">
        <v>0.40347222222222223</v>
      </c>
      <c r="H104" s="9">
        <v>0.42777777777777776</v>
      </c>
      <c r="I104" s="10">
        <f t="shared" si="29"/>
        <v>2.4305555555555525E-2</v>
      </c>
      <c r="J104" s="11">
        <v>3</v>
      </c>
      <c r="K104" s="11">
        <v>91.92</v>
      </c>
      <c r="L104" s="16">
        <f t="shared" si="30"/>
        <v>52.525714285714351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>
        <v>2</v>
      </c>
      <c r="X104" s="11"/>
      <c r="Y104" s="11"/>
      <c r="Z104" s="11"/>
      <c r="AA104" s="11"/>
      <c r="AB104" s="11"/>
      <c r="AC104" s="11">
        <v>35</v>
      </c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69" t="s">
        <v>366</v>
      </c>
      <c r="F105" s="8" t="s">
        <v>42</v>
      </c>
      <c r="G105" s="9">
        <v>0.43888888888888888</v>
      </c>
      <c r="H105" s="9">
        <v>0.46180555555555558</v>
      </c>
      <c r="I105" s="10">
        <f t="shared" si="29"/>
        <v>2.2916666666666696E-2</v>
      </c>
      <c r="J105" s="11">
        <v>3</v>
      </c>
      <c r="K105" s="11">
        <v>92.23</v>
      </c>
      <c r="L105" s="16">
        <f t="shared" si="30"/>
        <v>55.896969696969627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2</v>
      </c>
      <c r="X105" s="11"/>
      <c r="Y105" s="11"/>
      <c r="Z105" s="11"/>
      <c r="AA105" s="11"/>
      <c r="AB105" s="11"/>
      <c r="AC105" s="11">
        <v>33</v>
      </c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69" t="s">
        <v>367</v>
      </c>
      <c r="F106" s="8" t="s">
        <v>42</v>
      </c>
      <c r="G106" s="9">
        <v>0.47361111111111109</v>
      </c>
      <c r="H106" s="9">
        <v>0.49583333333333335</v>
      </c>
      <c r="I106" s="10">
        <f t="shared" si="29"/>
        <v>2.2222222222222254E-2</v>
      </c>
      <c r="J106" s="11">
        <v>3</v>
      </c>
      <c r="K106" s="11">
        <v>95.03</v>
      </c>
      <c r="L106" s="16">
        <f t="shared" si="30"/>
        <v>59.393749999999919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>
        <v>2</v>
      </c>
      <c r="X106" s="11"/>
      <c r="Y106" s="11"/>
      <c r="Z106" s="11"/>
      <c r="AA106" s="11"/>
      <c r="AB106" s="11"/>
      <c r="AC106" s="11">
        <v>32</v>
      </c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368</v>
      </c>
      <c r="F107" s="8" t="s">
        <v>42</v>
      </c>
      <c r="G107" s="9">
        <v>0.63541666666666663</v>
      </c>
      <c r="H107" s="9">
        <v>0.64166666666666672</v>
      </c>
      <c r="I107" s="10">
        <f t="shared" si="29"/>
        <v>6.2500000000000888E-3</v>
      </c>
      <c r="J107" s="11">
        <v>3</v>
      </c>
      <c r="K107" s="11">
        <v>76.489999999999995</v>
      </c>
      <c r="L107" s="16">
        <f t="shared" si="30"/>
        <v>169.97777777777534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>
        <v>2</v>
      </c>
      <c r="W107" s="12"/>
      <c r="X107" s="11"/>
      <c r="Y107" s="11"/>
      <c r="Z107" s="11"/>
      <c r="AA107" s="11"/>
      <c r="AB107" s="11">
        <v>9</v>
      </c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369</v>
      </c>
      <c r="F108" s="8" t="s">
        <v>42</v>
      </c>
      <c r="G108" s="9">
        <v>0.64236111111111116</v>
      </c>
      <c r="H108" s="9">
        <v>0.64930555555555558</v>
      </c>
      <c r="I108" s="10">
        <f t="shared" si="29"/>
        <v>6.9444444444444198E-3</v>
      </c>
      <c r="J108" s="11">
        <v>3</v>
      </c>
      <c r="K108" s="11">
        <v>80.05</v>
      </c>
      <c r="L108" s="16">
        <f t="shared" si="30"/>
        <v>160.10000000000056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>
        <v>2</v>
      </c>
      <c r="W108" s="12"/>
      <c r="X108" s="11"/>
      <c r="Y108" s="11"/>
      <c r="Z108" s="11"/>
      <c r="AA108" s="11"/>
      <c r="AB108" s="11"/>
      <c r="AC108" s="11"/>
      <c r="AD108" s="11">
        <v>10</v>
      </c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370</v>
      </c>
      <c r="F109" s="8" t="s">
        <v>42</v>
      </c>
      <c r="G109" s="9">
        <v>0.65069444444444446</v>
      </c>
      <c r="H109" s="9">
        <v>0.65833333333333333</v>
      </c>
      <c r="I109" s="10">
        <f t="shared" si="29"/>
        <v>7.6388888888888618E-3</v>
      </c>
      <c r="J109" s="11">
        <v>3</v>
      </c>
      <c r="K109" s="11">
        <v>88.95</v>
      </c>
      <c r="L109" s="16">
        <f t="shared" si="30"/>
        <v>161.72727272727332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>
        <v>2</v>
      </c>
      <c r="W109" s="12"/>
      <c r="X109" s="11"/>
      <c r="Y109" s="11"/>
      <c r="Z109" s="11"/>
      <c r="AA109" s="11"/>
      <c r="AB109" s="11">
        <v>11</v>
      </c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371</v>
      </c>
      <c r="F110" s="8" t="s">
        <v>42</v>
      </c>
      <c r="G110" s="9">
        <v>0.65972222222222221</v>
      </c>
      <c r="H110" s="9">
        <v>0.66805555555555551</v>
      </c>
      <c r="I110" s="10">
        <f t="shared" si="29"/>
        <v>8.3333333333333037E-3</v>
      </c>
      <c r="J110" s="11">
        <v>3</v>
      </c>
      <c r="K110" s="11">
        <v>80</v>
      </c>
      <c r="L110" s="16">
        <f t="shared" si="30"/>
        <v>133.3333333333338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>
        <v>2</v>
      </c>
      <c r="W110" s="12"/>
      <c r="X110" s="11"/>
      <c r="Y110" s="11"/>
      <c r="Z110" s="11"/>
      <c r="AA110" s="11"/>
      <c r="AB110" s="11"/>
      <c r="AC110" s="11"/>
      <c r="AD110" s="11">
        <v>12</v>
      </c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372</v>
      </c>
      <c r="F111" s="8" t="s">
        <v>42</v>
      </c>
      <c r="G111" s="9">
        <v>0.6694444444444444</v>
      </c>
      <c r="H111" s="9">
        <v>0.67638888888888893</v>
      </c>
      <c r="I111" s="10">
        <f t="shared" si="29"/>
        <v>6.9444444444445308E-3</v>
      </c>
      <c r="J111" s="11">
        <v>3</v>
      </c>
      <c r="K111" s="11">
        <v>75.34</v>
      </c>
      <c r="L111" s="16">
        <f t="shared" si="30"/>
        <v>150.67999999999813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>
        <v>2</v>
      </c>
      <c r="W111" s="12"/>
      <c r="X111" s="11"/>
      <c r="Y111" s="11"/>
      <c r="Z111" s="11"/>
      <c r="AA111" s="11"/>
      <c r="AB111" s="11">
        <v>10</v>
      </c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373</v>
      </c>
      <c r="F112" s="8" t="s">
        <v>42</v>
      </c>
      <c r="G112" s="9">
        <v>0.67708333333333337</v>
      </c>
      <c r="H112" s="9">
        <v>0.68263888888888891</v>
      </c>
      <c r="I112" s="10">
        <f t="shared" si="29"/>
        <v>5.5555555555555358E-3</v>
      </c>
      <c r="J112" s="11">
        <v>3</v>
      </c>
      <c r="K112" s="11">
        <v>77.03</v>
      </c>
      <c r="L112" s="16">
        <f t="shared" si="30"/>
        <v>192.5750000000007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>
        <v>2</v>
      </c>
      <c r="W112" s="12"/>
      <c r="X112" s="11"/>
      <c r="Y112" s="11"/>
      <c r="Z112" s="11"/>
      <c r="AA112" s="11"/>
      <c r="AB112" s="11"/>
      <c r="AC112" s="11"/>
      <c r="AD112" s="11">
        <v>8</v>
      </c>
      <c r="AE112" s="11"/>
      <c r="AF112" s="11"/>
      <c r="AG112" s="11"/>
      <c r="AH112" s="11"/>
      <c r="AI112" s="11"/>
      <c r="AJ112" s="11"/>
      <c r="AK112" s="11"/>
      <c r="AL112" s="14"/>
    </row>
    <row r="113" spans="1:38" ht="25.05" customHeight="1">
      <c r="B113" s="13"/>
      <c r="C113" s="29"/>
      <c r="D113" s="30"/>
      <c r="E113" s="19" t="s">
        <v>374</v>
      </c>
      <c r="F113" s="8" t="s">
        <v>42</v>
      </c>
      <c r="G113" s="9">
        <v>0.68194444444444446</v>
      </c>
      <c r="H113" s="9">
        <v>0.69166666666666665</v>
      </c>
      <c r="I113" s="10">
        <f t="shared" si="29"/>
        <v>9.7222222222221877E-3</v>
      </c>
      <c r="J113" s="11">
        <v>3</v>
      </c>
      <c r="K113" s="11">
        <v>80.37</v>
      </c>
      <c r="L113" s="16">
        <f t="shared" si="30"/>
        <v>114.81428571428613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>
        <v>2</v>
      </c>
      <c r="W113" s="12"/>
      <c r="X113" s="11"/>
      <c r="Y113" s="11"/>
      <c r="Z113" s="11"/>
      <c r="AA113" s="11"/>
      <c r="AB113" s="11">
        <v>14</v>
      </c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1:38" ht="25.05" customHeight="1">
      <c r="B114" s="13"/>
      <c r="C114" s="29"/>
      <c r="D114" s="30"/>
      <c r="E114" s="19" t="s">
        <v>375</v>
      </c>
      <c r="F114" s="8" t="s">
        <v>42</v>
      </c>
      <c r="G114" s="9">
        <v>0.69791666666666663</v>
      </c>
      <c r="H114" s="9">
        <v>0.70347222222222228</v>
      </c>
      <c r="I114" s="10">
        <f t="shared" si="29"/>
        <v>5.5555555555556468E-3</v>
      </c>
      <c r="J114" s="11">
        <v>3</v>
      </c>
      <c r="K114" s="11">
        <v>78.81</v>
      </c>
      <c r="L114" s="16">
        <f t="shared" si="30"/>
        <v>197.02499999999677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>
        <v>2</v>
      </c>
      <c r="W114" s="12"/>
      <c r="X114" s="11"/>
      <c r="Y114" s="11"/>
      <c r="Z114" s="11"/>
      <c r="AA114" s="11"/>
      <c r="AB114" s="11">
        <v>8</v>
      </c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1:38" ht="25.05" customHeight="1">
      <c r="B115" s="13"/>
      <c r="C115" s="29"/>
      <c r="D115" s="30"/>
      <c r="E115" s="19"/>
      <c r="F115" s="8" t="s">
        <v>42</v>
      </c>
      <c r="G115" s="9"/>
      <c r="H115" s="9"/>
      <c r="I115" s="10">
        <f t="shared" si="29"/>
        <v>0</v>
      </c>
      <c r="J115" s="11"/>
      <c r="K115" s="11"/>
      <c r="L115" s="16" t="str">
        <f t="shared" si="30"/>
        <v>0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1:38" ht="25.05" customHeight="1">
      <c r="B116" s="13"/>
      <c r="C116" s="29"/>
      <c r="D116" s="6" t="s">
        <v>62</v>
      </c>
      <c r="E116" s="19" t="s">
        <v>376</v>
      </c>
      <c r="F116" s="8" t="s">
        <v>42</v>
      </c>
      <c r="G116" s="9">
        <v>0.51249999999999996</v>
      </c>
      <c r="H116" s="9">
        <v>0.56180555555555556</v>
      </c>
      <c r="I116" s="10">
        <f t="shared" si="29"/>
        <v>4.9305555555555602E-2</v>
      </c>
      <c r="J116" s="11">
        <v>2</v>
      </c>
      <c r="K116" s="11">
        <f>0.02*4600</f>
        <v>92</v>
      </c>
      <c r="L116" s="16">
        <f t="shared" si="30"/>
        <v>38.873239436619677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10</v>
      </c>
      <c r="X116" s="11"/>
      <c r="Y116" s="11"/>
      <c r="Z116" s="11">
        <v>71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1:38" ht="25.05" customHeight="1">
      <c r="B117" s="13"/>
      <c r="C117" s="29"/>
      <c r="D117" s="30"/>
      <c r="E117" s="19" t="s">
        <v>377</v>
      </c>
      <c r="F117" s="8" t="s">
        <v>42</v>
      </c>
      <c r="G117" s="9">
        <v>0.56874999999999998</v>
      </c>
      <c r="H117" s="9">
        <v>0.68680555555555556</v>
      </c>
      <c r="I117" s="10">
        <f t="shared" si="29"/>
        <v>0.11805555555555558</v>
      </c>
      <c r="J117" s="11">
        <v>2</v>
      </c>
      <c r="K117" s="11">
        <f>0.02*4634</f>
        <v>92.68</v>
      </c>
      <c r="L117" s="16">
        <f t="shared" si="30"/>
        <v>16.355294117647055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>
        <v>10</v>
      </c>
      <c r="X117" s="11"/>
      <c r="Y117" s="11"/>
      <c r="Z117" s="11">
        <v>170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1:38" ht="25.05" customHeight="1">
      <c r="B118" s="13"/>
      <c r="C118" s="29"/>
      <c r="D118" s="30"/>
      <c r="E118" s="19"/>
      <c r="F118" s="8" t="s">
        <v>42</v>
      </c>
      <c r="G118" s="9"/>
      <c r="H118" s="9"/>
      <c r="I118" s="10">
        <f t="shared" si="29"/>
        <v>0</v>
      </c>
      <c r="J118" s="11"/>
      <c r="K118" s="11"/>
      <c r="L118" s="16" t="str">
        <f t="shared" si="30"/>
        <v>0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1:38" ht="25.05" customHeight="1">
      <c r="B119" s="13"/>
      <c r="C119" s="29"/>
      <c r="D119" s="30" t="s">
        <v>83</v>
      </c>
      <c r="E119" s="19" t="s">
        <v>378</v>
      </c>
      <c r="F119" s="8" t="s">
        <v>42</v>
      </c>
      <c r="G119" s="9">
        <v>0.70972222222222225</v>
      </c>
      <c r="H119" s="9">
        <v>0.71597222222222223</v>
      </c>
      <c r="I119" s="10">
        <f t="shared" si="29"/>
        <v>6.2499999999999778E-3</v>
      </c>
      <c r="J119" s="11">
        <v>3</v>
      </c>
      <c r="K119" s="11">
        <v>94.75</v>
      </c>
      <c r="L119" s="16">
        <f t="shared" si="30"/>
        <v>210.55555555555631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/>
      <c r="X119" s="11"/>
      <c r="Y119" s="11"/>
      <c r="Z119" s="11"/>
      <c r="AA119" s="11"/>
      <c r="AB119" s="11"/>
      <c r="AC119" s="11"/>
      <c r="AD119" s="11">
        <v>9</v>
      </c>
      <c r="AE119" s="11"/>
      <c r="AF119" s="11"/>
      <c r="AG119" s="11"/>
      <c r="AH119" s="11"/>
      <c r="AI119" s="11"/>
      <c r="AJ119" s="11"/>
      <c r="AK119" s="11"/>
      <c r="AL119" s="14"/>
    </row>
    <row r="120" spans="1:38" ht="25.05" customHeight="1">
      <c r="B120" s="13"/>
      <c r="C120" s="29"/>
      <c r="D120" s="30"/>
      <c r="E120" s="19" t="s">
        <v>379</v>
      </c>
      <c r="F120" s="8" t="s">
        <v>42</v>
      </c>
      <c r="G120" s="9">
        <v>0.71875</v>
      </c>
      <c r="H120" s="9">
        <v>0.72499999999999998</v>
      </c>
      <c r="I120" s="10">
        <f t="shared" si="29"/>
        <v>6.2499999999999778E-3</v>
      </c>
      <c r="J120" s="11">
        <v>3</v>
      </c>
      <c r="K120" s="11">
        <v>93.44</v>
      </c>
      <c r="L120" s="16">
        <f t="shared" si="30"/>
        <v>207.64444444444518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/>
      <c r="X120" s="11"/>
      <c r="Y120" s="11"/>
      <c r="Z120" s="11"/>
      <c r="AA120" s="11"/>
      <c r="AB120" s="11"/>
      <c r="AC120" s="11">
        <v>9</v>
      </c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1:38" ht="25.05" customHeight="1">
      <c r="B121" s="13"/>
      <c r="C121" s="29"/>
      <c r="D121" s="30"/>
      <c r="E121" s="19" t="s">
        <v>380</v>
      </c>
      <c r="F121" s="8" t="s">
        <v>42</v>
      </c>
      <c r="G121" s="9">
        <v>0.71944444444444444</v>
      </c>
      <c r="H121" s="9">
        <v>0.72569444444444442</v>
      </c>
      <c r="I121" s="10">
        <f>H121-G121</f>
        <v>6.2499999999999778E-3</v>
      </c>
      <c r="J121" s="11">
        <v>3</v>
      </c>
      <c r="K121" s="11">
        <v>93.33</v>
      </c>
      <c r="L121" s="16">
        <f t="shared" si="30"/>
        <v>207.40000000000074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/>
      <c r="X121" s="11"/>
      <c r="Y121" s="11"/>
      <c r="Z121" s="11"/>
      <c r="AA121" s="11"/>
      <c r="AB121" s="11"/>
      <c r="AC121" s="11"/>
      <c r="AD121" s="11">
        <v>9</v>
      </c>
      <c r="AE121" s="11"/>
      <c r="AF121" s="11"/>
      <c r="AG121" s="11"/>
      <c r="AH121" s="11"/>
      <c r="AI121" s="11"/>
      <c r="AJ121" s="11"/>
      <c r="AK121" s="11"/>
      <c r="AL121" s="14"/>
    </row>
    <row r="122" spans="1:38" ht="25.05" customHeight="1">
      <c r="B122" s="13"/>
      <c r="C122" s="29"/>
      <c r="D122" s="30"/>
      <c r="E122" s="19" t="s">
        <v>381</v>
      </c>
      <c r="F122" s="8" t="s">
        <v>42</v>
      </c>
      <c r="G122" s="9">
        <v>0.72499999999999998</v>
      </c>
      <c r="H122" s="9">
        <v>0.73124999999999996</v>
      </c>
      <c r="I122" s="10">
        <f t="shared" ref="I122:I127" si="31">H122-G122</f>
        <v>6.2499999999999778E-3</v>
      </c>
      <c r="J122" s="11">
        <v>3</v>
      </c>
      <c r="K122" s="11">
        <v>42.46</v>
      </c>
      <c r="L122" s="16">
        <f t="shared" ref="L122:L123" si="32">IFERROR(((K122/(J122*I122)/24)),"0")</f>
        <v>94.355555555555895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/>
      <c r="W122" s="12"/>
      <c r="X122" s="11"/>
      <c r="Y122" s="11"/>
      <c r="Z122" s="11"/>
      <c r="AA122" s="11"/>
      <c r="AB122" s="11"/>
      <c r="AC122" s="11">
        <v>9</v>
      </c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1:38" ht="25.05" customHeight="1">
      <c r="B123" s="13"/>
      <c r="C123" s="29"/>
      <c r="D123" s="30"/>
      <c r="E123" s="19" t="s">
        <v>382</v>
      </c>
      <c r="F123" s="8" t="s">
        <v>42</v>
      </c>
      <c r="G123" s="9">
        <v>0.71875</v>
      </c>
      <c r="H123" s="9">
        <v>0.73263888888888884</v>
      </c>
      <c r="I123" s="10">
        <f t="shared" si="31"/>
        <v>1.388888888888884E-2</v>
      </c>
      <c r="J123" s="11">
        <v>2</v>
      </c>
      <c r="K123" s="11">
        <v>81.2</v>
      </c>
      <c r="L123" s="16">
        <f t="shared" si="32"/>
        <v>121.80000000000042</v>
      </c>
      <c r="M123" s="11">
        <v>20</v>
      </c>
      <c r="N123" s="11"/>
      <c r="O123" s="11"/>
      <c r="P123" s="11"/>
      <c r="Q123" s="11"/>
      <c r="R123" s="12"/>
      <c r="S123" s="12"/>
      <c r="T123" s="11"/>
      <c r="U123" s="11"/>
      <c r="V123" s="12"/>
      <c r="W123" s="12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1:38" ht="25.05" customHeight="1">
      <c r="B124" s="13"/>
      <c r="C124" s="29"/>
      <c r="D124" s="30"/>
      <c r="E124" s="19" t="s">
        <v>383</v>
      </c>
      <c r="F124" s="8" t="s">
        <v>42</v>
      </c>
      <c r="G124" s="9">
        <v>0.73611111111111116</v>
      </c>
      <c r="H124" s="9">
        <v>0.75</v>
      </c>
      <c r="I124" s="10">
        <f t="shared" si="31"/>
        <v>1.388888888888884E-2</v>
      </c>
      <c r="J124" s="11">
        <v>2</v>
      </c>
      <c r="K124" s="11">
        <v>81.2</v>
      </c>
      <c r="L124" s="16">
        <f t="shared" si="30"/>
        <v>121.80000000000042</v>
      </c>
      <c r="M124" s="11">
        <v>20</v>
      </c>
      <c r="N124" s="11"/>
      <c r="O124" s="11"/>
      <c r="P124" s="11"/>
      <c r="Q124" s="11"/>
      <c r="R124" s="12"/>
      <c r="S124" s="12"/>
      <c r="T124" s="11"/>
      <c r="U124" s="11"/>
      <c r="V124" s="12"/>
      <c r="W124" s="12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1:38" ht="25.05" customHeight="1">
      <c r="B125" s="74"/>
      <c r="C125" s="75"/>
      <c r="D125" s="76"/>
      <c r="E125" s="19" t="s">
        <v>384</v>
      </c>
      <c r="F125" s="8" t="s">
        <v>42</v>
      </c>
      <c r="G125" s="53">
        <v>0.75347222222222221</v>
      </c>
      <c r="H125" s="53">
        <v>0.76736111111111116</v>
      </c>
      <c r="I125" s="10">
        <f t="shared" si="31"/>
        <v>1.3888888888888951E-2</v>
      </c>
      <c r="J125" s="11">
        <v>2</v>
      </c>
      <c r="K125" s="11">
        <v>81.2</v>
      </c>
      <c r="L125" s="16">
        <f t="shared" si="30"/>
        <v>121.79999999999946</v>
      </c>
      <c r="M125" s="54">
        <v>20</v>
      </c>
      <c r="N125" s="54"/>
      <c r="O125" s="54"/>
      <c r="P125" s="54"/>
      <c r="Q125" s="54"/>
      <c r="R125" s="80"/>
      <c r="S125" s="80"/>
      <c r="T125" s="54"/>
      <c r="U125" s="54"/>
      <c r="V125" s="80"/>
      <c r="W125" s="80"/>
      <c r="X125" s="54"/>
      <c r="Y125" s="54"/>
      <c r="Z125" s="54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81"/>
    </row>
    <row r="126" spans="1:38" ht="25.05" customHeight="1">
      <c r="B126" s="74"/>
      <c r="C126" s="75"/>
      <c r="D126" s="76"/>
      <c r="E126" s="19" t="s">
        <v>385</v>
      </c>
      <c r="F126" s="8" t="s">
        <v>42</v>
      </c>
      <c r="G126" s="53">
        <v>0.77083333333333337</v>
      </c>
      <c r="H126" s="53">
        <v>0.78472222222222221</v>
      </c>
      <c r="I126" s="10">
        <f t="shared" si="31"/>
        <v>1.388888888888884E-2</v>
      </c>
      <c r="J126" s="11">
        <v>2</v>
      </c>
      <c r="K126" s="54">
        <v>40.6</v>
      </c>
      <c r="L126" s="16">
        <f t="shared" si="30"/>
        <v>60.900000000000212</v>
      </c>
      <c r="M126" s="54">
        <v>20</v>
      </c>
      <c r="N126" s="54"/>
      <c r="O126" s="54"/>
      <c r="P126" s="54"/>
      <c r="Q126" s="54"/>
      <c r="R126" s="80"/>
      <c r="S126" s="80"/>
      <c r="T126" s="54"/>
      <c r="U126" s="54"/>
      <c r="V126" s="80"/>
      <c r="W126" s="80"/>
      <c r="X126" s="54"/>
      <c r="Y126" s="54"/>
      <c r="Z126" s="54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81"/>
    </row>
    <row r="127" spans="1:38" ht="25.05" customHeight="1">
      <c r="B127" s="74"/>
      <c r="C127" s="75"/>
      <c r="D127" s="76"/>
      <c r="E127" s="77"/>
      <c r="F127" s="8" t="s">
        <v>42</v>
      </c>
      <c r="G127" s="53"/>
      <c r="H127" s="53"/>
      <c r="I127" s="10">
        <f t="shared" si="31"/>
        <v>0</v>
      </c>
      <c r="J127" s="54"/>
      <c r="K127" s="54"/>
      <c r="L127" s="16" t="str">
        <f t="shared" si="30"/>
        <v>0</v>
      </c>
      <c r="M127" s="54"/>
      <c r="N127" s="54"/>
      <c r="O127" s="54"/>
      <c r="P127" s="54"/>
      <c r="Q127" s="54"/>
      <c r="R127" s="80"/>
      <c r="S127" s="80"/>
      <c r="T127" s="54"/>
      <c r="U127" s="54"/>
      <c r="V127" s="80"/>
      <c r="W127" s="80"/>
      <c r="X127" s="54"/>
      <c r="Y127" s="54"/>
      <c r="Z127" s="54"/>
      <c r="AA127" s="54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81"/>
    </row>
    <row r="128" spans="1:38" s="28" customFormat="1" ht="25.5" customHeight="1" thickBot="1">
      <c r="A128" s="2"/>
      <c r="B128" s="32"/>
      <c r="C128" s="33"/>
      <c r="D128" s="34"/>
      <c r="E128" s="35"/>
      <c r="F128" s="35"/>
      <c r="G128" s="36"/>
      <c r="H128" s="36"/>
      <c r="I128" s="37"/>
      <c r="J128" s="38"/>
      <c r="K128" s="38">
        <f t="shared" ref="K128:AL128" si="33">SUM(K27:K124)</f>
        <v>4936.84</v>
      </c>
      <c r="L128" s="39">
        <f t="shared" si="33"/>
        <v>142419.86410952741</v>
      </c>
      <c r="M128" s="38">
        <f t="shared" si="33"/>
        <v>40</v>
      </c>
      <c r="N128" s="38">
        <f t="shared" si="33"/>
        <v>0</v>
      </c>
      <c r="O128" s="38">
        <f t="shared" si="33"/>
        <v>0</v>
      </c>
      <c r="P128" s="38">
        <f t="shared" si="33"/>
        <v>0</v>
      </c>
      <c r="Q128" s="38">
        <f t="shared" si="33"/>
        <v>0</v>
      </c>
      <c r="R128" s="38">
        <f t="shared" si="33"/>
        <v>0</v>
      </c>
      <c r="S128" s="38">
        <f t="shared" si="33"/>
        <v>0</v>
      </c>
      <c r="T128" s="38">
        <f t="shared" si="33"/>
        <v>0</v>
      </c>
      <c r="U128" s="38">
        <f t="shared" si="33"/>
        <v>0</v>
      </c>
      <c r="V128" s="38">
        <f t="shared" si="33"/>
        <v>126</v>
      </c>
      <c r="W128" s="38">
        <f t="shared" si="33"/>
        <v>90</v>
      </c>
      <c r="X128" s="38">
        <f t="shared" si="33"/>
        <v>0</v>
      </c>
      <c r="Y128" s="38">
        <f t="shared" si="33"/>
        <v>239</v>
      </c>
      <c r="Z128" s="38">
        <f t="shared" si="33"/>
        <v>359</v>
      </c>
      <c r="AA128" s="38">
        <f t="shared" si="33"/>
        <v>104</v>
      </c>
      <c r="AB128" s="38">
        <f t="shared" si="33"/>
        <v>108</v>
      </c>
      <c r="AC128" s="38">
        <f t="shared" si="33"/>
        <v>212</v>
      </c>
      <c r="AD128" s="38">
        <f t="shared" si="33"/>
        <v>122</v>
      </c>
      <c r="AE128" s="38">
        <f t="shared" si="33"/>
        <v>40</v>
      </c>
      <c r="AF128" s="38">
        <f t="shared" si="33"/>
        <v>0</v>
      </c>
      <c r="AG128" s="38">
        <f t="shared" si="33"/>
        <v>25.66</v>
      </c>
      <c r="AH128" s="38">
        <f t="shared" si="33"/>
        <v>25.66</v>
      </c>
      <c r="AI128" s="38">
        <f t="shared" si="33"/>
        <v>25.66</v>
      </c>
      <c r="AJ128" s="38">
        <f t="shared" si="33"/>
        <v>0</v>
      </c>
      <c r="AK128" s="38">
        <f t="shared" si="33"/>
        <v>0</v>
      </c>
      <c r="AL128" s="38">
        <f t="shared" si="33"/>
        <v>0</v>
      </c>
    </row>
    <row r="129" spans="2:38" ht="38.1" customHeight="1" thickBot="1">
      <c r="B129" s="40" t="s">
        <v>45</v>
      </c>
      <c r="C129" s="41"/>
      <c r="D129" s="41"/>
      <c r="E129" s="41"/>
      <c r="F129" s="41"/>
      <c r="G129" s="41"/>
      <c r="H129" s="41"/>
      <c r="I129" s="41"/>
      <c r="J129" s="41"/>
      <c r="K129" s="42">
        <f>K18+K26+K128</f>
        <v>8015.04</v>
      </c>
      <c r="L129" s="42">
        <f>L18+L26+L128</f>
        <v>143175.04805397184</v>
      </c>
      <c r="M129" s="43">
        <f t="shared" ref="M129:AL129" si="34">(M18+M26+M128)/(480-15-30)</f>
        <v>0.31724137931034485</v>
      </c>
      <c r="N129" s="43">
        <f t="shared" si="34"/>
        <v>0</v>
      </c>
      <c r="O129" s="43">
        <f t="shared" si="34"/>
        <v>0.40229885057471265</v>
      </c>
      <c r="P129" s="43">
        <f t="shared" si="34"/>
        <v>0.20689655172413793</v>
      </c>
      <c r="Q129" s="43">
        <f t="shared" si="34"/>
        <v>0</v>
      </c>
      <c r="R129" s="43">
        <f t="shared" si="34"/>
        <v>0.22988505747126436</v>
      </c>
      <c r="S129" s="43">
        <f t="shared" si="34"/>
        <v>1.4482758620689655</v>
      </c>
      <c r="T129" s="43">
        <f t="shared" si="34"/>
        <v>0.13793103448275862</v>
      </c>
      <c r="U129" s="43">
        <f t="shared" si="34"/>
        <v>0</v>
      </c>
      <c r="V129" s="43">
        <f t="shared" si="34"/>
        <v>0.28965517241379313</v>
      </c>
      <c r="W129" s="43">
        <f t="shared" si="34"/>
        <v>0.20689655172413793</v>
      </c>
      <c r="X129" s="43">
        <f t="shared" si="34"/>
        <v>0</v>
      </c>
      <c r="Y129" s="43">
        <f t="shared" si="34"/>
        <v>0.54942528735632179</v>
      </c>
      <c r="Z129" s="43">
        <f t="shared" si="34"/>
        <v>0.82528735632183903</v>
      </c>
      <c r="AA129" s="43">
        <f t="shared" si="34"/>
        <v>0.23908045977011494</v>
      </c>
      <c r="AB129" s="43">
        <f t="shared" si="34"/>
        <v>0.24827586206896551</v>
      </c>
      <c r="AC129" s="43">
        <f t="shared" si="34"/>
        <v>0.48735632183908045</v>
      </c>
      <c r="AD129" s="43">
        <f t="shared" si="34"/>
        <v>0.28045977011494255</v>
      </c>
      <c r="AE129" s="43">
        <f t="shared" si="34"/>
        <v>9.1954022988505746E-2</v>
      </c>
      <c r="AF129" s="43">
        <f t="shared" si="34"/>
        <v>0</v>
      </c>
      <c r="AG129" s="43">
        <f t="shared" si="34"/>
        <v>5.8988505747126434E-2</v>
      </c>
      <c r="AH129" s="43">
        <f t="shared" si="34"/>
        <v>5.8988505747126434E-2</v>
      </c>
      <c r="AI129" s="43">
        <f t="shared" si="34"/>
        <v>5.8988505747126434E-2</v>
      </c>
      <c r="AJ129" s="43">
        <f t="shared" si="34"/>
        <v>0</v>
      </c>
      <c r="AK129" s="43">
        <f t="shared" si="34"/>
        <v>0</v>
      </c>
      <c r="AL129" s="43">
        <f t="shared" si="34"/>
        <v>0</v>
      </c>
    </row>
    <row r="130" spans="2:38" ht="25.05" customHeight="1">
      <c r="B130" s="44"/>
      <c r="C130" s="44"/>
      <c r="D130" s="44"/>
      <c r="E130" s="45"/>
      <c r="F130" s="45"/>
      <c r="G130" s="45"/>
      <c r="H130" s="45"/>
      <c r="I130" s="46"/>
      <c r="J130" s="46"/>
      <c r="K130" s="45"/>
      <c r="L130" s="47"/>
      <c r="M130" s="47"/>
      <c r="N130" s="47"/>
      <c r="O130" s="47"/>
      <c r="P130" s="47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</row>
    <row r="131" spans="2:38" ht="25.05" customHeight="1">
      <c r="B131" s="44"/>
      <c r="C131" s="44"/>
      <c r="D131" s="44"/>
      <c r="E131" s="45"/>
      <c r="F131" s="45"/>
      <c r="G131" s="45"/>
      <c r="H131" s="45"/>
      <c r="I131" s="48" t="s">
        <v>46</v>
      </c>
      <c r="J131" s="46"/>
      <c r="K131" s="45"/>
      <c r="L131" s="47"/>
      <c r="M131" s="47"/>
      <c r="N131" s="47"/>
      <c r="O131" s="47"/>
      <c r="P131" s="47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</row>
    <row r="132" spans="2:38" ht="25.05" customHeight="1">
      <c r="B132" s="44"/>
      <c r="C132" s="44"/>
      <c r="D132" s="44"/>
      <c r="E132" s="45"/>
      <c r="F132" s="45"/>
      <c r="G132" s="45"/>
      <c r="H132" s="45"/>
      <c r="I132" s="49" t="s">
        <v>47</v>
      </c>
      <c r="J132" s="9">
        <v>0</v>
      </c>
      <c r="K132" s="11">
        <v>10</v>
      </c>
      <c r="L132" s="11" t="s">
        <v>48</v>
      </c>
      <c r="M132" s="47"/>
      <c r="N132" s="14">
        <v>2</v>
      </c>
      <c r="O132" s="14"/>
      <c r="P132" s="14"/>
      <c r="Q132" s="50" t="s">
        <v>49</v>
      </c>
      <c r="R132" s="51"/>
      <c r="S132" s="45"/>
      <c r="T132" s="45"/>
      <c r="U132" s="45"/>
      <c r="V132" s="45"/>
      <c r="W132" s="45"/>
      <c r="X132" s="45"/>
      <c r="Y132" s="45"/>
      <c r="Z132" s="45"/>
      <c r="AA132" s="45"/>
      <c r="AC132" s="45"/>
      <c r="AD132" s="45"/>
      <c r="AE132" s="45"/>
      <c r="AF132" s="45"/>
      <c r="AG132" s="45"/>
      <c r="AH132" s="45"/>
    </row>
    <row r="133" spans="2:38" ht="25.05" customHeight="1">
      <c r="B133" s="44"/>
      <c r="C133" s="44"/>
      <c r="D133" s="44"/>
      <c r="E133" s="45"/>
      <c r="F133" s="45"/>
      <c r="G133" s="45"/>
      <c r="H133" s="45"/>
      <c r="I133" s="49" t="s">
        <v>50</v>
      </c>
      <c r="J133" s="9">
        <v>0</v>
      </c>
      <c r="K133" s="11">
        <v>3</v>
      </c>
      <c r="L133" s="11" t="s">
        <v>48</v>
      </c>
      <c r="M133" s="47"/>
      <c r="N133" s="14">
        <v>3</v>
      </c>
      <c r="O133" s="14"/>
      <c r="P133" s="14"/>
      <c r="Q133" s="50" t="s">
        <v>51</v>
      </c>
      <c r="R133" s="51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</row>
    <row r="134" spans="2:38" ht="25.05" customHeight="1">
      <c r="B134" s="44"/>
      <c r="C134" s="44"/>
      <c r="D134" s="44"/>
      <c r="E134" s="45"/>
      <c r="F134" s="45"/>
      <c r="G134" s="45"/>
      <c r="H134" s="45"/>
      <c r="I134" s="49" t="s">
        <v>52</v>
      </c>
      <c r="J134" s="9">
        <v>0</v>
      </c>
      <c r="K134" s="11">
        <v>17</v>
      </c>
      <c r="L134" s="11" t="s">
        <v>48</v>
      </c>
      <c r="M134" s="47"/>
      <c r="N134" s="14">
        <v>1</v>
      </c>
      <c r="O134" s="14"/>
      <c r="P134" s="14"/>
      <c r="Q134" s="50" t="s">
        <v>53</v>
      </c>
      <c r="R134" s="51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</row>
    <row r="135" spans="2:38" ht="25.05" customHeight="1">
      <c r="B135" s="44"/>
      <c r="C135" s="44"/>
      <c r="D135" s="44"/>
      <c r="E135" s="45"/>
      <c r="F135" s="45"/>
      <c r="G135" s="45"/>
      <c r="H135" s="45"/>
      <c r="I135" s="52" t="s">
        <v>54</v>
      </c>
      <c r="J135" s="53">
        <v>0</v>
      </c>
      <c r="K135" s="11">
        <v>5</v>
      </c>
      <c r="L135" s="54" t="s">
        <v>48</v>
      </c>
      <c r="M135" s="47"/>
      <c r="N135" s="14">
        <v>4</v>
      </c>
      <c r="O135" s="14"/>
      <c r="P135" s="14"/>
      <c r="Q135" s="50" t="s">
        <v>55</v>
      </c>
      <c r="R135" s="51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</row>
    <row r="136" spans="2:38" ht="25.05" customHeight="1">
      <c r="B136" s="44"/>
      <c r="C136" s="44"/>
      <c r="D136" s="44"/>
      <c r="E136" s="45"/>
      <c r="F136" s="45"/>
      <c r="G136" s="45"/>
      <c r="H136" s="45"/>
      <c r="I136" s="49" t="s">
        <v>56</v>
      </c>
      <c r="J136" s="9">
        <v>0</v>
      </c>
      <c r="K136" s="11">
        <f>SUM(K132:K135)</f>
        <v>35</v>
      </c>
      <c r="L136" s="11" t="s">
        <v>48</v>
      </c>
      <c r="M136" s="47"/>
      <c r="N136"/>
      <c r="O136"/>
      <c r="P136"/>
      <c r="Q136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</row>
    <row r="137" spans="2:38" ht="25.05" customHeight="1">
      <c r="B137" s="44"/>
      <c r="C137" s="44"/>
      <c r="D137" s="44"/>
      <c r="E137" s="45"/>
      <c r="F137" s="45"/>
      <c r="G137" s="45"/>
      <c r="H137" s="45"/>
      <c r="M137" s="47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</row>
    <row r="138" spans="2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9824-6C4A-451F-AAAD-021F0E85E183}">
  <sheetPr>
    <pageSetUpPr fitToPage="1"/>
  </sheetPr>
  <dimension ref="A1:AL71"/>
  <sheetViews>
    <sheetView zoomScale="55" zoomScaleNormal="55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46110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0.8125</v>
      </c>
      <c r="I4" s="10">
        <f t="shared" ref="I4:I20" si="0">H4-G4</f>
        <v>2.083333333333337E-2</v>
      </c>
      <c r="J4" s="11">
        <v>7</v>
      </c>
      <c r="K4" s="11">
        <v>0</v>
      </c>
      <c r="L4" s="16">
        <f t="shared" ref="L4:L20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201" t="s">
        <v>386</v>
      </c>
      <c r="E5" s="15" t="s">
        <v>231</v>
      </c>
      <c r="F5" s="55" t="s">
        <v>232</v>
      </c>
      <c r="G5" s="9">
        <v>0.81319444444444444</v>
      </c>
      <c r="H5" s="9">
        <v>0.82986111111111116</v>
      </c>
      <c r="I5" s="10">
        <f t="shared" si="0"/>
        <v>1.6666666666666718E-2</v>
      </c>
      <c r="J5" s="11">
        <v>2</v>
      </c>
      <c r="K5" s="11">
        <f>5.2*8</f>
        <v>41.6</v>
      </c>
      <c r="L5" s="16">
        <f t="shared" si="1"/>
        <v>51.999999999999837</v>
      </c>
      <c r="M5" s="11">
        <v>24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233</v>
      </c>
      <c r="F6" s="55" t="s">
        <v>234</v>
      </c>
      <c r="G6" s="9">
        <v>0.83402777777777781</v>
      </c>
      <c r="H6" s="9">
        <v>0.86458333333333337</v>
      </c>
      <c r="I6" s="10">
        <f t="shared" si="0"/>
        <v>3.0555555555555558E-2</v>
      </c>
      <c r="J6" s="11">
        <v>2</v>
      </c>
      <c r="K6" s="11">
        <f>26*8</f>
        <v>208</v>
      </c>
      <c r="L6" s="16">
        <f t="shared" si="1"/>
        <v>141.81818181818181</v>
      </c>
      <c r="M6" s="11">
        <v>44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235</v>
      </c>
      <c r="F7" s="57">
        <v>0.25</v>
      </c>
      <c r="G7" s="9">
        <v>0.88263888888888886</v>
      </c>
      <c r="H7" s="9">
        <v>0.95833333333333337</v>
      </c>
      <c r="I7" s="10">
        <f t="shared" si="0"/>
        <v>7.5694444444444509E-2</v>
      </c>
      <c r="J7" s="11">
        <v>2</v>
      </c>
      <c r="K7" s="11">
        <f>138*8</f>
        <v>1104</v>
      </c>
      <c r="L7" s="16">
        <f t="shared" si="1"/>
        <v>303.85321100917406</v>
      </c>
      <c r="M7" s="11">
        <v>109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387</v>
      </c>
      <c r="F8" s="8" t="s">
        <v>42</v>
      </c>
      <c r="G8" s="9">
        <v>0.81319444444444444</v>
      </c>
      <c r="H8" s="9">
        <v>0.90972222222222221</v>
      </c>
      <c r="I8" s="10">
        <f t="shared" si="0"/>
        <v>9.6527777777777768E-2</v>
      </c>
      <c r="J8" s="11">
        <v>6</v>
      </c>
      <c r="K8" s="11">
        <f>277*4.03</f>
        <v>1116.3100000000002</v>
      </c>
      <c r="L8" s="16">
        <f t="shared" si="1"/>
        <v>80.310071942446072</v>
      </c>
      <c r="M8" s="11"/>
      <c r="N8" s="11"/>
      <c r="O8" s="11"/>
      <c r="P8" s="11"/>
      <c r="Q8" s="11">
        <v>139</v>
      </c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E9" s="15" t="s">
        <v>236</v>
      </c>
      <c r="F9" s="202" t="s">
        <v>237</v>
      </c>
      <c r="G9" s="9">
        <v>0.8618055555555556</v>
      </c>
      <c r="H9" s="9">
        <v>0.90625</v>
      </c>
      <c r="I9" s="10">
        <f t="shared" si="0"/>
        <v>4.4444444444444398E-2</v>
      </c>
      <c r="J9" s="11">
        <v>2</v>
      </c>
      <c r="K9" s="11">
        <f>2.7*8</f>
        <v>21.6</v>
      </c>
      <c r="L9" s="16">
        <f t="shared" si="1"/>
        <v>10.125000000000012</v>
      </c>
      <c r="M9" s="11"/>
      <c r="N9" s="11"/>
      <c r="O9" s="11">
        <v>64</v>
      </c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183" t="s">
        <v>210</v>
      </c>
      <c r="E10" s="17" t="s">
        <v>388</v>
      </c>
      <c r="F10" s="8" t="s">
        <v>42</v>
      </c>
      <c r="G10" s="9">
        <v>0.81319444444444444</v>
      </c>
      <c r="H10" s="9">
        <v>0.82291666666666663</v>
      </c>
      <c r="I10" s="10">
        <f t="shared" si="0"/>
        <v>9.7222222222221877E-3</v>
      </c>
      <c r="J10" s="11">
        <v>1</v>
      </c>
      <c r="K10" s="11">
        <v>0.54</v>
      </c>
      <c r="L10" s="16">
        <f t="shared" si="1"/>
        <v>2.3142857142857225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389</v>
      </c>
      <c r="F11" s="55" t="s">
        <v>213</v>
      </c>
      <c r="G11" s="9">
        <v>0.81319444444444444</v>
      </c>
      <c r="H11" s="9">
        <v>0.94444444444444442</v>
      </c>
      <c r="I11" s="10">
        <f t="shared" si="0"/>
        <v>0.13124999999999998</v>
      </c>
      <c r="J11" s="11">
        <v>4</v>
      </c>
      <c r="K11" s="11">
        <f>46*2</f>
        <v>92</v>
      </c>
      <c r="L11" s="16">
        <f t="shared" si="1"/>
        <v>7.3015873015873032</v>
      </c>
      <c r="M11" s="11"/>
      <c r="N11" s="11"/>
      <c r="O11" s="11"/>
      <c r="P11" s="11"/>
      <c r="Q11" s="11"/>
      <c r="R11" s="12"/>
      <c r="S11" s="12">
        <v>189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390</v>
      </c>
      <c r="F12" s="8" t="s">
        <v>42</v>
      </c>
      <c r="G12" s="9">
        <v>46111.03125</v>
      </c>
      <c r="H12" s="9">
        <v>46111.125</v>
      </c>
      <c r="I12" s="10">
        <f t="shared" si="0"/>
        <v>9.375E-2</v>
      </c>
      <c r="J12" s="11">
        <v>6</v>
      </c>
      <c r="K12" s="11">
        <f>46*4</f>
        <v>184</v>
      </c>
      <c r="L12" s="16">
        <f t="shared" si="1"/>
        <v>13.629629629629628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391</v>
      </c>
      <c r="F13" s="8" t="s">
        <v>216</v>
      </c>
      <c r="G13" s="9">
        <v>0.94513888888888886</v>
      </c>
      <c r="H13" s="9">
        <v>0.97916666666666663</v>
      </c>
      <c r="I13" s="10">
        <f t="shared" si="0"/>
        <v>3.4027777777777768E-2</v>
      </c>
      <c r="J13" s="11">
        <v>5</v>
      </c>
      <c r="K13" s="11">
        <f>25.3*8</f>
        <v>202.4</v>
      </c>
      <c r="L13" s="16">
        <f t="shared" si="1"/>
        <v>49.567346938775529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30" t="s">
        <v>301</v>
      </c>
      <c r="E14" s="15" t="s">
        <v>392</v>
      </c>
      <c r="F14" s="55" t="s">
        <v>63</v>
      </c>
      <c r="G14" s="9">
        <v>46111.03125</v>
      </c>
      <c r="H14" s="9">
        <v>46111.0625</v>
      </c>
      <c r="I14" s="10">
        <f t="shared" si="0"/>
        <v>3.125E-2</v>
      </c>
      <c r="J14" s="11">
        <v>1</v>
      </c>
      <c r="K14" s="11">
        <f>3*4</f>
        <v>12</v>
      </c>
      <c r="L14" s="16">
        <f t="shared" si="1"/>
        <v>16</v>
      </c>
      <c r="M14" s="11"/>
      <c r="N14" s="11"/>
      <c r="O14" s="11"/>
      <c r="P14" s="11"/>
      <c r="Q14" s="11"/>
      <c r="R14" s="12">
        <v>45</v>
      </c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183" t="s">
        <v>393</v>
      </c>
      <c r="E15" s="15" t="s">
        <v>394</v>
      </c>
      <c r="F15" s="55" t="s">
        <v>232</v>
      </c>
      <c r="G15" s="9">
        <v>0.8305555555555556</v>
      </c>
      <c r="H15" s="9">
        <v>0.83333333333333337</v>
      </c>
      <c r="I15" s="10">
        <f t="shared" si="0"/>
        <v>2.7777777777777679E-3</v>
      </c>
      <c r="J15" s="11">
        <v>2</v>
      </c>
      <c r="K15" s="11">
        <f>0.2*2</f>
        <v>0.4</v>
      </c>
      <c r="L15" s="16">
        <f t="shared" si="1"/>
        <v>3.0000000000000107</v>
      </c>
      <c r="M15" s="11">
        <v>4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395</v>
      </c>
      <c r="F16" s="55" t="s">
        <v>234</v>
      </c>
      <c r="G16" s="9">
        <v>0.86527777777777781</v>
      </c>
      <c r="H16" s="9">
        <v>0.86805555555555558</v>
      </c>
      <c r="I16" s="10">
        <f t="shared" si="0"/>
        <v>2.7777777777777679E-3</v>
      </c>
      <c r="J16" s="11">
        <v>2</v>
      </c>
      <c r="K16" s="11">
        <f>1.04*2</f>
        <v>2.08</v>
      </c>
      <c r="L16" s="16">
        <f t="shared" si="1"/>
        <v>15.600000000000056</v>
      </c>
      <c r="M16" s="11">
        <v>4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 t="s">
        <v>396</v>
      </c>
      <c r="F17" s="206">
        <v>0.5</v>
      </c>
      <c r="G17" s="9">
        <v>0.875</v>
      </c>
      <c r="H17" s="9">
        <v>0.88194444444444442</v>
      </c>
      <c r="I17" s="10">
        <f t="shared" si="0"/>
        <v>6.9444444444444198E-3</v>
      </c>
      <c r="J17" s="11">
        <v>2</v>
      </c>
      <c r="K17" s="11">
        <f>5.52*2</f>
        <v>11.04</v>
      </c>
      <c r="L17" s="16">
        <f t="shared" si="1"/>
        <v>33.120000000000111</v>
      </c>
      <c r="M17" s="11">
        <v>10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205" t="s">
        <v>397</v>
      </c>
      <c r="F18" s="204" t="s">
        <v>237</v>
      </c>
      <c r="G18" s="135">
        <v>0.85486111111111107</v>
      </c>
      <c r="H18" s="9">
        <v>0.86111111111111116</v>
      </c>
      <c r="I18" s="10">
        <f t="shared" si="0"/>
        <v>6.2500000000000888E-3</v>
      </c>
      <c r="J18" s="11">
        <v>2</v>
      </c>
      <c r="K18" s="11">
        <f>0.02*2</f>
        <v>0.04</v>
      </c>
      <c r="L18" s="16">
        <f t="shared" si="1"/>
        <v>0.13333333333333144</v>
      </c>
      <c r="M18" s="11"/>
      <c r="N18" s="11"/>
      <c r="O18" s="11">
        <v>9</v>
      </c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203" t="s">
        <v>398</v>
      </c>
      <c r="F19" s="204" t="s">
        <v>239</v>
      </c>
      <c r="G19" s="135">
        <v>0.96875</v>
      </c>
      <c r="H19" s="9">
        <v>0.97916666666666663</v>
      </c>
      <c r="I19" s="10">
        <f t="shared" si="0"/>
        <v>1.041666666666663E-2</v>
      </c>
      <c r="J19" s="11">
        <v>1</v>
      </c>
      <c r="K19" s="11">
        <f>0.56*2</f>
        <v>1.1200000000000001</v>
      </c>
      <c r="L19" s="16">
        <f t="shared" si="1"/>
        <v>4.4800000000000164</v>
      </c>
      <c r="M19" s="11">
        <v>15</v>
      </c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/>
      <c r="F20" s="136"/>
      <c r="G20" s="9"/>
      <c r="H20" s="9"/>
      <c r="I20" s="10">
        <f t="shared" si="0"/>
        <v>0</v>
      </c>
      <c r="J20" s="11"/>
      <c r="K20" s="11"/>
      <c r="L20" s="16" t="str">
        <f t="shared" si="1"/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s="28" customFormat="1" ht="25.05" customHeight="1">
      <c r="A21" s="2"/>
      <c r="B21" s="21"/>
      <c r="C21" s="22"/>
      <c r="D21" s="23"/>
      <c r="E21" s="24"/>
      <c r="F21" s="24"/>
      <c r="G21" s="25"/>
      <c r="H21" s="25"/>
      <c r="I21" s="26"/>
      <c r="J21" s="27"/>
      <c r="K21" s="27">
        <f t="shared" ref="K21:AL21" si="2">SUM(K4:K20)</f>
        <v>2997.1299999999997</v>
      </c>
      <c r="L21" s="39">
        <f t="shared" si="2"/>
        <v>733.2526476874134</v>
      </c>
      <c r="M21" s="27">
        <f t="shared" si="2"/>
        <v>210</v>
      </c>
      <c r="N21" s="27">
        <f t="shared" si="2"/>
        <v>0</v>
      </c>
      <c r="O21" s="27">
        <f t="shared" si="2"/>
        <v>73</v>
      </c>
      <c r="P21" s="27">
        <f t="shared" si="2"/>
        <v>0</v>
      </c>
      <c r="Q21" s="27">
        <f t="shared" si="2"/>
        <v>139</v>
      </c>
      <c r="R21" s="27">
        <f t="shared" si="2"/>
        <v>45</v>
      </c>
      <c r="S21" s="27">
        <f t="shared" si="2"/>
        <v>189</v>
      </c>
      <c r="T21" s="27">
        <f t="shared" si="2"/>
        <v>0</v>
      </c>
      <c r="U21" s="27">
        <f t="shared" si="2"/>
        <v>0</v>
      </c>
      <c r="V21" s="27">
        <f t="shared" si="2"/>
        <v>0</v>
      </c>
      <c r="W21" s="27">
        <f t="shared" si="2"/>
        <v>0</v>
      </c>
      <c r="X21" s="27">
        <f t="shared" si="2"/>
        <v>0</v>
      </c>
      <c r="Y21" s="27">
        <f t="shared" si="2"/>
        <v>0</v>
      </c>
      <c r="Z21" s="27">
        <f t="shared" si="2"/>
        <v>0</v>
      </c>
      <c r="AA21" s="27">
        <f t="shared" si="2"/>
        <v>0</v>
      </c>
      <c r="AB21" s="27">
        <f t="shared" si="2"/>
        <v>0</v>
      </c>
      <c r="AC21" s="27">
        <f t="shared" si="2"/>
        <v>0</v>
      </c>
      <c r="AD21" s="27">
        <f t="shared" si="2"/>
        <v>0</v>
      </c>
      <c r="AE21" s="27">
        <f t="shared" si="2"/>
        <v>0</v>
      </c>
      <c r="AF21" s="27">
        <f t="shared" si="2"/>
        <v>0</v>
      </c>
      <c r="AG21" s="27">
        <f t="shared" si="2"/>
        <v>0</v>
      </c>
      <c r="AH21" s="27">
        <f t="shared" si="2"/>
        <v>0</v>
      </c>
      <c r="AI21" s="27">
        <f t="shared" si="2"/>
        <v>0</v>
      </c>
      <c r="AJ21" s="27">
        <f t="shared" si="2"/>
        <v>0</v>
      </c>
      <c r="AK21" s="27">
        <f t="shared" si="2"/>
        <v>0</v>
      </c>
      <c r="AL21" s="27">
        <f t="shared" si="2"/>
        <v>0</v>
      </c>
    </row>
    <row r="22" spans="1:38" ht="25.05" customHeight="1">
      <c r="B22" s="13"/>
      <c r="C22" s="14" t="s">
        <v>43</v>
      </c>
      <c r="D22" s="6"/>
      <c r="E22" s="7" t="s">
        <v>41</v>
      </c>
      <c r="F22" s="8" t="s">
        <v>42</v>
      </c>
      <c r="G22" s="9"/>
      <c r="H22" s="9"/>
      <c r="I22" s="10">
        <f>H22-G22</f>
        <v>0</v>
      </c>
      <c r="J22" s="11"/>
      <c r="K22" s="11"/>
      <c r="L22" s="16" t="str">
        <f>IFERROR(((K22/(J22*I22)/24)),"0")</f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18"/>
      <c r="E23" s="6"/>
      <c r="F23" s="14"/>
      <c r="G23" s="9"/>
      <c r="H23" s="9"/>
      <c r="I23" s="10"/>
      <c r="J23" s="11"/>
      <c r="K23" s="11"/>
      <c r="L23" s="16"/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s="28" customFormat="1" ht="25.05" customHeight="1">
      <c r="A24" s="2"/>
      <c r="B24" s="21"/>
      <c r="C24" s="22"/>
      <c r="D24" s="23"/>
      <c r="E24" s="24"/>
      <c r="F24" s="22"/>
      <c r="G24" s="25"/>
      <c r="H24" s="25"/>
      <c r="I24" s="26"/>
      <c r="J24" s="27"/>
      <c r="K24" s="27">
        <f t="shared" ref="K24:AI24" si="3">SUM(K22:K23)</f>
        <v>0</v>
      </c>
      <c r="L24" s="27">
        <f t="shared" si="3"/>
        <v>0</v>
      </c>
      <c r="M24" s="27">
        <f t="shared" si="3"/>
        <v>0</v>
      </c>
      <c r="N24" s="27">
        <f t="shared" si="3"/>
        <v>0</v>
      </c>
      <c r="O24" s="27">
        <f t="shared" si="3"/>
        <v>0</v>
      </c>
      <c r="P24" s="27">
        <f t="shared" si="3"/>
        <v>0</v>
      </c>
      <c r="Q24" s="27">
        <f t="shared" si="3"/>
        <v>0</v>
      </c>
      <c r="R24" s="27">
        <f t="shared" si="3"/>
        <v>0</v>
      </c>
      <c r="S24" s="27">
        <f t="shared" si="3"/>
        <v>0</v>
      </c>
      <c r="T24" s="27">
        <f t="shared" si="3"/>
        <v>0</v>
      </c>
      <c r="U24" s="27">
        <f t="shared" si="3"/>
        <v>0</v>
      </c>
      <c r="V24" s="27">
        <f t="shared" si="3"/>
        <v>0</v>
      </c>
      <c r="W24" s="27">
        <f t="shared" si="3"/>
        <v>0</v>
      </c>
      <c r="X24" s="27">
        <f t="shared" si="3"/>
        <v>0</v>
      </c>
      <c r="Y24" s="27">
        <f t="shared" si="3"/>
        <v>0</v>
      </c>
      <c r="Z24" s="27">
        <f t="shared" si="3"/>
        <v>0</v>
      </c>
      <c r="AA24" s="27">
        <f t="shared" si="3"/>
        <v>0</v>
      </c>
      <c r="AB24" s="27">
        <f t="shared" si="3"/>
        <v>0</v>
      </c>
      <c r="AC24" s="27">
        <f t="shared" si="3"/>
        <v>0</v>
      </c>
      <c r="AD24" s="27">
        <f t="shared" si="3"/>
        <v>0</v>
      </c>
      <c r="AE24" s="27">
        <f t="shared" si="3"/>
        <v>0</v>
      </c>
      <c r="AF24" s="27">
        <f t="shared" si="3"/>
        <v>0</v>
      </c>
      <c r="AG24" s="27">
        <f t="shared" si="3"/>
        <v>0</v>
      </c>
      <c r="AH24" s="27">
        <f t="shared" si="3"/>
        <v>0</v>
      </c>
      <c r="AI24" s="27">
        <f t="shared" si="3"/>
        <v>0</v>
      </c>
      <c r="AJ24" s="27">
        <f>SUM(AJ22:AJ23)</f>
        <v>0</v>
      </c>
      <c r="AK24" s="27">
        <f>SUM(AK22:AK23)</f>
        <v>0</v>
      </c>
      <c r="AL24" s="27">
        <f>SUM(AL22:AL23)</f>
        <v>0</v>
      </c>
    </row>
    <row r="25" spans="1:38" ht="25.05" customHeight="1">
      <c r="B25" s="5">
        <v>46111</v>
      </c>
      <c r="C25" s="29" t="s">
        <v>44</v>
      </c>
      <c r="D25" s="30"/>
      <c r="E25" s="7" t="s">
        <v>41</v>
      </c>
      <c r="F25" s="8" t="s">
        <v>42</v>
      </c>
      <c r="G25" s="9">
        <v>0.79166666666666663</v>
      </c>
      <c r="H25" s="9">
        <v>0.83333333333333337</v>
      </c>
      <c r="I25" s="10">
        <f t="shared" ref="I25:I54" si="4">H25-G25</f>
        <v>4.1666666666666741E-2</v>
      </c>
      <c r="J25" s="11">
        <v>4</v>
      </c>
      <c r="K25" s="62" t="s">
        <v>42</v>
      </c>
      <c r="L25" s="64" t="s">
        <v>42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4"/>
    </row>
    <row r="26" spans="1:38" ht="25.05" customHeight="1">
      <c r="B26" s="13"/>
      <c r="C26" s="29"/>
      <c r="D26" s="183" t="s">
        <v>210</v>
      </c>
      <c r="E26" s="17" t="s">
        <v>399</v>
      </c>
      <c r="F26" s="8" t="s">
        <v>42</v>
      </c>
      <c r="G26" s="9">
        <v>0.90486111111111112</v>
      </c>
      <c r="H26" s="9">
        <v>0.91666666666666663</v>
      </c>
      <c r="I26" s="10">
        <f t="shared" si="4"/>
        <v>1.1805555555555514E-2</v>
      </c>
      <c r="J26" s="11">
        <v>4</v>
      </c>
      <c r="K26" s="11">
        <v>6.02</v>
      </c>
      <c r="L26" s="16">
        <f t="shared" ref="L26:L55" si="5">IFERROR(((K26/(J26*I26)/24)),"0")</f>
        <v>5.3117647058823714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>
        <v>17</v>
      </c>
      <c r="AD26" s="11"/>
      <c r="AE26" s="11"/>
      <c r="AF26" s="11"/>
      <c r="AG26" s="11"/>
      <c r="AH26" s="11"/>
      <c r="AI26" s="11"/>
      <c r="AJ26" s="11"/>
      <c r="AK26" s="11"/>
      <c r="AL26" s="14"/>
    </row>
    <row r="27" spans="1:38" ht="25.05" customHeight="1">
      <c r="B27" s="13"/>
      <c r="C27" s="29"/>
      <c r="D27" s="30"/>
      <c r="E27" s="19" t="s">
        <v>242</v>
      </c>
      <c r="F27" s="8" t="s">
        <v>42</v>
      </c>
      <c r="G27" s="9">
        <v>0.9291666666666667</v>
      </c>
      <c r="H27" s="9">
        <v>0.9458333333333333</v>
      </c>
      <c r="I27" s="10">
        <f t="shared" si="4"/>
        <v>1.6666666666666607E-2</v>
      </c>
      <c r="J27" s="11">
        <v>4</v>
      </c>
      <c r="K27" s="11">
        <v>116</v>
      </c>
      <c r="L27" s="16">
        <f t="shared" si="5"/>
        <v>72.500000000000256</v>
      </c>
      <c r="M27" s="11"/>
      <c r="N27" s="11"/>
      <c r="O27" s="11"/>
      <c r="P27" s="11"/>
      <c r="Q27" s="11"/>
      <c r="R27" s="12"/>
      <c r="S27" s="12"/>
      <c r="T27" s="11"/>
      <c r="U27" s="11"/>
      <c r="V27" s="12">
        <v>2</v>
      </c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4"/>
    </row>
    <row r="28" spans="1:38" ht="25.05" customHeight="1">
      <c r="B28" s="13"/>
      <c r="C28" s="29"/>
      <c r="D28" s="30"/>
      <c r="E28" s="19" t="s">
        <v>243</v>
      </c>
      <c r="F28" s="8" t="s">
        <v>42</v>
      </c>
      <c r="G28" s="9">
        <v>0.95486111111111116</v>
      </c>
      <c r="H28" s="9">
        <v>0.97152777777777777</v>
      </c>
      <c r="I28" s="10">
        <f t="shared" si="4"/>
        <v>1.6666666666666607E-2</v>
      </c>
      <c r="J28" s="11">
        <v>4</v>
      </c>
      <c r="K28" s="11">
        <v>116</v>
      </c>
      <c r="L28" s="16">
        <f t="shared" si="5"/>
        <v>72.500000000000256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30"/>
      <c r="E29" s="19" t="s">
        <v>244</v>
      </c>
      <c r="F29" s="8" t="s">
        <v>42</v>
      </c>
      <c r="G29" s="9">
        <v>6.8750000000000006E-2</v>
      </c>
      <c r="H29" s="9">
        <v>8.5416666666666669E-2</v>
      </c>
      <c r="I29" s="10">
        <f t="shared" si="4"/>
        <v>1.6666666666666663E-2</v>
      </c>
      <c r="J29" s="11">
        <v>4</v>
      </c>
      <c r="K29" s="11">
        <v>115</v>
      </c>
      <c r="L29" s="16">
        <f t="shared" si="5"/>
        <v>71.875000000000014</v>
      </c>
      <c r="M29" s="11"/>
      <c r="N29" s="11"/>
      <c r="O29" s="11"/>
      <c r="P29" s="11"/>
      <c r="Q29" s="11"/>
      <c r="R29" s="12"/>
      <c r="S29" s="12"/>
      <c r="T29" s="11"/>
      <c r="U29" s="11"/>
      <c r="V29" s="12">
        <v>2</v>
      </c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245</v>
      </c>
      <c r="F30" s="8" t="s">
        <v>42</v>
      </c>
      <c r="G30" s="9">
        <v>9.4444444444444442E-2</v>
      </c>
      <c r="H30" s="9">
        <v>0.1111111111111111</v>
      </c>
      <c r="I30" s="10">
        <f t="shared" si="4"/>
        <v>1.6666666666666663E-2</v>
      </c>
      <c r="J30" s="11">
        <v>4</v>
      </c>
      <c r="K30" s="11">
        <v>115</v>
      </c>
      <c r="L30" s="16">
        <f t="shared" si="5"/>
        <v>71.875000000000014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400</v>
      </c>
      <c r="F31" s="8" t="s">
        <v>42</v>
      </c>
      <c r="G31" s="9">
        <v>0.86527777777777781</v>
      </c>
      <c r="H31" s="9">
        <v>0.86875000000000002</v>
      </c>
      <c r="I31" s="10">
        <f t="shared" si="4"/>
        <v>3.4722222222222099E-3</v>
      </c>
      <c r="J31" s="11">
        <v>1</v>
      </c>
      <c r="K31" s="11">
        <f>1.76*8</f>
        <v>14.08</v>
      </c>
      <c r="L31" s="16">
        <f t="shared" si="5"/>
        <v>168.9600000000006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5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256</v>
      </c>
      <c r="F32" s="8" t="s">
        <v>42</v>
      </c>
      <c r="G32" s="9">
        <v>0.94166666666666665</v>
      </c>
      <c r="H32" s="9">
        <v>0.97291666666666665</v>
      </c>
      <c r="I32" s="10">
        <f t="shared" si="4"/>
        <v>3.125E-2</v>
      </c>
      <c r="J32" s="11">
        <v>5</v>
      </c>
      <c r="K32" s="11">
        <v>84.8</v>
      </c>
      <c r="L32" s="16">
        <f t="shared" si="5"/>
        <v>22.613333333333333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2</v>
      </c>
      <c r="X32" s="11"/>
      <c r="Y32" s="11"/>
      <c r="Z32" s="11"/>
      <c r="AA32" s="11">
        <v>45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257</v>
      </c>
      <c r="F33" s="8" t="s">
        <v>42</v>
      </c>
      <c r="G33" s="9">
        <v>0.94861111111111107</v>
      </c>
      <c r="H33" s="9">
        <v>0.97986111111111107</v>
      </c>
      <c r="I33" s="10">
        <f t="shared" si="4"/>
        <v>3.125E-2</v>
      </c>
      <c r="J33" s="11">
        <v>5</v>
      </c>
      <c r="K33" s="11">
        <v>84.8</v>
      </c>
      <c r="L33" s="16">
        <f t="shared" si="5"/>
        <v>22.613333333333333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/>
      <c r="Y33" s="11">
        <v>45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258</v>
      </c>
      <c r="F34" s="8" t="s">
        <v>42</v>
      </c>
      <c r="G34" s="9">
        <v>0.95694444444444449</v>
      </c>
      <c r="H34" s="9">
        <v>0.98819444444444449</v>
      </c>
      <c r="I34" s="10">
        <f t="shared" si="4"/>
        <v>3.125E-2</v>
      </c>
      <c r="J34" s="11">
        <v>5</v>
      </c>
      <c r="K34" s="11">
        <v>8.48</v>
      </c>
      <c r="L34" s="16">
        <f t="shared" si="5"/>
        <v>2.2613333333333334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>
        <v>45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259</v>
      </c>
      <c r="F35" s="8" t="s">
        <v>42</v>
      </c>
      <c r="G35" s="9">
        <v>0.95694444444444449</v>
      </c>
      <c r="H35" s="9">
        <v>0.98819444444444449</v>
      </c>
      <c r="I35" s="10">
        <f t="shared" si="4"/>
        <v>3.125E-2</v>
      </c>
      <c r="J35" s="11">
        <v>5</v>
      </c>
      <c r="K35" s="11">
        <v>76.319999999999993</v>
      </c>
      <c r="L35" s="16">
        <f t="shared" si="5"/>
        <v>20.352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>
        <v>45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260</v>
      </c>
      <c r="F36" s="8" t="s">
        <v>42</v>
      </c>
      <c r="G36" s="9">
        <v>8.4722222222222227E-2</v>
      </c>
      <c r="H36" s="9">
        <v>0.11597222222222223</v>
      </c>
      <c r="I36" s="10">
        <f t="shared" si="4"/>
        <v>3.125E-2</v>
      </c>
      <c r="J36" s="11">
        <v>5</v>
      </c>
      <c r="K36" s="11">
        <f>4.24*20</f>
        <v>84.800000000000011</v>
      </c>
      <c r="L36" s="16">
        <f t="shared" si="5"/>
        <v>22.613333333333333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>
        <v>45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261</v>
      </c>
      <c r="F37" s="8" t="s">
        <v>42</v>
      </c>
      <c r="G37" s="9">
        <v>9.0972222222222218E-2</v>
      </c>
      <c r="H37" s="9">
        <v>0.12222222222222222</v>
      </c>
      <c r="I37" s="10">
        <f t="shared" si="4"/>
        <v>3.125E-2</v>
      </c>
      <c r="J37" s="11">
        <v>5</v>
      </c>
      <c r="K37" s="11">
        <f>4.24*4</f>
        <v>16.96</v>
      </c>
      <c r="L37" s="16">
        <f t="shared" si="5"/>
        <v>4.5226666666666668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2</v>
      </c>
      <c r="X37" s="11"/>
      <c r="Y37" s="11"/>
      <c r="Z37" s="11">
        <v>45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262</v>
      </c>
      <c r="F38" s="8" t="s">
        <v>42</v>
      </c>
      <c r="G38" s="9">
        <v>9.0972222222222218E-2</v>
      </c>
      <c r="H38" s="9">
        <v>0.12222222222222222</v>
      </c>
      <c r="I38" s="10">
        <f t="shared" si="4"/>
        <v>3.125E-2</v>
      </c>
      <c r="J38" s="11">
        <v>5</v>
      </c>
      <c r="K38" s="11">
        <f>4.24*16</f>
        <v>67.84</v>
      </c>
      <c r="L38" s="16">
        <f t="shared" si="5"/>
        <v>18.090666666666667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/>
      <c r="Z38" s="11">
        <v>45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263</v>
      </c>
      <c r="F39" s="8" t="s">
        <v>42</v>
      </c>
      <c r="G39" s="9">
        <v>9.7222222222222224E-2</v>
      </c>
      <c r="H39" s="9">
        <v>0.12847222222222221</v>
      </c>
      <c r="I39" s="10">
        <f t="shared" si="4"/>
        <v>3.1249999999999986E-2</v>
      </c>
      <c r="J39" s="11">
        <v>5</v>
      </c>
      <c r="K39" s="11">
        <f>4.24*20</f>
        <v>84.800000000000011</v>
      </c>
      <c r="L39" s="16">
        <f t="shared" si="5"/>
        <v>22.613333333333344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2</v>
      </c>
      <c r="X39" s="11"/>
      <c r="Y39" s="11">
        <v>45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264</v>
      </c>
      <c r="F40" s="8" t="s">
        <v>42</v>
      </c>
      <c r="G40" s="9">
        <v>0.11874999999999999</v>
      </c>
      <c r="H40" s="9">
        <v>0.15</v>
      </c>
      <c r="I40" s="10">
        <f t="shared" si="4"/>
        <v>3.125E-2</v>
      </c>
      <c r="J40" s="11">
        <v>5</v>
      </c>
      <c r="K40" s="11">
        <f>4.24*6</f>
        <v>25.44</v>
      </c>
      <c r="L40" s="16">
        <f t="shared" si="5"/>
        <v>6.7839999999999998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>
        <v>45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265</v>
      </c>
      <c r="F41" s="8" t="s">
        <v>42</v>
      </c>
      <c r="G41" s="9">
        <v>0.11874999999999999</v>
      </c>
      <c r="H41" s="9">
        <v>0.15</v>
      </c>
      <c r="I41" s="10">
        <f t="shared" si="4"/>
        <v>3.125E-2</v>
      </c>
      <c r="J41" s="11">
        <v>5</v>
      </c>
      <c r="K41" s="11">
        <f>4.24*14</f>
        <v>59.36</v>
      </c>
      <c r="L41" s="16">
        <f t="shared" si="5"/>
        <v>15.829333333333333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/>
      <c r="AA41" s="11">
        <v>45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401</v>
      </c>
      <c r="F42" s="8" t="s">
        <v>42</v>
      </c>
      <c r="G42" s="9">
        <v>0.125</v>
      </c>
      <c r="H42" s="9">
        <v>0.15625</v>
      </c>
      <c r="I42" s="10">
        <f t="shared" si="4"/>
        <v>3.125E-2</v>
      </c>
      <c r="J42" s="11">
        <v>5</v>
      </c>
      <c r="K42" s="11">
        <f>4.24*20</f>
        <v>84.800000000000011</v>
      </c>
      <c r="L42" s="16">
        <f t="shared" si="5"/>
        <v>22.613333333333333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/>
      <c r="Z42" s="11">
        <v>45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402</v>
      </c>
      <c r="F43" s="8" t="s">
        <v>42</v>
      </c>
      <c r="G43" s="9">
        <v>0.13125000000000001</v>
      </c>
      <c r="H43" s="9">
        <v>0.16250000000000001</v>
      </c>
      <c r="I43" s="10">
        <f t="shared" si="4"/>
        <v>3.125E-2</v>
      </c>
      <c r="J43" s="11">
        <v>5</v>
      </c>
      <c r="K43" s="11">
        <f>4.24*8</f>
        <v>33.92</v>
      </c>
      <c r="L43" s="16">
        <f t="shared" si="5"/>
        <v>9.0453333333333337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>
        <v>45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403</v>
      </c>
      <c r="F44" s="8" t="s">
        <v>42</v>
      </c>
      <c r="G44" s="9">
        <v>0.13125000000000001</v>
      </c>
      <c r="H44" s="9">
        <v>0.16250000000000001</v>
      </c>
      <c r="I44" s="10">
        <f t="shared" si="4"/>
        <v>3.125E-2</v>
      </c>
      <c r="J44" s="11">
        <v>5</v>
      </c>
      <c r="K44" s="11">
        <f>4.24*12</f>
        <v>50.88</v>
      </c>
      <c r="L44" s="16">
        <f t="shared" si="5"/>
        <v>13.568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>
        <v>45</v>
      </c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404</v>
      </c>
      <c r="F45" s="8" t="s">
        <v>42</v>
      </c>
      <c r="G45" s="9">
        <v>0.15277777777777779</v>
      </c>
      <c r="H45" s="9">
        <v>0.18402777777777779</v>
      </c>
      <c r="I45" s="10">
        <f t="shared" si="4"/>
        <v>3.125E-2</v>
      </c>
      <c r="J45" s="11">
        <v>5</v>
      </c>
      <c r="K45" s="11">
        <f>4.24*20</f>
        <v>84.800000000000011</v>
      </c>
      <c r="L45" s="16">
        <f t="shared" si="5"/>
        <v>22.613333333333333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/>
      <c r="AA45" s="11">
        <v>45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405</v>
      </c>
      <c r="F46" s="8" t="s">
        <v>42</v>
      </c>
      <c r="G46" s="9">
        <v>0.15833333333333333</v>
      </c>
      <c r="H46" s="9">
        <v>0.18958333333333333</v>
      </c>
      <c r="I46" s="10">
        <f t="shared" si="4"/>
        <v>3.125E-2</v>
      </c>
      <c r="J46" s="11">
        <v>5</v>
      </c>
      <c r="K46" s="11">
        <f>4.24*10</f>
        <v>42.400000000000006</v>
      </c>
      <c r="L46" s="16">
        <f t="shared" si="5"/>
        <v>11.306666666666667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>
        <v>45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/>
      <c r="F47" s="8" t="s">
        <v>42</v>
      </c>
      <c r="G47" s="9"/>
      <c r="H47" s="9"/>
      <c r="I47" s="10">
        <f t="shared" si="4"/>
        <v>0</v>
      </c>
      <c r="J47" s="11"/>
      <c r="K47" s="11"/>
      <c r="L47" s="16" t="str">
        <f t="shared" si="5"/>
        <v>0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201" t="s">
        <v>386</v>
      </c>
      <c r="E48" s="19" t="s">
        <v>406</v>
      </c>
      <c r="F48" s="8" t="s">
        <v>42</v>
      </c>
      <c r="G48" s="9">
        <v>0.85902777777777772</v>
      </c>
      <c r="H48" s="9">
        <v>0.86458333333333337</v>
      </c>
      <c r="I48" s="10">
        <f t="shared" si="4"/>
        <v>5.5555555555556468E-3</v>
      </c>
      <c r="J48" s="11">
        <v>3</v>
      </c>
      <c r="K48" s="11">
        <v>41.9</v>
      </c>
      <c r="L48" s="16">
        <f t="shared" si="5"/>
        <v>104.74999999999828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8</v>
      </c>
      <c r="W48" s="12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1:38" ht="25.05" customHeight="1">
      <c r="B49" s="13"/>
      <c r="C49" s="29"/>
      <c r="D49" s="30"/>
      <c r="E49" s="19" t="s">
        <v>407</v>
      </c>
      <c r="F49" s="8" t="s">
        <v>42</v>
      </c>
      <c r="G49" s="9">
        <v>0.91736111111111107</v>
      </c>
      <c r="H49" s="9">
        <v>0.94861111111111107</v>
      </c>
      <c r="I49" s="10">
        <f t="shared" si="4"/>
        <v>3.125E-2</v>
      </c>
      <c r="J49" s="11">
        <v>4</v>
      </c>
      <c r="K49" s="11">
        <v>183.5</v>
      </c>
      <c r="L49" s="16">
        <f t="shared" si="5"/>
        <v>61.166666666666664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/>
      <c r="AC49" s="11"/>
      <c r="AD49" s="11">
        <v>45</v>
      </c>
      <c r="AE49" s="11"/>
      <c r="AF49" s="11"/>
      <c r="AG49" s="11"/>
      <c r="AH49" s="11"/>
      <c r="AI49" s="11"/>
      <c r="AJ49" s="11"/>
      <c r="AK49" s="11"/>
      <c r="AL49" s="14"/>
    </row>
    <row r="50" spans="1:38" ht="25.05" customHeight="1">
      <c r="B50" s="13"/>
      <c r="C50" s="29"/>
      <c r="D50" s="30"/>
      <c r="E50" s="19" t="s">
        <v>408</v>
      </c>
      <c r="F50" s="8" t="s">
        <v>42</v>
      </c>
      <c r="G50" s="9">
        <v>0.93333333333333335</v>
      </c>
      <c r="H50" s="9">
        <v>0.96388888888888891</v>
      </c>
      <c r="I50" s="10">
        <f t="shared" si="4"/>
        <v>3.0555555555555558E-2</v>
      </c>
      <c r="J50" s="11">
        <v>4</v>
      </c>
      <c r="K50" s="11">
        <v>183.5</v>
      </c>
      <c r="L50" s="16">
        <f t="shared" si="5"/>
        <v>62.55681818181818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>
        <v>44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1:38" ht="25.05" customHeight="1">
      <c r="B51" s="13"/>
      <c r="C51" s="29"/>
      <c r="D51" s="30"/>
      <c r="E51" s="19" t="s">
        <v>409</v>
      </c>
      <c r="F51" s="14"/>
      <c r="G51" s="9">
        <v>0.9604166666666667</v>
      </c>
      <c r="H51" s="9">
        <v>0.98888888888888893</v>
      </c>
      <c r="I51" s="10">
        <f t="shared" si="4"/>
        <v>2.8472222222222232E-2</v>
      </c>
      <c r="J51" s="11">
        <v>4</v>
      </c>
      <c r="K51" s="11">
        <v>183.32</v>
      </c>
      <c r="L51" s="16">
        <f t="shared" si="5"/>
        <v>67.06829268292681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/>
      <c r="AB51" s="11"/>
      <c r="AC51" s="11"/>
      <c r="AD51" s="11">
        <v>41</v>
      </c>
      <c r="AE51" s="11"/>
      <c r="AF51" s="11"/>
      <c r="AG51" s="11"/>
      <c r="AH51" s="11"/>
      <c r="AI51" s="11"/>
      <c r="AJ51" s="11"/>
      <c r="AK51" s="11"/>
      <c r="AL51" s="14"/>
    </row>
    <row r="52" spans="1:38" ht="25.05" customHeight="1">
      <c r="B52" s="13"/>
      <c r="C52" s="29"/>
      <c r="D52" s="30"/>
      <c r="E52" s="19" t="s">
        <v>410</v>
      </c>
      <c r="F52" s="8" t="s">
        <v>42</v>
      </c>
      <c r="G52" s="9">
        <v>46110.974999999999</v>
      </c>
      <c r="H52" s="9">
        <v>46111.004166666666</v>
      </c>
      <c r="I52" s="10">
        <f t="shared" si="4"/>
        <v>2.9166666667151731E-2</v>
      </c>
      <c r="J52" s="11">
        <v>4</v>
      </c>
      <c r="K52" s="11">
        <v>183.16</v>
      </c>
      <c r="L52" s="16">
        <f t="shared" si="5"/>
        <v>65.414285713197827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/>
      <c r="AB52" s="11">
        <v>42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1:38" ht="25.05" customHeight="1">
      <c r="B53" s="13"/>
      <c r="C53" s="29"/>
      <c r="D53" s="30"/>
      <c r="E53" s="19" t="s">
        <v>411</v>
      </c>
      <c r="F53" s="8" t="s">
        <v>42</v>
      </c>
      <c r="G53" s="9">
        <v>7.4999999999999997E-2</v>
      </c>
      <c r="H53" s="9">
        <v>0.10208333333333333</v>
      </c>
      <c r="I53" s="10">
        <f t="shared" si="4"/>
        <v>2.7083333333333334E-2</v>
      </c>
      <c r="J53" s="11">
        <v>4</v>
      </c>
      <c r="K53" s="11">
        <v>184.21</v>
      </c>
      <c r="L53" s="16">
        <f t="shared" si="5"/>
        <v>70.850000000000009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/>
      <c r="AB53" s="11">
        <v>39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1:38" ht="25.05" customHeight="1">
      <c r="B54" s="13"/>
      <c r="C54" s="29"/>
      <c r="D54" s="30"/>
      <c r="E54" s="19" t="s">
        <v>412</v>
      </c>
      <c r="F54" s="8" t="s">
        <v>42</v>
      </c>
      <c r="G54" s="9">
        <v>7.6388888888888895E-2</v>
      </c>
      <c r="H54" s="9">
        <v>0.10486111111111111</v>
      </c>
      <c r="I54" s="10">
        <f t="shared" si="4"/>
        <v>2.8472222222222218E-2</v>
      </c>
      <c r="J54" s="11">
        <v>4</v>
      </c>
      <c r="K54" s="11">
        <v>184.56</v>
      </c>
      <c r="L54" s="16">
        <f t="shared" si="5"/>
        <v>67.521951219512204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/>
      <c r="AB54" s="11"/>
      <c r="AC54" s="11"/>
      <c r="AD54" s="11">
        <v>41</v>
      </c>
      <c r="AE54" s="11"/>
      <c r="AF54" s="11"/>
      <c r="AG54" s="11"/>
      <c r="AH54" s="11"/>
      <c r="AI54" s="11"/>
      <c r="AJ54" s="11"/>
      <c r="AK54" s="11"/>
      <c r="AL54" s="14"/>
    </row>
    <row r="55" spans="1:38" ht="25.05" customHeight="1">
      <c r="B55" s="13"/>
      <c r="C55" s="29"/>
      <c r="D55" s="30"/>
      <c r="E55" s="19" t="s">
        <v>413</v>
      </c>
      <c r="F55" s="8" t="s">
        <v>42</v>
      </c>
      <c r="G55" s="9">
        <v>0.10486111111111111</v>
      </c>
      <c r="H55" s="9">
        <v>0.13472222222222222</v>
      </c>
      <c r="I55" s="10">
        <f t="shared" ref="I55:I59" si="6">H55-G55</f>
        <v>2.9861111111111102E-2</v>
      </c>
      <c r="J55" s="11">
        <v>4</v>
      </c>
      <c r="K55" s="11">
        <v>183.65</v>
      </c>
      <c r="L55" s="16">
        <f t="shared" si="5"/>
        <v>64.063953488372121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/>
      <c r="AB55" s="11">
        <v>43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1:38" ht="25.05" customHeight="1">
      <c r="B56" s="13"/>
      <c r="C56" s="29"/>
      <c r="D56" s="30"/>
      <c r="E56" s="19" t="s">
        <v>414</v>
      </c>
      <c r="F56" s="8" t="s">
        <v>42</v>
      </c>
      <c r="G56" s="9">
        <v>0.1125</v>
      </c>
      <c r="H56" s="9">
        <v>0.13958333333333334</v>
      </c>
      <c r="I56" s="10">
        <f t="shared" si="6"/>
        <v>2.7083333333333334E-2</v>
      </c>
      <c r="J56" s="11">
        <v>4</v>
      </c>
      <c r="K56" s="11">
        <v>183.94</v>
      </c>
      <c r="L56" s="16">
        <f t="shared" ref="L56:L59" si="7">IFERROR(((K56/(J56*I56)/24)),"0")</f>
        <v>70.746153846153845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/>
      <c r="AA56" s="11"/>
      <c r="AB56" s="11"/>
      <c r="AC56" s="11"/>
      <c r="AD56" s="11">
        <v>39</v>
      </c>
      <c r="AE56" s="11"/>
      <c r="AF56" s="11"/>
      <c r="AG56" s="11"/>
      <c r="AH56" s="11"/>
      <c r="AI56" s="11"/>
      <c r="AJ56" s="11"/>
      <c r="AK56" s="11"/>
      <c r="AL56" s="14"/>
    </row>
    <row r="57" spans="1:38" ht="25.05" customHeight="1">
      <c r="B57" s="13"/>
      <c r="C57" s="29"/>
      <c r="D57" s="30"/>
      <c r="E57" s="19"/>
      <c r="F57" s="8" t="s">
        <v>42</v>
      </c>
      <c r="G57" s="9"/>
      <c r="H57" s="9"/>
      <c r="I57" s="10">
        <f t="shared" si="6"/>
        <v>0</v>
      </c>
      <c r="J57" s="11"/>
      <c r="K57" s="11"/>
      <c r="L57" s="16" t="str">
        <f t="shared" si="7"/>
        <v>0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1:38" ht="25.05" customHeight="1">
      <c r="B58" s="13"/>
      <c r="C58" s="29"/>
      <c r="D58" s="183" t="s">
        <v>393</v>
      </c>
      <c r="E58" s="19" t="s">
        <v>415</v>
      </c>
      <c r="F58" s="8" t="s">
        <v>42</v>
      </c>
      <c r="G58" s="9">
        <v>0.90625</v>
      </c>
      <c r="H58" s="9">
        <v>0.91319444444444442</v>
      </c>
      <c r="I58" s="10">
        <f t="shared" si="6"/>
        <v>6.9444444444444198E-3</v>
      </c>
      <c r="J58" s="11">
        <v>3</v>
      </c>
      <c r="K58" s="11">
        <v>14.4</v>
      </c>
      <c r="L58" s="16">
        <f t="shared" si="7"/>
        <v>28.8000000000001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1:38" ht="25.05" customHeight="1">
      <c r="B59" s="13"/>
      <c r="C59" s="29"/>
      <c r="D59" s="30"/>
      <c r="E59" s="19"/>
      <c r="F59" s="8" t="s">
        <v>42</v>
      </c>
      <c r="G59" s="9"/>
      <c r="H59" s="9"/>
      <c r="I59" s="10">
        <f t="shared" si="6"/>
        <v>0</v>
      </c>
      <c r="J59" s="11"/>
      <c r="K59" s="11"/>
      <c r="L59" s="16" t="str">
        <f t="shared" si="7"/>
        <v>0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1:38" ht="25.05" customHeight="1">
      <c r="B60" s="13"/>
      <c r="C60" s="29"/>
      <c r="D60" s="30"/>
      <c r="E60" s="19"/>
      <c r="F60" s="8" t="s">
        <v>42</v>
      </c>
      <c r="G60" s="9"/>
      <c r="H60" s="9"/>
      <c r="I60" s="10">
        <v>4</v>
      </c>
      <c r="J60" s="11"/>
      <c r="K60" s="11"/>
      <c r="L60" s="16" t="str">
        <f t="shared" ref="L60" si="8">IFERROR(((K60/(J60*I60)/24)),"0")</f>
        <v>0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1:38" s="28" customFormat="1" ht="25.5" customHeight="1">
      <c r="A61" s="2"/>
      <c r="B61" s="32"/>
      <c r="C61" s="33"/>
      <c r="D61" s="34"/>
      <c r="E61" s="35"/>
      <c r="F61" s="35"/>
      <c r="G61" s="36"/>
      <c r="H61" s="36"/>
      <c r="I61" s="37"/>
      <c r="J61" s="38"/>
      <c r="K61" s="38">
        <f t="shared" ref="K61:AL61" si="9">SUM(K25:K60)</f>
        <v>2898.6400000000003</v>
      </c>
      <c r="L61" s="39">
        <f t="shared" si="9"/>
        <v>1363.3998865045294</v>
      </c>
      <c r="M61" s="38">
        <f t="shared" si="9"/>
        <v>0</v>
      </c>
      <c r="N61" s="38">
        <f t="shared" si="9"/>
        <v>0</v>
      </c>
      <c r="O61" s="38">
        <f t="shared" si="9"/>
        <v>0</v>
      </c>
      <c r="P61" s="38">
        <f t="shared" si="9"/>
        <v>0</v>
      </c>
      <c r="Q61" s="38">
        <f t="shared" si="9"/>
        <v>0</v>
      </c>
      <c r="R61" s="38">
        <f t="shared" si="9"/>
        <v>0</v>
      </c>
      <c r="S61" s="38">
        <f t="shared" si="9"/>
        <v>0</v>
      </c>
      <c r="T61" s="38">
        <f t="shared" si="9"/>
        <v>0</v>
      </c>
      <c r="U61" s="38">
        <f t="shared" si="9"/>
        <v>0</v>
      </c>
      <c r="V61" s="38">
        <f t="shared" si="9"/>
        <v>32</v>
      </c>
      <c r="W61" s="38">
        <f t="shared" si="9"/>
        <v>35</v>
      </c>
      <c r="X61" s="38">
        <f t="shared" si="9"/>
        <v>0</v>
      </c>
      <c r="Y61" s="38">
        <f t="shared" si="9"/>
        <v>180</v>
      </c>
      <c r="Z61" s="38">
        <f t="shared" si="9"/>
        <v>270</v>
      </c>
      <c r="AA61" s="38">
        <f t="shared" si="9"/>
        <v>225</v>
      </c>
      <c r="AB61" s="38">
        <f t="shared" si="9"/>
        <v>168</v>
      </c>
      <c r="AC61" s="38">
        <f t="shared" si="9"/>
        <v>17</v>
      </c>
      <c r="AD61" s="38">
        <f t="shared" si="9"/>
        <v>166</v>
      </c>
      <c r="AE61" s="38">
        <f t="shared" si="9"/>
        <v>0</v>
      </c>
      <c r="AF61" s="38">
        <f t="shared" si="9"/>
        <v>0</v>
      </c>
      <c r="AG61" s="38">
        <f t="shared" si="9"/>
        <v>0</v>
      </c>
      <c r="AH61" s="38">
        <f t="shared" si="9"/>
        <v>0</v>
      </c>
      <c r="AI61" s="38">
        <f t="shared" si="9"/>
        <v>0</v>
      </c>
      <c r="AJ61" s="38">
        <f t="shared" si="9"/>
        <v>0</v>
      </c>
      <c r="AK61" s="38">
        <f t="shared" si="9"/>
        <v>0</v>
      </c>
      <c r="AL61" s="38">
        <f t="shared" si="9"/>
        <v>0</v>
      </c>
    </row>
    <row r="62" spans="1:38" ht="38.1" customHeight="1">
      <c r="B62" s="40" t="s">
        <v>45</v>
      </c>
      <c r="C62" s="41"/>
      <c r="D62" s="41"/>
      <c r="E62" s="41"/>
      <c r="F62" s="41"/>
      <c r="G62" s="41"/>
      <c r="H62" s="41"/>
      <c r="I62" s="41"/>
      <c r="J62" s="41"/>
      <c r="K62" s="42">
        <f>K21+K24+K61</f>
        <v>5895.77</v>
      </c>
      <c r="L62" s="42">
        <f>L21+L24+L61</f>
        <v>2096.6525341919428</v>
      </c>
      <c r="M62" s="43">
        <f t="shared" ref="M62:AL62" si="10">(M21+M24+M61)/(480-15-30)</f>
        <v>0.48275862068965519</v>
      </c>
      <c r="N62" s="43">
        <f t="shared" si="10"/>
        <v>0</v>
      </c>
      <c r="O62" s="43">
        <f t="shared" si="10"/>
        <v>0.167816091954023</v>
      </c>
      <c r="P62" s="43">
        <f t="shared" si="10"/>
        <v>0</v>
      </c>
      <c r="Q62" s="43">
        <f t="shared" si="10"/>
        <v>0.31954022988505748</v>
      </c>
      <c r="R62" s="43">
        <f t="shared" si="10"/>
        <v>0.10344827586206896</v>
      </c>
      <c r="S62" s="43">
        <f t="shared" si="10"/>
        <v>0.43448275862068964</v>
      </c>
      <c r="T62" s="43">
        <f t="shared" si="10"/>
        <v>0</v>
      </c>
      <c r="U62" s="43">
        <f t="shared" si="10"/>
        <v>0</v>
      </c>
      <c r="V62" s="43">
        <f t="shared" si="10"/>
        <v>7.3563218390804597E-2</v>
      </c>
      <c r="W62" s="43">
        <f t="shared" si="10"/>
        <v>8.0459770114942528E-2</v>
      </c>
      <c r="X62" s="43">
        <f t="shared" si="10"/>
        <v>0</v>
      </c>
      <c r="Y62" s="43">
        <f t="shared" si="10"/>
        <v>0.41379310344827586</v>
      </c>
      <c r="Z62" s="43">
        <f t="shared" si="10"/>
        <v>0.62068965517241381</v>
      </c>
      <c r="AA62" s="43">
        <f t="shared" si="10"/>
        <v>0.51724137931034486</v>
      </c>
      <c r="AB62" s="43">
        <f t="shared" si="10"/>
        <v>0.38620689655172413</v>
      </c>
      <c r="AC62" s="43">
        <f t="shared" si="10"/>
        <v>3.9080459770114942E-2</v>
      </c>
      <c r="AD62" s="43">
        <f t="shared" si="10"/>
        <v>0.38160919540229887</v>
      </c>
      <c r="AE62" s="43">
        <f t="shared" si="10"/>
        <v>0</v>
      </c>
      <c r="AF62" s="43">
        <f t="shared" si="10"/>
        <v>0</v>
      </c>
      <c r="AG62" s="43">
        <f t="shared" si="10"/>
        <v>0</v>
      </c>
      <c r="AH62" s="43">
        <f t="shared" si="10"/>
        <v>0</v>
      </c>
      <c r="AI62" s="43">
        <f t="shared" si="10"/>
        <v>0</v>
      </c>
      <c r="AJ62" s="43">
        <f t="shared" si="10"/>
        <v>0</v>
      </c>
      <c r="AK62" s="43">
        <f t="shared" si="10"/>
        <v>0</v>
      </c>
      <c r="AL62" s="43">
        <f t="shared" si="10"/>
        <v>0</v>
      </c>
    </row>
    <row r="63" spans="1:38" ht="25.05" customHeight="1">
      <c r="B63" s="44"/>
      <c r="C63" s="44"/>
      <c r="D63" s="44"/>
      <c r="E63" s="45"/>
      <c r="F63" s="45"/>
      <c r="G63" s="45"/>
      <c r="H63" s="45"/>
      <c r="I63" s="46"/>
      <c r="J63" s="46"/>
      <c r="K63" s="45"/>
      <c r="L63" s="47"/>
      <c r="M63" s="47"/>
      <c r="N63" s="47"/>
      <c r="O63" s="47"/>
      <c r="P63" s="47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</row>
    <row r="64" spans="1:38" ht="25.05" customHeight="1">
      <c r="B64" s="44"/>
      <c r="C64" s="44"/>
      <c r="D64" s="44"/>
      <c r="E64" s="45"/>
      <c r="F64" s="45"/>
      <c r="G64" s="45"/>
      <c r="H64" s="45"/>
      <c r="I64" s="48" t="s">
        <v>46</v>
      </c>
      <c r="J64" s="46"/>
      <c r="K64" s="45"/>
      <c r="L64" s="47"/>
      <c r="M64" s="47"/>
      <c r="N64" s="47"/>
      <c r="O64" s="47"/>
      <c r="P64" s="47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</row>
    <row r="65" spans="2:34" ht="25.05" customHeight="1">
      <c r="B65" s="44"/>
      <c r="C65" s="44"/>
      <c r="D65" s="44"/>
      <c r="E65" s="45"/>
      <c r="F65" s="45"/>
      <c r="G65" s="45"/>
      <c r="H65" s="45"/>
      <c r="I65" s="49" t="s">
        <v>47</v>
      </c>
      <c r="J65" s="9">
        <v>0</v>
      </c>
      <c r="K65" s="11">
        <v>7</v>
      </c>
      <c r="L65" s="11" t="s">
        <v>48</v>
      </c>
      <c r="M65" s="47"/>
      <c r="N65" s="14">
        <v>2</v>
      </c>
      <c r="O65" s="14"/>
      <c r="P65" s="14"/>
      <c r="Q65" s="50" t="s">
        <v>49</v>
      </c>
      <c r="R65" s="51"/>
      <c r="S65" s="45"/>
      <c r="T65" s="45"/>
      <c r="U65" s="45"/>
      <c r="V65" s="45"/>
      <c r="W65" s="45"/>
      <c r="X65" s="45"/>
      <c r="Y65" s="45"/>
      <c r="Z65" s="45"/>
      <c r="AA65" s="45"/>
      <c r="AC65" s="45"/>
      <c r="AD65" s="45"/>
      <c r="AE65" s="45"/>
      <c r="AF65" s="45"/>
      <c r="AG65" s="45"/>
      <c r="AH65" s="45"/>
    </row>
    <row r="66" spans="2:34" ht="25.05" customHeight="1">
      <c r="B66" s="44"/>
      <c r="C66" s="44"/>
      <c r="D66" s="44"/>
      <c r="E66" s="45"/>
      <c r="F66" s="45"/>
      <c r="G66" s="45"/>
      <c r="H66" s="45"/>
      <c r="I66" s="49" t="s">
        <v>50</v>
      </c>
      <c r="J66" s="9">
        <v>0</v>
      </c>
      <c r="K66" s="11">
        <v>0</v>
      </c>
      <c r="L66" s="11" t="s">
        <v>48</v>
      </c>
      <c r="M66" s="47"/>
      <c r="N66" s="14">
        <v>0</v>
      </c>
      <c r="O66" s="14"/>
      <c r="P66" s="14"/>
      <c r="Q66" s="50" t="s">
        <v>51</v>
      </c>
      <c r="R66" s="51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</row>
    <row r="67" spans="2:34" ht="25.05" customHeight="1">
      <c r="B67" s="44"/>
      <c r="C67" s="44"/>
      <c r="D67" s="44"/>
      <c r="E67" s="45"/>
      <c r="F67" s="45"/>
      <c r="G67" s="45"/>
      <c r="H67" s="45"/>
      <c r="I67" s="49" t="s">
        <v>52</v>
      </c>
      <c r="J67" s="9">
        <v>0</v>
      </c>
      <c r="K67" s="11">
        <v>17</v>
      </c>
      <c r="L67" s="11" t="s">
        <v>48</v>
      </c>
      <c r="M67" s="47"/>
      <c r="N67" s="14">
        <v>0</v>
      </c>
      <c r="O67" s="14"/>
      <c r="P67" s="14"/>
      <c r="Q67" s="50" t="s">
        <v>53</v>
      </c>
      <c r="R67" s="51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</row>
    <row r="68" spans="2:34" ht="25.05" customHeight="1">
      <c r="B68" s="44"/>
      <c r="C68" s="44"/>
      <c r="D68" s="44"/>
      <c r="E68" s="45"/>
      <c r="F68" s="45"/>
      <c r="G68" s="45"/>
      <c r="H68" s="45"/>
      <c r="I68" s="52" t="s">
        <v>54</v>
      </c>
      <c r="J68" s="53">
        <v>0</v>
      </c>
      <c r="K68" s="11">
        <v>2</v>
      </c>
      <c r="L68" s="54" t="s">
        <v>48</v>
      </c>
      <c r="M68" s="47"/>
      <c r="N68" s="14">
        <v>4</v>
      </c>
      <c r="O68" s="14"/>
      <c r="P68" s="14"/>
      <c r="Q68" s="50" t="s">
        <v>55</v>
      </c>
      <c r="R68" s="51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</row>
    <row r="69" spans="2:34" ht="25.05" customHeight="1">
      <c r="B69" s="44"/>
      <c r="C69" s="44"/>
      <c r="D69" s="44"/>
      <c r="E69" s="45"/>
      <c r="F69" s="45"/>
      <c r="G69" s="45"/>
      <c r="H69" s="45"/>
      <c r="I69" s="49" t="s">
        <v>56</v>
      </c>
      <c r="J69" s="9">
        <v>0</v>
      </c>
      <c r="K69" s="11">
        <v>26</v>
      </c>
      <c r="L69" s="11" t="s">
        <v>48</v>
      </c>
      <c r="M69" s="47"/>
      <c r="N69"/>
      <c r="O69"/>
      <c r="P69"/>
      <c r="Q69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</row>
    <row r="70" spans="2:34" ht="25.05" customHeight="1">
      <c r="B70" s="44"/>
      <c r="C70" s="44"/>
      <c r="D70" s="44"/>
      <c r="E70" s="45"/>
      <c r="F70" s="45"/>
      <c r="G70" s="45"/>
      <c r="H70" s="45"/>
      <c r="M70" s="47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</row>
    <row r="71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97BD-214D-4D98-8EAE-9C1F007CFB64}">
  <sheetPr>
    <pageSetUpPr fitToPage="1"/>
  </sheetPr>
  <dimension ref="A1:AM78"/>
  <sheetViews>
    <sheetView zoomScale="55" zoomScaleNormal="55" workbookViewId="0">
      <pane xSplit="12" ySplit="3" topLeftCell="AB26" activePane="bottomRight" state="frozen"/>
      <selection activeCell="D38" sqref="D38"/>
      <selection pane="topRight" activeCell="D38" sqref="D38"/>
      <selection pane="bottomLeft" activeCell="D38" sqref="D38"/>
      <selection pane="bottomRight" activeCell="AE1" sqref="AE1:AE1048576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4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1" width="16.21875" style="2" customWidth="1"/>
    <col min="32" max="32" width="17.77734375" style="2" customWidth="1"/>
    <col min="33" max="38" width="16.21875" style="2" customWidth="1"/>
    <col min="39" max="39" width="14.44140625" style="2" customWidth="1"/>
    <col min="40" max="16384" width="10.21875" style="2"/>
  </cols>
  <sheetData>
    <row r="1" spans="1:39" ht="18.75" customHeight="1">
      <c r="A1" s="2" t="s">
        <v>0</v>
      </c>
    </row>
    <row r="2" spans="1:39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2"/>
    </row>
    <row r="3" spans="1:39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416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</row>
    <row r="4" spans="1:39" ht="25.05" customHeight="1">
      <c r="B4" s="5" t="s">
        <v>417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0.29166666666666669</v>
      </c>
      <c r="I4" s="10">
        <f t="shared" ref="I4:I9" si="0">H4-G4</f>
        <v>4.1666666666666685E-2</v>
      </c>
      <c r="J4" s="11">
        <v>1</v>
      </c>
      <c r="K4" s="11">
        <v>0</v>
      </c>
      <c r="L4" s="16">
        <f t="shared" ref="L4:L9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25.05" customHeight="1">
      <c r="B5" s="5"/>
      <c r="C5" s="60"/>
      <c r="D5" s="6"/>
      <c r="E5" s="7"/>
      <c r="F5" s="8" t="s">
        <v>42</v>
      </c>
      <c r="G5" s="9"/>
      <c r="H5" s="9"/>
      <c r="I5" s="10">
        <f t="shared" ref="I5:I7" si="2">H5-G5</f>
        <v>0</v>
      </c>
      <c r="J5" s="11"/>
      <c r="K5" s="11"/>
      <c r="L5" s="16" t="str">
        <f t="shared" ref="L5:L7" si="3">IFERROR(((K5/(J5*I5)/24)),"0")</f>
        <v>0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 ht="25.05" customHeight="1">
      <c r="B6" s="5"/>
      <c r="C6" s="60"/>
      <c r="D6" s="6"/>
      <c r="E6" s="7"/>
      <c r="F6" s="8" t="s">
        <v>42</v>
      </c>
      <c r="G6" s="9"/>
      <c r="H6" s="9"/>
      <c r="I6" s="10">
        <f t="shared" si="2"/>
        <v>0</v>
      </c>
      <c r="J6" s="11"/>
      <c r="K6" s="11"/>
      <c r="L6" s="16" t="str">
        <f t="shared" si="3"/>
        <v>0</v>
      </c>
      <c r="M6" s="11"/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ht="25.05" customHeight="1">
      <c r="B7" s="5"/>
      <c r="C7" s="60"/>
      <c r="D7" s="6"/>
      <c r="E7" s="7"/>
      <c r="F7" s="8" t="s">
        <v>42</v>
      </c>
      <c r="G7" s="9"/>
      <c r="H7" s="9"/>
      <c r="I7" s="10">
        <f t="shared" si="2"/>
        <v>0</v>
      </c>
      <c r="J7" s="11"/>
      <c r="K7" s="11"/>
      <c r="L7" s="16" t="str">
        <f t="shared" si="3"/>
        <v>0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spans="1:39" ht="25.05" customHeight="1">
      <c r="B8" s="13"/>
      <c r="C8" s="14"/>
      <c r="D8" s="6"/>
      <c r="E8" s="15"/>
      <c r="F8" s="8" t="s">
        <v>42</v>
      </c>
      <c r="G8" s="9"/>
      <c r="H8" s="9"/>
      <c r="I8" s="10">
        <f t="shared" si="0"/>
        <v>0</v>
      </c>
      <c r="J8" s="11"/>
      <c r="K8" s="11"/>
      <c r="L8" s="16" t="str">
        <f t="shared" si="1"/>
        <v>0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39" ht="25.5" customHeight="1">
      <c r="B9" s="13"/>
      <c r="C9" s="14"/>
      <c r="D9" s="30"/>
      <c r="E9" s="15"/>
      <c r="F9" s="130"/>
      <c r="G9" s="9"/>
      <c r="H9" s="9"/>
      <c r="I9" s="10">
        <f t="shared" si="0"/>
        <v>0</v>
      </c>
      <c r="J9" s="11"/>
      <c r="K9" s="11"/>
      <c r="L9" s="16" t="str">
        <f t="shared" si="1"/>
        <v>0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39" s="28" customFormat="1" ht="25.05" customHeight="1">
      <c r="A10" s="2"/>
      <c r="B10" s="21"/>
      <c r="C10" s="22"/>
      <c r="D10" s="23"/>
      <c r="E10" s="24"/>
      <c r="F10" s="24"/>
      <c r="G10" s="25"/>
      <c r="H10" s="25"/>
      <c r="I10" s="26"/>
      <c r="J10" s="27"/>
      <c r="K10" s="27">
        <f t="shared" ref="K10:AD10" si="4">SUM(K4:K9)</f>
        <v>0</v>
      </c>
      <c r="L10" s="39">
        <f t="shared" si="4"/>
        <v>0</v>
      </c>
      <c r="M10" s="27">
        <f t="shared" si="4"/>
        <v>0</v>
      </c>
      <c r="N10" s="27">
        <f t="shared" si="4"/>
        <v>0</v>
      </c>
      <c r="O10" s="27">
        <f t="shared" si="4"/>
        <v>0</v>
      </c>
      <c r="P10" s="27">
        <f t="shared" si="4"/>
        <v>0</v>
      </c>
      <c r="Q10" s="27">
        <f t="shared" si="4"/>
        <v>0</v>
      </c>
      <c r="R10" s="27">
        <f t="shared" si="4"/>
        <v>0</v>
      </c>
      <c r="S10" s="27">
        <f t="shared" si="4"/>
        <v>0</v>
      </c>
      <c r="T10" s="27">
        <f t="shared" si="4"/>
        <v>0</v>
      </c>
      <c r="U10" s="27">
        <f t="shared" si="4"/>
        <v>0</v>
      </c>
      <c r="V10" s="27">
        <f t="shared" si="4"/>
        <v>0</v>
      </c>
      <c r="W10" s="27">
        <f t="shared" si="4"/>
        <v>0</v>
      </c>
      <c r="X10" s="27">
        <f t="shared" si="4"/>
        <v>0</v>
      </c>
      <c r="Y10" s="27">
        <f t="shared" si="4"/>
        <v>0</v>
      </c>
      <c r="Z10" s="27">
        <f t="shared" si="4"/>
        <v>0</v>
      </c>
      <c r="AA10" s="27">
        <f t="shared" si="4"/>
        <v>0</v>
      </c>
      <c r="AB10" s="27">
        <f t="shared" si="4"/>
        <v>0</v>
      </c>
      <c r="AC10" s="27">
        <f t="shared" si="4"/>
        <v>0</v>
      </c>
      <c r="AD10" s="27">
        <f t="shared" si="4"/>
        <v>0</v>
      </c>
      <c r="AE10" s="27"/>
      <c r="AF10" s="27">
        <f t="shared" ref="AF10:AM10" si="5">SUM(AF4:AF9)</f>
        <v>0</v>
      </c>
      <c r="AG10" s="27">
        <f t="shared" si="5"/>
        <v>0</v>
      </c>
      <c r="AH10" s="27">
        <f t="shared" si="5"/>
        <v>0</v>
      </c>
      <c r="AI10" s="27">
        <f t="shared" si="5"/>
        <v>0</v>
      </c>
      <c r="AJ10" s="27">
        <f t="shared" si="5"/>
        <v>0</v>
      </c>
      <c r="AK10" s="27">
        <f t="shared" si="5"/>
        <v>0</v>
      </c>
      <c r="AL10" s="27">
        <f t="shared" si="5"/>
        <v>0</v>
      </c>
      <c r="AM10" s="27">
        <f t="shared" si="5"/>
        <v>0</v>
      </c>
    </row>
    <row r="11" spans="1:39" ht="25.05" customHeight="1">
      <c r="B11" s="5" t="s">
        <v>417</v>
      </c>
      <c r="C11" s="14" t="s">
        <v>43</v>
      </c>
      <c r="D11" s="6"/>
      <c r="E11" s="7" t="s">
        <v>41</v>
      </c>
      <c r="F11" s="8" t="s">
        <v>42</v>
      </c>
      <c r="G11" s="9">
        <v>0.29166666666666669</v>
      </c>
      <c r="H11" s="9">
        <v>0.33333333333333331</v>
      </c>
      <c r="I11" s="10">
        <f>H11-G11</f>
        <v>4.166666666666663E-2</v>
      </c>
      <c r="J11" s="11">
        <v>2</v>
      </c>
      <c r="K11" s="11">
        <v>0</v>
      </c>
      <c r="L11" s="16">
        <f>IFERROR(((K11/(J11*I11)/24)),"0")</f>
        <v>0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ht="25.05" customHeight="1">
      <c r="B12" s="13"/>
      <c r="C12" s="14"/>
      <c r="D12" s="6" t="s">
        <v>418</v>
      </c>
      <c r="E12" s="7" t="s">
        <v>419</v>
      </c>
      <c r="F12" s="8" t="s">
        <v>42</v>
      </c>
      <c r="G12" s="9">
        <v>0.33333333333333331</v>
      </c>
      <c r="H12" s="9">
        <v>0.5</v>
      </c>
      <c r="I12" s="10">
        <f t="shared" ref="I12:I14" si="6">H12-G12</f>
        <v>0.16666666666666669</v>
      </c>
      <c r="J12" s="11">
        <v>12</v>
      </c>
      <c r="K12" s="11">
        <f>92*5</f>
        <v>460</v>
      </c>
      <c r="L12" s="16">
        <f t="shared" ref="L12:L14" si="7">IFERROR(((K12/(J12*I12)/24)),"0")</f>
        <v>9.5833333333333339</v>
      </c>
      <c r="M12" s="11"/>
      <c r="N12" s="11"/>
      <c r="O12" s="11"/>
      <c r="P12" s="11"/>
      <c r="Q12" s="11"/>
      <c r="R12" s="12"/>
      <c r="S12" s="12"/>
      <c r="T12" s="11">
        <v>240</v>
      </c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ht="25.05" customHeight="1">
      <c r="B13" s="13"/>
      <c r="C13" s="14"/>
      <c r="D13" s="30"/>
      <c r="E13" s="15" t="s">
        <v>104</v>
      </c>
      <c r="F13" s="8" t="s">
        <v>42</v>
      </c>
      <c r="G13" s="9">
        <v>0.5</v>
      </c>
      <c r="H13" s="9">
        <v>0.54166666666666663</v>
      </c>
      <c r="I13" s="10">
        <f t="shared" si="6"/>
        <v>4.166666666666663E-2</v>
      </c>
      <c r="J13" s="11">
        <v>12</v>
      </c>
      <c r="K13" s="11" t="s">
        <v>42</v>
      </c>
      <c r="L13" s="16" t="str">
        <f t="shared" si="7"/>
        <v>0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5.05" customHeight="1">
      <c r="B14" s="13"/>
      <c r="C14" s="14"/>
      <c r="D14" s="216" t="s">
        <v>420</v>
      </c>
      <c r="E14" s="217"/>
      <c r="F14" s="8" t="s">
        <v>42</v>
      </c>
      <c r="G14" s="9">
        <v>0.54166666666666663</v>
      </c>
      <c r="H14" s="9">
        <v>0.70833333333333337</v>
      </c>
      <c r="I14" s="10">
        <f t="shared" si="6"/>
        <v>0.16666666666666674</v>
      </c>
      <c r="J14" s="11">
        <v>12</v>
      </c>
      <c r="K14" s="11" t="s">
        <v>42</v>
      </c>
      <c r="L14" s="16" t="str">
        <f t="shared" si="7"/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s="28" customFormat="1" ht="25.05" customHeight="1">
      <c r="A15" s="2"/>
      <c r="B15" s="21"/>
      <c r="C15" s="22"/>
      <c r="D15" s="23"/>
      <c r="E15" s="24"/>
      <c r="F15" s="22"/>
      <c r="G15" s="25"/>
      <c r="H15" s="25"/>
      <c r="I15" s="26"/>
      <c r="J15" s="27"/>
      <c r="K15" s="27">
        <f t="shared" ref="K15:AD15" si="8">SUM(K11:K14)</f>
        <v>460</v>
      </c>
      <c r="L15" s="27">
        <f t="shared" si="8"/>
        <v>9.5833333333333339</v>
      </c>
      <c r="M15" s="27">
        <f t="shared" si="8"/>
        <v>0</v>
      </c>
      <c r="N15" s="27">
        <f t="shared" si="8"/>
        <v>0</v>
      </c>
      <c r="O15" s="27">
        <f t="shared" si="8"/>
        <v>0</v>
      </c>
      <c r="P15" s="27">
        <f t="shared" si="8"/>
        <v>0</v>
      </c>
      <c r="Q15" s="27">
        <f t="shared" si="8"/>
        <v>0</v>
      </c>
      <c r="R15" s="27">
        <f t="shared" si="8"/>
        <v>0</v>
      </c>
      <c r="S15" s="27">
        <f t="shared" si="8"/>
        <v>0</v>
      </c>
      <c r="T15" s="27">
        <f t="shared" si="8"/>
        <v>240</v>
      </c>
      <c r="U15" s="27">
        <f t="shared" si="8"/>
        <v>0</v>
      </c>
      <c r="V15" s="27">
        <f t="shared" si="8"/>
        <v>0</v>
      </c>
      <c r="W15" s="27">
        <f t="shared" si="8"/>
        <v>0</v>
      </c>
      <c r="X15" s="27">
        <f t="shared" si="8"/>
        <v>0</v>
      </c>
      <c r="Y15" s="27">
        <f t="shared" si="8"/>
        <v>0</v>
      </c>
      <c r="Z15" s="27">
        <f t="shared" si="8"/>
        <v>0</v>
      </c>
      <c r="AA15" s="27">
        <f t="shared" si="8"/>
        <v>0</v>
      </c>
      <c r="AB15" s="27">
        <f t="shared" si="8"/>
        <v>0</v>
      </c>
      <c r="AC15" s="27">
        <f t="shared" si="8"/>
        <v>0</v>
      </c>
      <c r="AD15" s="27">
        <f t="shared" si="8"/>
        <v>0</v>
      </c>
      <c r="AE15" s="27"/>
      <c r="AF15" s="27">
        <f t="shared" ref="AF15:AM15" si="9">SUM(AF11:AF14)</f>
        <v>0</v>
      </c>
      <c r="AG15" s="27">
        <f t="shared" si="9"/>
        <v>0</v>
      </c>
      <c r="AH15" s="27">
        <f t="shared" si="9"/>
        <v>0</v>
      </c>
      <c r="AI15" s="27">
        <f t="shared" si="9"/>
        <v>0</v>
      </c>
      <c r="AJ15" s="27">
        <f t="shared" si="9"/>
        <v>0</v>
      </c>
      <c r="AK15" s="27">
        <f t="shared" si="9"/>
        <v>0</v>
      </c>
      <c r="AL15" s="27">
        <f t="shared" si="9"/>
        <v>0</v>
      </c>
      <c r="AM15" s="27">
        <f t="shared" si="9"/>
        <v>0</v>
      </c>
    </row>
    <row r="16" spans="1:39" ht="25.05" customHeight="1">
      <c r="B16" s="5" t="s">
        <v>417</v>
      </c>
      <c r="C16" s="29" t="s">
        <v>44</v>
      </c>
      <c r="D16" s="30"/>
      <c r="E16" s="7" t="s">
        <v>41</v>
      </c>
      <c r="F16" s="8" t="s">
        <v>42</v>
      </c>
      <c r="G16" s="9">
        <v>0.29166666666666669</v>
      </c>
      <c r="H16" s="9">
        <v>0.33333333333333331</v>
      </c>
      <c r="I16" s="10">
        <f t="shared" ref="I16:I67" si="10">H16-G16</f>
        <v>4.166666666666663E-2</v>
      </c>
      <c r="J16" s="11">
        <v>5</v>
      </c>
      <c r="K16" s="11">
        <v>0</v>
      </c>
      <c r="L16" s="16">
        <f t="shared" ref="L16:L67" si="11">IFERROR(((K16/(J16*I16)/24)),"0")</f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4"/>
    </row>
    <row r="17" spans="2:39" ht="25.05" customHeight="1">
      <c r="B17" s="13"/>
      <c r="C17" s="29"/>
      <c r="D17" s="30" t="s">
        <v>301</v>
      </c>
      <c r="E17" s="19" t="s">
        <v>421</v>
      </c>
      <c r="F17" s="8" t="s">
        <v>42</v>
      </c>
      <c r="G17" s="9">
        <v>0.61805555555555558</v>
      </c>
      <c r="H17" s="9">
        <v>0.62777777777777777</v>
      </c>
      <c r="I17" s="10">
        <f t="shared" si="10"/>
        <v>9.7222222222221877E-3</v>
      </c>
      <c r="J17" s="11">
        <v>4</v>
      </c>
      <c r="K17" s="11">
        <v>32</v>
      </c>
      <c r="L17" s="16">
        <f t="shared" si="11"/>
        <v>34.285714285714405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>
        <v>14</v>
      </c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4"/>
    </row>
    <row r="18" spans="2:39" ht="25.05" customHeight="1">
      <c r="B18" s="13"/>
      <c r="C18" s="29"/>
      <c r="D18" s="30"/>
      <c r="E18" s="19" t="s">
        <v>422</v>
      </c>
      <c r="F18" s="8" t="s">
        <v>42</v>
      </c>
      <c r="G18" s="9">
        <v>0.46458333333333335</v>
      </c>
      <c r="H18" s="9">
        <v>0.47152777777777777</v>
      </c>
      <c r="I18" s="10">
        <f t="shared" si="10"/>
        <v>6.9444444444444198E-3</v>
      </c>
      <c r="J18" s="11">
        <v>4</v>
      </c>
      <c r="K18" s="11">
        <v>78.180000000000007</v>
      </c>
      <c r="L18" s="16">
        <f t="shared" si="11"/>
        <v>117.27000000000042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>
        <v>10</v>
      </c>
      <c r="AF18" s="11"/>
      <c r="AG18" s="11"/>
      <c r="AH18" s="11"/>
      <c r="AI18" s="11"/>
      <c r="AJ18" s="11"/>
      <c r="AK18" s="11"/>
      <c r="AL18" s="11"/>
      <c r="AM18" s="14"/>
    </row>
    <row r="19" spans="2:39" ht="25.05" customHeight="1">
      <c r="B19" s="13"/>
      <c r="C19" s="29"/>
      <c r="D19" s="30"/>
      <c r="E19" s="19" t="s">
        <v>423</v>
      </c>
      <c r="F19" s="8" t="s">
        <v>42</v>
      </c>
      <c r="G19" s="9">
        <v>0.49305555555555558</v>
      </c>
      <c r="H19" s="9">
        <v>0.49930555555555556</v>
      </c>
      <c r="I19" s="10">
        <f t="shared" si="10"/>
        <v>6.2499999999999778E-3</v>
      </c>
      <c r="J19" s="11">
        <v>4</v>
      </c>
      <c r="K19" s="11">
        <v>77.16</v>
      </c>
      <c r="L19" s="16">
        <f t="shared" si="11"/>
        <v>128.60000000000045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>
        <v>9</v>
      </c>
      <c r="AF19" s="11"/>
      <c r="AG19" s="11"/>
      <c r="AH19" s="11"/>
      <c r="AI19" s="11"/>
      <c r="AJ19" s="11"/>
      <c r="AK19" s="11"/>
      <c r="AL19" s="11"/>
      <c r="AM19" s="14"/>
    </row>
    <row r="20" spans="2:39" ht="25.05" customHeight="1">
      <c r="B20" s="13"/>
      <c r="C20" s="29"/>
      <c r="D20" s="30"/>
      <c r="E20" s="19" t="s">
        <v>424</v>
      </c>
      <c r="F20" s="8" t="s">
        <v>42</v>
      </c>
      <c r="G20" s="9">
        <v>0.51249999999999996</v>
      </c>
      <c r="H20" s="9">
        <v>0.51736111111111116</v>
      </c>
      <c r="I20" s="10">
        <f t="shared" si="10"/>
        <v>4.8611111111112049E-3</v>
      </c>
      <c r="J20" s="11">
        <v>4</v>
      </c>
      <c r="K20" s="11">
        <v>79</v>
      </c>
      <c r="L20" s="16">
        <f t="shared" si="11"/>
        <v>169.28571428571101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>
        <v>7</v>
      </c>
      <c r="AF20" s="11"/>
      <c r="AG20" s="11"/>
      <c r="AH20" s="11"/>
      <c r="AI20" s="11"/>
      <c r="AJ20" s="11"/>
      <c r="AK20" s="11"/>
      <c r="AL20" s="11"/>
      <c r="AM20" s="14"/>
    </row>
    <row r="21" spans="2:39" ht="25.05" customHeight="1">
      <c r="B21" s="13"/>
      <c r="C21" s="29"/>
      <c r="D21" s="65"/>
      <c r="E21" s="19" t="s">
        <v>425</v>
      </c>
      <c r="F21" s="8" t="s">
        <v>42</v>
      </c>
      <c r="G21" s="9">
        <v>0.5229166666666667</v>
      </c>
      <c r="H21" s="9">
        <v>0.52847222222222223</v>
      </c>
      <c r="I21" s="10">
        <f t="shared" si="10"/>
        <v>5.5555555555555358E-3</v>
      </c>
      <c r="J21" s="11">
        <v>4</v>
      </c>
      <c r="K21" s="11">
        <v>75.64</v>
      </c>
      <c r="L21" s="16">
        <f t="shared" si="11"/>
        <v>141.8250000000005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>
        <v>8</v>
      </c>
      <c r="AF21" s="11"/>
      <c r="AG21" s="11"/>
      <c r="AH21" s="11"/>
      <c r="AI21" s="11"/>
      <c r="AJ21" s="11"/>
      <c r="AK21" s="11"/>
      <c r="AL21" s="11"/>
      <c r="AM21" s="14"/>
    </row>
    <row r="22" spans="2:39" ht="25.05" customHeight="1">
      <c r="B22" s="13"/>
      <c r="C22" s="29"/>
      <c r="D22" s="65"/>
      <c r="E22" s="19" t="s">
        <v>368</v>
      </c>
      <c r="F22" s="8" t="s">
        <v>42</v>
      </c>
      <c r="G22" s="9">
        <v>0.60833333333333328</v>
      </c>
      <c r="H22" s="9">
        <v>0.61250000000000004</v>
      </c>
      <c r="I22" s="10">
        <f t="shared" si="10"/>
        <v>4.1666666666667629E-3</v>
      </c>
      <c r="J22" s="11">
        <v>4</v>
      </c>
      <c r="K22" s="11">
        <v>93</v>
      </c>
      <c r="L22" s="16">
        <f t="shared" si="11"/>
        <v>232.49999999999463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>
        <v>6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4"/>
    </row>
    <row r="23" spans="2:39" ht="25.05" customHeight="1">
      <c r="B23" s="5"/>
      <c r="C23" s="29"/>
      <c r="D23" s="30"/>
      <c r="E23" s="19" t="s">
        <v>369</v>
      </c>
      <c r="F23" s="8" t="s">
        <v>42</v>
      </c>
      <c r="G23" s="9">
        <v>0.61041666666666672</v>
      </c>
      <c r="H23" s="9">
        <v>0.61805555555555558</v>
      </c>
      <c r="I23" s="10">
        <f t="shared" si="10"/>
        <v>7.6388888888888618E-3</v>
      </c>
      <c r="J23" s="11">
        <v>4</v>
      </c>
      <c r="K23" s="11">
        <v>76.14</v>
      </c>
      <c r="L23" s="16">
        <f t="shared" si="11"/>
        <v>103.8272727272731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>
        <v>11</v>
      </c>
      <c r="AF23" s="11"/>
      <c r="AG23" s="11"/>
      <c r="AH23" s="11"/>
      <c r="AI23" s="11"/>
      <c r="AJ23" s="11"/>
      <c r="AK23" s="11"/>
      <c r="AL23" s="11"/>
      <c r="AM23" s="14"/>
    </row>
    <row r="24" spans="2:39" ht="25.05" customHeight="1">
      <c r="B24" s="13"/>
      <c r="C24" s="29"/>
      <c r="D24" s="168"/>
      <c r="E24" s="19" t="s">
        <v>370</v>
      </c>
      <c r="F24" s="8" t="s">
        <v>42</v>
      </c>
      <c r="G24" s="9">
        <v>0.62152777777777779</v>
      </c>
      <c r="H24" s="9">
        <v>0.62708333333333333</v>
      </c>
      <c r="I24" s="10">
        <f t="shared" si="10"/>
        <v>5.5555555555555358E-3</v>
      </c>
      <c r="J24" s="11">
        <v>4</v>
      </c>
      <c r="K24" s="11">
        <v>87.35</v>
      </c>
      <c r="L24" s="16">
        <f t="shared" si="11"/>
        <v>163.78125000000057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>
        <v>8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4"/>
    </row>
    <row r="25" spans="2:39" ht="25.05" customHeight="1">
      <c r="B25" s="13"/>
      <c r="C25" s="29"/>
      <c r="D25" s="30"/>
      <c r="E25" s="19" t="s">
        <v>371</v>
      </c>
      <c r="F25" s="8" t="s">
        <v>42</v>
      </c>
      <c r="G25" s="9">
        <v>0.62708333333333333</v>
      </c>
      <c r="H25" s="9">
        <v>0.63194444444444442</v>
      </c>
      <c r="I25" s="10">
        <f t="shared" si="10"/>
        <v>4.8611111111110938E-3</v>
      </c>
      <c r="J25" s="11">
        <v>4</v>
      </c>
      <c r="K25" s="11">
        <v>79.66</v>
      </c>
      <c r="L25" s="16">
        <f t="shared" si="11"/>
        <v>170.70000000000061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>
        <v>7</v>
      </c>
      <c r="AF25" s="11"/>
      <c r="AG25" s="11"/>
      <c r="AH25" s="11"/>
      <c r="AI25" s="11"/>
      <c r="AJ25" s="11"/>
      <c r="AK25" s="11"/>
      <c r="AL25" s="11"/>
      <c r="AM25" s="14"/>
    </row>
    <row r="26" spans="2:39" ht="25.05" customHeight="1">
      <c r="B26" s="13"/>
      <c r="C26" s="29"/>
      <c r="D26" s="30"/>
      <c r="E26" s="19" t="s">
        <v>372</v>
      </c>
      <c r="F26" s="8" t="s">
        <v>42</v>
      </c>
      <c r="G26" s="9">
        <v>0.63680555555555551</v>
      </c>
      <c r="H26" s="9">
        <v>0.64166666666666672</v>
      </c>
      <c r="I26" s="10">
        <f t="shared" si="10"/>
        <v>4.8611111111112049E-3</v>
      </c>
      <c r="J26" s="11">
        <v>4</v>
      </c>
      <c r="K26" s="11">
        <v>79</v>
      </c>
      <c r="L26" s="16">
        <f t="shared" si="11"/>
        <v>169.28571428571101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>
        <v>7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4"/>
    </row>
    <row r="27" spans="2:39" ht="25.05" customHeight="1">
      <c r="B27" s="13"/>
      <c r="C27" s="29"/>
      <c r="D27" s="30"/>
      <c r="E27" s="19" t="s">
        <v>373</v>
      </c>
      <c r="F27" s="8" t="s">
        <v>42</v>
      </c>
      <c r="G27" s="9">
        <v>0.64166666666666672</v>
      </c>
      <c r="H27" s="9">
        <v>0.64652777777777781</v>
      </c>
      <c r="I27" s="10">
        <f t="shared" si="10"/>
        <v>4.8611111111110938E-3</v>
      </c>
      <c r="J27" s="11">
        <v>4</v>
      </c>
      <c r="K27" s="11">
        <v>78</v>
      </c>
      <c r="L27" s="16">
        <f t="shared" si="11"/>
        <v>167.14285714285774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>
        <v>7</v>
      </c>
      <c r="AF27" s="11"/>
      <c r="AG27" s="11"/>
      <c r="AH27" s="11"/>
      <c r="AI27" s="11"/>
      <c r="AJ27" s="11"/>
      <c r="AK27" s="11"/>
      <c r="AL27" s="11"/>
      <c r="AM27" s="14"/>
    </row>
    <row r="28" spans="2:39" ht="25.05" customHeight="1">
      <c r="B28" s="13"/>
      <c r="C28" s="29"/>
      <c r="D28" s="65"/>
      <c r="E28" s="19" t="s">
        <v>374</v>
      </c>
      <c r="F28" s="8" t="s">
        <v>42</v>
      </c>
      <c r="G28" s="9">
        <v>0.6479166666666667</v>
      </c>
      <c r="H28" s="9">
        <v>0.65277777777777779</v>
      </c>
      <c r="I28" s="10">
        <f t="shared" si="10"/>
        <v>4.8611111111110938E-3</v>
      </c>
      <c r="J28" s="11">
        <v>4</v>
      </c>
      <c r="K28" s="11">
        <v>81</v>
      </c>
      <c r="L28" s="16">
        <f t="shared" si="11"/>
        <v>173.57142857142921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>
        <v>7</v>
      </c>
      <c r="AD28" s="11"/>
      <c r="AE28" s="11"/>
      <c r="AF28" s="11"/>
      <c r="AG28" s="11"/>
      <c r="AH28" s="11"/>
      <c r="AI28" s="11"/>
      <c r="AJ28" s="11"/>
      <c r="AK28" s="11"/>
      <c r="AL28" s="11"/>
      <c r="AM28" s="14"/>
    </row>
    <row r="29" spans="2:39" ht="25.05" customHeight="1">
      <c r="B29" s="13"/>
      <c r="C29" s="29"/>
      <c r="D29" s="65"/>
      <c r="E29" s="19" t="s">
        <v>375</v>
      </c>
      <c r="F29" s="8" t="s">
        <v>42</v>
      </c>
      <c r="G29" s="9">
        <v>0.65277777777777779</v>
      </c>
      <c r="H29" s="9">
        <v>0.65763888888888888</v>
      </c>
      <c r="I29" s="10">
        <f t="shared" si="10"/>
        <v>4.8611111111110938E-3</v>
      </c>
      <c r="J29" s="11">
        <v>4</v>
      </c>
      <c r="K29" s="11">
        <v>76.709999999999994</v>
      </c>
      <c r="L29" s="16">
        <f t="shared" si="11"/>
        <v>164.378571428572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>
        <v>7</v>
      </c>
      <c r="AF29" s="11"/>
      <c r="AG29" s="11"/>
      <c r="AH29" s="11"/>
      <c r="AI29" s="11"/>
      <c r="AJ29" s="11"/>
      <c r="AK29" s="11"/>
      <c r="AL29" s="11"/>
      <c r="AM29" s="14"/>
    </row>
    <row r="30" spans="2:39" ht="25.05" customHeight="1">
      <c r="B30" s="13"/>
      <c r="C30" s="29"/>
      <c r="D30" s="65"/>
      <c r="E30" s="19" t="s">
        <v>426</v>
      </c>
      <c r="F30" s="8" t="s">
        <v>42</v>
      </c>
      <c r="G30" s="9">
        <v>0.65902777777777777</v>
      </c>
      <c r="H30" s="9">
        <v>0.66319444444444442</v>
      </c>
      <c r="I30" s="10">
        <f t="shared" si="10"/>
        <v>4.1666666666666519E-3</v>
      </c>
      <c r="J30" s="11">
        <v>4</v>
      </c>
      <c r="K30" s="11">
        <v>80</v>
      </c>
      <c r="L30" s="16">
        <f t="shared" si="11"/>
        <v>200.00000000000071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>
        <v>6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4"/>
    </row>
    <row r="31" spans="2:39" ht="25.05" customHeight="1">
      <c r="B31" s="13"/>
      <c r="C31" s="29"/>
      <c r="D31" s="65"/>
      <c r="E31" s="19" t="s">
        <v>427</v>
      </c>
      <c r="F31" s="8" t="s">
        <v>42</v>
      </c>
      <c r="G31" s="9">
        <v>0.6645833333333333</v>
      </c>
      <c r="H31" s="9">
        <v>0.67222222222222228</v>
      </c>
      <c r="I31" s="10">
        <f t="shared" si="10"/>
        <v>7.6388888888889728E-3</v>
      </c>
      <c r="J31" s="11">
        <v>4</v>
      </c>
      <c r="K31" s="11">
        <v>78.94</v>
      </c>
      <c r="L31" s="16">
        <f t="shared" si="11"/>
        <v>107.64545454545335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>
        <v>11</v>
      </c>
      <c r="AF31" s="11"/>
      <c r="AG31" s="11"/>
      <c r="AH31" s="11"/>
      <c r="AI31" s="11"/>
      <c r="AJ31" s="11"/>
      <c r="AK31" s="11"/>
      <c r="AL31" s="11"/>
      <c r="AM31" s="14"/>
    </row>
    <row r="32" spans="2:39" ht="25.05" customHeight="1">
      <c r="B32" s="13"/>
      <c r="C32" s="29"/>
      <c r="D32" s="65"/>
      <c r="E32" s="19" t="s">
        <v>428</v>
      </c>
      <c r="F32" s="8" t="s">
        <v>42</v>
      </c>
      <c r="G32" s="9">
        <v>0.67013888888888884</v>
      </c>
      <c r="H32" s="9">
        <v>0.67569444444444449</v>
      </c>
      <c r="I32" s="10">
        <f t="shared" si="10"/>
        <v>5.5555555555556468E-3</v>
      </c>
      <c r="J32" s="11">
        <v>4</v>
      </c>
      <c r="K32" s="11">
        <v>80</v>
      </c>
      <c r="L32" s="16">
        <f t="shared" si="11"/>
        <v>149.99999999999753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>
        <v>8</v>
      </c>
      <c r="AD32" s="11"/>
      <c r="AE32" s="11"/>
      <c r="AF32" s="11"/>
      <c r="AG32" s="11"/>
      <c r="AH32" s="11"/>
      <c r="AI32" s="11"/>
      <c r="AJ32" s="11"/>
      <c r="AK32" s="11"/>
      <c r="AL32" s="11"/>
      <c r="AM32" s="14"/>
    </row>
    <row r="33" spans="2:39" ht="25.05" customHeight="1">
      <c r="B33" s="13"/>
      <c r="C33" s="29"/>
      <c r="D33" s="65"/>
      <c r="E33" s="19" t="s">
        <v>429</v>
      </c>
      <c r="F33" s="8" t="s">
        <v>42</v>
      </c>
      <c r="G33" s="9">
        <v>0.68055555555555558</v>
      </c>
      <c r="H33" s="9">
        <v>0.68541666666666667</v>
      </c>
      <c r="I33" s="10">
        <f t="shared" si="10"/>
        <v>4.8611111111110938E-3</v>
      </c>
      <c r="J33" s="11">
        <v>4</v>
      </c>
      <c r="K33" s="11">
        <v>79.349999999999994</v>
      </c>
      <c r="L33" s="16">
        <f t="shared" si="11"/>
        <v>170.03571428571487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>
        <v>7</v>
      </c>
      <c r="AF33" s="11"/>
      <c r="AG33" s="11"/>
      <c r="AH33" s="11"/>
      <c r="AI33" s="11"/>
      <c r="AJ33" s="11"/>
      <c r="AK33" s="11"/>
      <c r="AL33" s="11"/>
      <c r="AM33" s="14"/>
    </row>
    <row r="34" spans="2:39" ht="25.05" customHeight="1">
      <c r="B34" s="13"/>
      <c r="C34" s="29"/>
      <c r="D34" s="65"/>
      <c r="E34" s="19" t="s">
        <v>430</v>
      </c>
      <c r="F34" s="8" t="s">
        <v>42</v>
      </c>
      <c r="G34" s="9">
        <v>0.68194444444444446</v>
      </c>
      <c r="H34" s="9">
        <v>0.68680555555555556</v>
      </c>
      <c r="I34" s="10">
        <f t="shared" si="10"/>
        <v>4.8611111111110938E-3</v>
      </c>
      <c r="J34" s="11">
        <v>4</v>
      </c>
      <c r="K34" s="11">
        <v>79.67</v>
      </c>
      <c r="L34" s="16">
        <f t="shared" si="11"/>
        <v>170.72142857142919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>
        <v>7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4"/>
    </row>
    <row r="35" spans="2:39" ht="25.05" customHeight="1">
      <c r="B35" s="13"/>
      <c r="C35" s="29"/>
      <c r="D35" s="30"/>
      <c r="E35" s="19" t="s">
        <v>431</v>
      </c>
      <c r="F35" s="8" t="s">
        <v>42</v>
      </c>
      <c r="G35" s="9">
        <v>0.69027777777777777</v>
      </c>
      <c r="H35" s="9">
        <v>0.6958333333333333</v>
      </c>
      <c r="I35" s="10">
        <f t="shared" si="10"/>
        <v>5.5555555555555358E-3</v>
      </c>
      <c r="J35" s="11">
        <v>4</v>
      </c>
      <c r="K35" s="11">
        <v>77.22</v>
      </c>
      <c r="L35" s="16">
        <f t="shared" si="11"/>
        <v>144.78750000000051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>
        <v>8</v>
      </c>
      <c r="AF35" s="11"/>
      <c r="AG35" s="11"/>
      <c r="AH35" s="11"/>
      <c r="AI35" s="11"/>
      <c r="AJ35" s="11"/>
      <c r="AK35" s="11"/>
      <c r="AL35" s="11"/>
      <c r="AM35" s="14"/>
    </row>
    <row r="36" spans="2:39" ht="25.05" customHeight="1">
      <c r="B36" s="13"/>
      <c r="C36" s="29"/>
      <c r="D36" s="30"/>
      <c r="E36" s="19" t="s">
        <v>432</v>
      </c>
      <c r="F36" s="8" t="s">
        <v>42</v>
      </c>
      <c r="G36" s="9">
        <v>0.69305555555555554</v>
      </c>
      <c r="H36" s="9">
        <v>0.69722222222222219</v>
      </c>
      <c r="I36" s="10">
        <f t="shared" si="10"/>
        <v>4.1666666666666519E-3</v>
      </c>
      <c r="J36" s="11">
        <v>4</v>
      </c>
      <c r="K36" s="11">
        <v>72.959999999999994</v>
      </c>
      <c r="L36" s="16">
        <f t="shared" si="11"/>
        <v>182.40000000000063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/>
      <c r="X36" s="11"/>
      <c r="Y36" s="11"/>
      <c r="Z36" s="11"/>
      <c r="AA36" s="11"/>
      <c r="AB36" s="11"/>
      <c r="AC36" s="11">
        <v>6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4"/>
    </row>
    <row r="37" spans="2:39" ht="25.05" customHeight="1">
      <c r="B37" s="13"/>
      <c r="C37" s="29"/>
      <c r="D37" s="30"/>
      <c r="E37" s="19" t="s">
        <v>433</v>
      </c>
      <c r="F37" s="8" t="s">
        <v>42</v>
      </c>
      <c r="G37" s="9">
        <v>0.69930555555555551</v>
      </c>
      <c r="H37" s="9">
        <v>0.70416666666666672</v>
      </c>
      <c r="I37" s="10">
        <f t="shared" si="10"/>
        <v>4.8611111111112049E-3</v>
      </c>
      <c r="J37" s="11">
        <v>4</v>
      </c>
      <c r="K37" s="11">
        <v>79.28</v>
      </c>
      <c r="L37" s="16">
        <f t="shared" si="11"/>
        <v>169.885714285711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/>
      <c r="X37" s="11"/>
      <c r="Y37" s="11"/>
      <c r="Z37" s="11"/>
      <c r="AA37" s="11"/>
      <c r="AB37" s="11"/>
      <c r="AC37" s="11"/>
      <c r="AD37" s="11"/>
      <c r="AE37" s="11">
        <v>7</v>
      </c>
      <c r="AF37" s="11"/>
      <c r="AG37" s="11"/>
      <c r="AH37" s="11"/>
      <c r="AI37" s="11"/>
      <c r="AJ37" s="11"/>
      <c r="AK37" s="11"/>
      <c r="AL37" s="11"/>
      <c r="AM37" s="14"/>
    </row>
    <row r="38" spans="2:39" ht="25.05" customHeight="1">
      <c r="B38" s="13"/>
      <c r="C38" s="29"/>
      <c r="D38" s="30"/>
      <c r="E38" s="19" t="s">
        <v>434</v>
      </c>
      <c r="F38" s="8" t="s">
        <v>42</v>
      </c>
      <c r="G38" s="9">
        <v>0.6</v>
      </c>
      <c r="H38" s="9">
        <v>0.60902777777777772</v>
      </c>
      <c r="I38" s="10">
        <f t="shared" si="10"/>
        <v>9.0277777777777457E-3</v>
      </c>
      <c r="J38" s="11">
        <v>4</v>
      </c>
      <c r="K38" s="11">
        <v>50.89</v>
      </c>
      <c r="L38" s="16">
        <f t="shared" si="11"/>
        <v>58.719230769230983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/>
      <c r="X38" s="11"/>
      <c r="Y38" s="11"/>
      <c r="Z38" s="11"/>
      <c r="AA38" s="11"/>
      <c r="AB38" s="11">
        <v>13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4"/>
    </row>
    <row r="39" spans="2:39" ht="25.05" customHeight="1">
      <c r="B39" s="13"/>
      <c r="C39" s="29"/>
      <c r="D39" s="30"/>
      <c r="E39" s="19" t="s">
        <v>435</v>
      </c>
      <c r="F39" s="8" t="s">
        <v>42</v>
      </c>
      <c r="G39" s="9">
        <v>0.61388888888888893</v>
      </c>
      <c r="H39" s="9">
        <v>0.62152777777777779</v>
      </c>
      <c r="I39" s="10">
        <f t="shared" si="10"/>
        <v>7.6388888888888618E-3</v>
      </c>
      <c r="J39" s="11">
        <v>4</v>
      </c>
      <c r="K39" s="11">
        <v>41.66</v>
      </c>
      <c r="L39" s="16">
        <f t="shared" si="11"/>
        <v>56.809090909091104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/>
      <c r="X39" s="11"/>
      <c r="Y39" s="11"/>
      <c r="Z39" s="11"/>
      <c r="AA39" s="11"/>
      <c r="AB39" s="11">
        <v>11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4"/>
    </row>
    <row r="40" spans="2:39" ht="25.05" customHeight="1">
      <c r="B40" s="13"/>
      <c r="C40" s="29"/>
      <c r="D40" s="30"/>
      <c r="E40" s="19" t="s">
        <v>436</v>
      </c>
      <c r="F40" s="8" t="s">
        <v>42</v>
      </c>
      <c r="G40" s="9">
        <v>0.62638888888888888</v>
      </c>
      <c r="H40" s="9">
        <v>0.63472222222222219</v>
      </c>
      <c r="I40" s="10">
        <f t="shared" si="10"/>
        <v>8.3333333333333037E-3</v>
      </c>
      <c r="J40" s="11">
        <v>4</v>
      </c>
      <c r="K40" s="11">
        <v>51.29</v>
      </c>
      <c r="L40" s="16">
        <f t="shared" si="11"/>
        <v>64.112500000000225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/>
      <c r="X40" s="11"/>
      <c r="Y40" s="11"/>
      <c r="Z40" s="11"/>
      <c r="AA40" s="11"/>
      <c r="AB40" s="11">
        <v>12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4"/>
    </row>
    <row r="41" spans="2:39" ht="25.05" customHeight="1">
      <c r="B41" s="13"/>
      <c r="C41" s="29"/>
      <c r="D41" s="30"/>
      <c r="E41" s="19" t="s">
        <v>437</v>
      </c>
      <c r="F41" s="8" t="s">
        <v>42</v>
      </c>
      <c r="G41" s="9">
        <v>0.64027777777777772</v>
      </c>
      <c r="H41" s="9">
        <v>0.6479166666666667</v>
      </c>
      <c r="I41" s="10">
        <f t="shared" si="10"/>
        <v>7.6388888888889728E-3</v>
      </c>
      <c r="J41" s="11">
        <v>4</v>
      </c>
      <c r="K41" s="11">
        <v>50.31</v>
      </c>
      <c r="L41" s="16">
        <f t="shared" si="11"/>
        <v>68.604545454544706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/>
      <c r="X41" s="11"/>
      <c r="Y41" s="11"/>
      <c r="Z41" s="11"/>
      <c r="AA41" s="11"/>
      <c r="AB41" s="11">
        <v>11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4"/>
    </row>
    <row r="42" spans="2:39" ht="25.05" customHeight="1">
      <c r="B42" s="13"/>
      <c r="C42" s="29"/>
      <c r="D42" s="30"/>
      <c r="E42" s="19" t="s">
        <v>438</v>
      </c>
      <c r="F42" s="8"/>
      <c r="G42" s="9">
        <v>0.625</v>
      </c>
      <c r="H42" s="9">
        <v>0.64722222222222225</v>
      </c>
      <c r="I42" s="10">
        <f t="shared" si="10"/>
        <v>2.2222222222222254E-2</v>
      </c>
      <c r="J42" s="11">
        <v>4</v>
      </c>
      <c r="K42" s="11">
        <v>120.29</v>
      </c>
      <c r="L42" s="16">
        <f t="shared" si="11"/>
        <v>56.385937499999926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/>
      <c r="X42" s="11"/>
      <c r="Y42" s="11"/>
      <c r="Z42" s="11"/>
      <c r="AA42" s="11"/>
      <c r="AB42" s="11"/>
      <c r="AC42" s="11"/>
      <c r="AD42" s="11"/>
      <c r="AE42" s="11"/>
      <c r="AF42" s="11">
        <v>32</v>
      </c>
      <c r="AG42" s="11"/>
      <c r="AH42" s="11"/>
      <c r="AI42" s="11"/>
      <c r="AJ42" s="11"/>
      <c r="AK42" s="11"/>
      <c r="AL42" s="11"/>
      <c r="AM42" s="14"/>
    </row>
    <row r="43" spans="2:39" ht="25.05" customHeight="1">
      <c r="B43" s="13"/>
      <c r="C43" s="29"/>
      <c r="D43" s="30"/>
      <c r="E43" s="19"/>
      <c r="F43" s="8" t="s">
        <v>42</v>
      </c>
      <c r="G43" s="9"/>
      <c r="H43" s="9"/>
      <c r="I43" s="10">
        <f t="shared" si="10"/>
        <v>0</v>
      </c>
      <c r="J43" s="11"/>
      <c r="K43" s="11"/>
      <c r="L43" s="16" t="str">
        <f t="shared" si="11"/>
        <v>0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4"/>
    </row>
    <row r="44" spans="2:39" ht="25.05" customHeight="1">
      <c r="B44" s="13"/>
      <c r="C44" s="29"/>
      <c r="D44" s="30" t="s">
        <v>439</v>
      </c>
      <c r="E44" s="19" t="s">
        <v>440</v>
      </c>
      <c r="F44" s="8" t="s">
        <v>42</v>
      </c>
      <c r="G44" s="9">
        <v>0.34583333333333333</v>
      </c>
      <c r="H44" s="9">
        <v>0.35486111111111113</v>
      </c>
      <c r="I44" s="10">
        <f t="shared" si="10"/>
        <v>9.0277777777778012E-3</v>
      </c>
      <c r="J44" s="11">
        <v>8</v>
      </c>
      <c r="K44" s="11">
        <v>130.79</v>
      </c>
      <c r="L44" s="16">
        <f t="shared" si="11"/>
        <v>75.455769230769036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/>
      <c r="X44" s="11"/>
      <c r="Y44" s="11"/>
      <c r="Z44" s="11"/>
      <c r="AA44" s="11"/>
      <c r="AB44" s="11">
        <v>13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4"/>
    </row>
    <row r="45" spans="2:39" ht="25.05" customHeight="1">
      <c r="B45" s="13"/>
      <c r="C45" s="29"/>
      <c r="D45" s="30"/>
      <c r="E45" s="19" t="s">
        <v>441</v>
      </c>
      <c r="F45" s="8" t="s">
        <v>42</v>
      </c>
      <c r="G45" s="9">
        <v>0.3576388888888889</v>
      </c>
      <c r="H45" s="9">
        <v>0.36666666666666664</v>
      </c>
      <c r="I45" s="10">
        <f t="shared" si="10"/>
        <v>9.0277777777777457E-3</v>
      </c>
      <c r="J45" s="11">
        <v>8</v>
      </c>
      <c r="K45" s="11">
        <v>136.22</v>
      </c>
      <c r="L45" s="16">
        <f t="shared" si="11"/>
        <v>78.588461538461814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/>
      <c r="X45" s="11"/>
      <c r="Y45" s="11"/>
      <c r="Z45" s="11"/>
      <c r="AA45" s="11"/>
      <c r="AB45" s="11">
        <v>13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4"/>
    </row>
    <row r="46" spans="2:39" ht="25.05" customHeight="1">
      <c r="B46" s="13"/>
      <c r="C46" s="29"/>
      <c r="D46" s="30"/>
      <c r="E46" s="19" t="s">
        <v>442</v>
      </c>
      <c r="F46" s="8" t="s">
        <v>42</v>
      </c>
      <c r="G46" s="9">
        <v>0.36944444444444446</v>
      </c>
      <c r="H46" s="9">
        <v>0.38055555555555554</v>
      </c>
      <c r="I46" s="10">
        <f t="shared" si="10"/>
        <v>1.1111111111111072E-2</v>
      </c>
      <c r="J46" s="11">
        <v>8</v>
      </c>
      <c r="K46" s="11">
        <v>140.75</v>
      </c>
      <c r="L46" s="16">
        <f t="shared" si="11"/>
        <v>65.976562500000242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/>
      <c r="X46" s="11"/>
      <c r="Y46" s="11"/>
      <c r="Z46" s="11"/>
      <c r="AA46" s="11"/>
      <c r="AB46" s="11">
        <v>16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4"/>
    </row>
    <row r="47" spans="2:39" ht="25.05" customHeight="1">
      <c r="B47" s="13"/>
      <c r="C47" s="29"/>
      <c r="D47" s="30"/>
      <c r="E47" s="19" t="s">
        <v>443</v>
      </c>
      <c r="F47" s="8" t="s">
        <v>42</v>
      </c>
      <c r="G47" s="9">
        <v>0.38194444444444442</v>
      </c>
      <c r="H47" s="9">
        <v>0.39374999999999999</v>
      </c>
      <c r="I47" s="10">
        <f t="shared" si="10"/>
        <v>1.1805555555555569E-2</v>
      </c>
      <c r="J47" s="11">
        <v>8</v>
      </c>
      <c r="K47" s="11">
        <v>141</v>
      </c>
      <c r="L47" s="16">
        <f t="shared" si="11"/>
        <v>62.205882352941103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>
        <v>17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4"/>
    </row>
    <row r="48" spans="2:39" ht="25.05" customHeight="1">
      <c r="B48" s="13"/>
      <c r="C48" s="29"/>
      <c r="D48" s="30"/>
      <c r="E48" s="19" t="s">
        <v>444</v>
      </c>
      <c r="F48" s="8" t="s">
        <v>42</v>
      </c>
      <c r="G48" s="9">
        <v>0.43402777777777779</v>
      </c>
      <c r="H48" s="9">
        <v>0.44722222222222224</v>
      </c>
      <c r="I48" s="10">
        <f t="shared" si="10"/>
        <v>1.3194444444444453E-2</v>
      </c>
      <c r="J48" s="11">
        <v>8</v>
      </c>
      <c r="K48" s="11">
        <v>130.79</v>
      </c>
      <c r="L48" s="16">
        <f t="shared" si="11"/>
        <v>51.62763157894733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/>
      <c r="X48" s="11"/>
      <c r="Y48" s="11"/>
      <c r="Z48" s="11"/>
      <c r="AA48" s="11"/>
      <c r="AB48" s="11">
        <v>19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4"/>
    </row>
    <row r="49" spans="2:39" ht="25.05" customHeight="1">
      <c r="B49" s="13"/>
      <c r="C49" s="29"/>
      <c r="D49" s="30"/>
      <c r="E49" s="19"/>
      <c r="F49" s="8" t="s">
        <v>42</v>
      </c>
      <c r="G49" s="9"/>
      <c r="H49" s="9"/>
      <c r="I49" s="10">
        <f t="shared" si="10"/>
        <v>0</v>
      </c>
      <c r="J49" s="11"/>
      <c r="K49" s="11"/>
      <c r="L49" s="16" t="str">
        <f t="shared" si="11"/>
        <v>0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4"/>
    </row>
    <row r="50" spans="2:39" ht="25.05" customHeight="1">
      <c r="B50" s="13"/>
      <c r="C50" s="29"/>
      <c r="D50" s="6" t="s">
        <v>418</v>
      </c>
      <c r="E50" s="19" t="s">
        <v>376</v>
      </c>
      <c r="F50" s="8" t="s">
        <v>42</v>
      </c>
      <c r="G50" s="9">
        <v>0.35416666666666669</v>
      </c>
      <c r="H50" s="9">
        <v>0.3923611111111111</v>
      </c>
      <c r="I50" s="10">
        <f t="shared" si="10"/>
        <v>3.819444444444442E-2</v>
      </c>
      <c r="J50" s="11">
        <v>4</v>
      </c>
      <c r="K50" s="11">
        <f>0.02*4500</f>
        <v>90</v>
      </c>
      <c r="L50" s="16">
        <f t="shared" si="11"/>
        <v>24.545454545454561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>
        <v>55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4"/>
    </row>
    <row r="51" spans="2:39" ht="25.05" customHeight="1">
      <c r="B51" s="13"/>
      <c r="C51" s="29"/>
      <c r="D51" s="30"/>
      <c r="E51" s="19" t="s">
        <v>377</v>
      </c>
      <c r="F51" s="8" t="s">
        <v>42</v>
      </c>
      <c r="G51" s="9">
        <v>0.39305555555555555</v>
      </c>
      <c r="H51" s="9">
        <v>0.42569444444444443</v>
      </c>
      <c r="I51" s="10">
        <f t="shared" si="10"/>
        <v>3.2638888888888884E-2</v>
      </c>
      <c r="J51" s="11">
        <v>4</v>
      </c>
      <c r="K51" s="11">
        <f>0.02*4600</f>
        <v>92</v>
      </c>
      <c r="L51" s="16">
        <f t="shared" si="11"/>
        <v>29.36170212765958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>
        <v>47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4"/>
    </row>
    <row r="52" spans="2:39" ht="25.05" customHeight="1">
      <c r="B52" s="13"/>
      <c r="C52" s="29"/>
      <c r="D52" s="30"/>
      <c r="E52" s="19" t="s">
        <v>445</v>
      </c>
      <c r="F52" s="8" t="s">
        <v>42</v>
      </c>
      <c r="G52" s="9">
        <v>0.42638888888888887</v>
      </c>
      <c r="H52" s="9">
        <v>0.45</v>
      </c>
      <c r="I52" s="10">
        <f t="shared" si="10"/>
        <v>2.3611111111111138E-2</v>
      </c>
      <c r="J52" s="11">
        <v>4</v>
      </c>
      <c r="K52" s="11">
        <f>0.02*4600</f>
        <v>92</v>
      </c>
      <c r="L52" s="16">
        <f t="shared" si="11"/>
        <v>40.588235294117602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>
        <v>34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4"/>
    </row>
    <row r="53" spans="2:39" ht="25.05" customHeight="1">
      <c r="B53" s="13"/>
      <c r="C53" s="29"/>
      <c r="D53" s="30"/>
      <c r="E53" s="19" t="s">
        <v>446</v>
      </c>
      <c r="F53" s="8" t="s">
        <v>42</v>
      </c>
      <c r="G53" s="9">
        <v>0.45069444444444445</v>
      </c>
      <c r="H53" s="9">
        <v>0.48333333333333334</v>
      </c>
      <c r="I53" s="10">
        <f t="shared" si="10"/>
        <v>3.2638888888888884E-2</v>
      </c>
      <c r="J53" s="11">
        <v>4</v>
      </c>
      <c r="K53" s="11">
        <f>0.02*4901</f>
        <v>98.02</v>
      </c>
      <c r="L53" s="16">
        <f t="shared" si="11"/>
        <v>31.282978723404259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>
        <v>47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4"/>
    </row>
    <row r="54" spans="2:39" ht="25.05" customHeight="1">
      <c r="B54" s="13"/>
      <c r="C54" s="29"/>
      <c r="D54" s="30"/>
      <c r="E54" s="19" t="s">
        <v>447</v>
      </c>
      <c r="F54" s="8" t="s">
        <v>42</v>
      </c>
      <c r="G54" s="9">
        <v>0.55902777777777779</v>
      </c>
      <c r="H54" s="9">
        <v>0.58333333333333337</v>
      </c>
      <c r="I54" s="10">
        <f t="shared" si="10"/>
        <v>2.430555555555558E-2</v>
      </c>
      <c r="J54" s="11">
        <v>4</v>
      </c>
      <c r="K54" s="11">
        <f>0.02*4900</f>
        <v>98</v>
      </c>
      <c r="L54" s="16">
        <f t="shared" si="11"/>
        <v>41.999999999999957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>
        <v>17.5</v>
      </c>
      <c r="AA54" s="11">
        <v>17.5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4"/>
    </row>
    <row r="55" spans="2:39" ht="25.05" customHeight="1">
      <c r="B55" s="13"/>
      <c r="C55" s="29"/>
      <c r="D55" s="30"/>
      <c r="E55" s="19"/>
      <c r="F55" s="8" t="s">
        <v>42</v>
      </c>
      <c r="G55" s="9"/>
      <c r="H55" s="9"/>
      <c r="I55" s="10">
        <f t="shared" si="10"/>
        <v>0</v>
      </c>
      <c r="J55" s="11"/>
      <c r="K55" s="11"/>
      <c r="L55" s="16" t="str">
        <f t="shared" si="11"/>
        <v>0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4"/>
    </row>
    <row r="56" spans="2:39" ht="25.05" customHeight="1">
      <c r="B56" s="13"/>
      <c r="C56" s="29"/>
      <c r="D56" s="30"/>
      <c r="E56" s="19"/>
      <c r="F56" s="8" t="s">
        <v>42</v>
      </c>
      <c r="G56" s="9"/>
      <c r="H56" s="9"/>
      <c r="I56" s="10">
        <f t="shared" si="10"/>
        <v>0</v>
      </c>
      <c r="J56" s="11"/>
      <c r="K56" s="11"/>
      <c r="L56" s="16" t="str">
        <f t="shared" si="11"/>
        <v>0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4"/>
    </row>
    <row r="57" spans="2:39" ht="25.05" customHeight="1">
      <c r="B57" s="13"/>
      <c r="C57" s="29"/>
      <c r="D57" s="30"/>
      <c r="E57" s="116"/>
      <c r="F57" s="8" t="s">
        <v>42</v>
      </c>
      <c r="G57" s="9"/>
      <c r="H57" s="9"/>
      <c r="I57" s="10">
        <f t="shared" si="10"/>
        <v>0</v>
      </c>
      <c r="J57" s="11"/>
      <c r="K57" s="11"/>
      <c r="L57" s="16" t="str">
        <f t="shared" si="11"/>
        <v>0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4"/>
    </row>
    <row r="58" spans="2:39" ht="25.05" customHeight="1">
      <c r="B58" s="13"/>
      <c r="C58" s="29"/>
      <c r="D58" s="30"/>
      <c r="E58" s="19"/>
      <c r="F58" s="8" t="s">
        <v>42</v>
      </c>
      <c r="G58" s="9"/>
      <c r="H58" s="9"/>
      <c r="I58" s="10">
        <f t="shared" si="10"/>
        <v>0</v>
      </c>
      <c r="J58" s="11"/>
      <c r="K58" s="11"/>
      <c r="L58" s="16" t="str">
        <f t="shared" si="11"/>
        <v>0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4"/>
    </row>
    <row r="59" spans="2:39" ht="25.05" customHeight="1">
      <c r="B59" s="13"/>
      <c r="C59" s="29"/>
      <c r="D59" s="30"/>
      <c r="E59" s="19"/>
      <c r="F59" s="8" t="s">
        <v>42</v>
      </c>
      <c r="G59" s="9"/>
      <c r="H59" s="9"/>
      <c r="I59" s="10">
        <f t="shared" si="10"/>
        <v>0</v>
      </c>
      <c r="J59" s="11"/>
      <c r="K59" s="11"/>
      <c r="L59" s="16" t="str">
        <f t="shared" si="11"/>
        <v>0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4"/>
    </row>
    <row r="60" spans="2:39" ht="25.05" customHeight="1">
      <c r="B60" s="13"/>
      <c r="C60" s="29"/>
      <c r="D60" s="30"/>
      <c r="E60" s="19"/>
      <c r="F60" s="8" t="s">
        <v>42</v>
      </c>
      <c r="G60" s="9"/>
      <c r="H60" s="9"/>
      <c r="I60" s="10">
        <f t="shared" si="10"/>
        <v>0</v>
      </c>
      <c r="J60" s="11"/>
      <c r="K60" s="11"/>
      <c r="L60" s="16" t="str">
        <f t="shared" si="11"/>
        <v>0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4"/>
    </row>
    <row r="61" spans="2:39" ht="25.05" customHeight="1">
      <c r="B61" s="13"/>
      <c r="C61" s="29"/>
      <c r="D61" s="30"/>
      <c r="E61" s="19"/>
      <c r="F61" s="8" t="s">
        <v>42</v>
      </c>
      <c r="G61" s="9"/>
      <c r="H61" s="9"/>
      <c r="I61" s="10">
        <f t="shared" si="10"/>
        <v>0</v>
      </c>
      <c r="J61" s="11"/>
      <c r="K61" s="11"/>
      <c r="L61" s="16" t="str">
        <f t="shared" si="11"/>
        <v>0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4"/>
    </row>
    <row r="62" spans="2:39" ht="25.05" customHeight="1">
      <c r="B62" s="13"/>
      <c r="C62" s="29"/>
      <c r="D62" s="30"/>
      <c r="E62" s="19"/>
      <c r="F62" s="8" t="s">
        <v>42</v>
      </c>
      <c r="G62" s="9"/>
      <c r="H62" s="9"/>
      <c r="I62" s="10">
        <f t="shared" si="10"/>
        <v>0</v>
      </c>
      <c r="J62" s="11"/>
      <c r="K62" s="11"/>
      <c r="L62" s="16" t="str">
        <f t="shared" si="11"/>
        <v>0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4"/>
    </row>
    <row r="63" spans="2:39" ht="25.05" customHeight="1">
      <c r="B63" s="13"/>
      <c r="C63" s="29"/>
      <c r="D63" s="30"/>
      <c r="E63" s="19"/>
      <c r="F63" s="8" t="s">
        <v>42</v>
      </c>
      <c r="G63" s="9"/>
      <c r="H63" s="9"/>
      <c r="I63" s="10">
        <f t="shared" si="10"/>
        <v>0</v>
      </c>
      <c r="J63" s="11"/>
      <c r="K63" s="11"/>
      <c r="L63" s="16" t="str">
        <f t="shared" si="11"/>
        <v>0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2"/>
      <c r="Y63" s="12"/>
      <c r="Z63" s="12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4"/>
    </row>
    <row r="64" spans="2:39" ht="25.05" customHeight="1">
      <c r="B64" s="13"/>
      <c r="C64" s="29"/>
      <c r="D64" s="30"/>
      <c r="E64" s="19"/>
      <c r="F64" s="8" t="s">
        <v>42</v>
      </c>
      <c r="G64" s="9"/>
      <c r="H64" s="9"/>
      <c r="I64" s="10">
        <f t="shared" si="10"/>
        <v>0</v>
      </c>
      <c r="J64" s="11"/>
      <c r="K64" s="11"/>
      <c r="L64" s="16" t="str">
        <f t="shared" si="11"/>
        <v>0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2"/>
      <c r="Y64" s="12"/>
      <c r="Z64" s="12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4"/>
    </row>
    <row r="65" spans="1:39" ht="25.05" customHeight="1">
      <c r="B65" s="13"/>
      <c r="C65" s="29"/>
      <c r="D65" s="30"/>
      <c r="E65" s="19"/>
      <c r="F65" s="8" t="s">
        <v>42</v>
      </c>
      <c r="G65" s="9"/>
      <c r="H65" s="9"/>
      <c r="I65" s="10">
        <f t="shared" si="10"/>
        <v>0</v>
      </c>
      <c r="J65" s="11"/>
      <c r="K65" s="11"/>
      <c r="L65" s="16" t="str">
        <f t="shared" si="11"/>
        <v>0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2"/>
      <c r="Y65" s="12"/>
      <c r="Z65" s="12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4"/>
    </row>
    <row r="66" spans="1:39" ht="25.05" customHeight="1">
      <c r="B66" s="13"/>
      <c r="C66" s="29"/>
      <c r="D66" s="30"/>
      <c r="E66" s="19"/>
      <c r="F66" s="8" t="s">
        <v>42</v>
      </c>
      <c r="G66" s="9"/>
      <c r="H66" s="9"/>
      <c r="I66" s="10">
        <f t="shared" si="10"/>
        <v>0</v>
      </c>
      <c r="J66" s="11"/>
      <c r="K66" s="11"/>
      <c r="L66" s="16" t="str">
        <f t="shared" si="11"/>
        <v>0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4"/>
    </row>
    <row r="67" spans="1:39" ht="25.05" customHeight="1">
      <c r="B67" s="13"/>
      <c r="C67" s="29"/>
      <c r="D67" s="30"/>
      <c r="E67" s="19"/>
      <c r="F67" s="8" t="s">
        <v>42</v>
      </c>
      <c r="G67" s="9"/>
      <c r="H67" s="9"/>
      <c r="I67" s="10">
        <f t="shared" si="10"/>
        <v>0</v>
      </c>
      <c r="J67" s="11"/>
      <c r="K67" s="11"/>
      <c r="L67" s="16" t="str">
        <f t="shared" si="11"/>
        <v>0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4"/>
    </row>
    <row r="68" spans="1:39" s="28" customFormat="1" ht="25.5" customHeight="1" thickBot="1">
      <c r="A68" s="2"/>
      <c r="B68" s="32"/>
      <c r="C68" s="33"/>
      <c r="D68" s="34"/>
      <c r="E68" s="35"/>
      <c r="F68" s="35"/>
      <c r="G68" s="36"/>
      <c r="H68" s="36"/>
      <c r="I68" s="37"/>
      <c r="J68" s="38"/>
      <c r="K68" s="38">
        <f t="shared" ref="K68:AD68" si="12">SUM(K16:K67)</f>
        <v>3084.27</v>
      </c>
      <c r="L68" s="39">
        <f t="shared" si="12"/>
        <v>4038.193316940195</v>
      </c>
      <c r="M68" s="38">
        <f t="shared" si="12"/>
        <v>0</v>
      </c>
      <c r="N68" s="38">
        <f t="shared" si="12"/>
        <v>0</v>
      </c>
      <c r="O68" s="38">
        <f t="shared" si="12"/>
        <v>0</v>
      </c>
      <c r="P68" s="38">
        <f t="shared" si="12"/>
        <v>0</v>
      </c>
      <c r="Q68" s="38">
        <f t="shared" si="12"/>
        <v>0</v>
      </c>
      <c r="R68" s="38">
        <f t="shared" si="12"/>
        <v>0</v>
      </c>
      <c r="S68" s="38">
        <f t="shared" si="12"/>
        <v>0</v>
      </c>
      <c r="T68" s="38">
        <f t="shared" si="12"/>
        <v>0</v>
      </c>
      <c r="U68" s="38">
        <f t="shared" si="12"/>
        <v>0</v>
      </c>
      <c r="V68" s="38">
        <f t="shared" si="12"/>
        <v>0</v>
      </c>
      <c r="W68" s="38">
        <f t="shared" si="12"/>
        <v>0</v>
      </c>
      <c r="X68" s="179">
        <f t="shared" si="12"/>
        <v>0</v>
      </c>
      <c r="Y68" s="179">
        <f t="shared" si="12"/>
        <v>0</v>
      </c>
      <c r="Z68" s="179">
        <f t="shared" si="12"/>
        <v>17.5</v>
      </c>
      <c r="AA68" s="38">
        <f t="shared" si="12"/>
        <v>200.5</v>
      </c>
      <c r="AB68" s="38">
        <f t="shared" si="12"/>
        <v>139</v>
      </c>
      <c r="AC68" s="38">
        <f t="shared" si="12"/>
        <v>55</v>
      </c>
      <c r="AD68" s="38">
        <f t="shared" si="12"/>
        <v>0</v>
      </c>
      <c r="AE68" s="38"/>
      <c r="AF68" s="38">
        <f t="shared" ref="AF68:AM68" si="13">SUM(AF16:AF67)</f>
        <v>32</v>
      </c>
      <c r="AG68" s="38">
        <f t="shared" si="13"/>
        <v>0</v>
      </c>
      <c r="AH68" s="38">
        <f t="shared" si="13"/>
        <v>0</v>
      </c>
      <c r="AI68" s="38">
        <f t="shared" si="13"/>
        <v>0</v>
      </c>
      <c r="AJ68" s="38">
        <f t="shared" si="13"/>
        <v>0</v>
      </c>
      <c r="AK68" s="38">
        <f t="shared" si="13"/>
        <v>0</v>
      </c>
      <c r="AL68" s="38">
        <f t="shared" si="13"/>
        <v>0</v>
      </c>
      <c r="AM68" s="38">
        <f t="shared" si="13"/>
        <v>0</v>
      </c>
    </row>
    <row r="69" spans="1:39" ht="38.1" customHeight="1" thickBot="1">
      <c r="B69" s="40" t="s">
        <v>45</v>
      </c>
      <c r="C69" s="41"/>
      <c r="D69" s="41"/>
      <c r="E69" s="41"/>
      <c r="F69" s="41"/>
      <c r="G69" s="41"/>
      <c r="H69" s="41"/>
      <c r="I69" s="41"/>
      <c r="J69" s="41"/>
      <c r="K69" s="42">
        <f>K10+K15+K68</f>
        <v>3544.27</v>
      </c>
      <c r="L69" s="42">
        <f>L10+L15+L68</f>
        <v>4047.7766502735285</v>
      </c>
      <c r="M69" s="43">
        <f t="shared" ref="M69:AM69" si="14">(M10+M15+M68)/(480-15-30)</f>
        <v>0</v>
      </c>
      <c r="N69" s="43">
        <f t="shared" si="14"/>
        <v>0</v>
      </c>
      <c r="O69" s="43">
        <f t="shared" si="14"/>
        <v>0</v>
      </c>
      <c r="P69" s="43">
        <f t="shared" si="14"/>
        <v>0</v>
      </c>
      <c r="Q69" s="43">
        <f t="shared" si="14"/>
        <v>0</v>
      </c>
      <c r="R69" s="43">
        <f t="shared" si="14"/>
        <v>0</v>
      </c>
      <c r="S69" s="43">
        <f t="shared" si="14"/>
        <v>0</v>
      </c>
      <c r="T69" s="43">
        <f t="shared" si="14"/>
        <v>0.55172413793103448</v>
      </c>
      <c r="U69" s="43">
        <f t="shared" si="14"/>
        <v>0</v>
      </c>
      <c r="V69" s="43">
        <f t="shared" si="14"/>
        <v>0</v>
      </c>
      <c r="W69" s="43">
        <f t="shared" si="14"/>
        <v>0</v>
      </c>
      <c r="X69" s="43">
        <f t="shared" si="14"/>
        <v>0</v>
      </c>
      <c r="Y69" s="43">
        <f t="shared" si="14"/>
        <v>0</v>
      </c>
      <c r="Z69" s="43">
        <f t="shared" si="14"/>
        <v>4.0229885057471264E-2</v>
      </c>
      <c r="AA69" s="43">
        <f t="shared" si="14"/>
        <v>0.46091954022988507</v>
      </c>
      <c r="AB69" s="43">
        <f t="shared" si="14"/>
        <v>0.31954022988505748</v>
      </c>
      <c r="AC69" s="43">
        <f t="shared" si="14"/>
        <v>0.12643678160919541</v>
      </c>
      <c r="AD69" s="43">
        <f t="shared" si="14"/>
        <v>0</v>
      </c>
      <c r="AE69" s="43">
        <f t="shared" si="14"/>
        <v>0</v>
      </c>
      <c r="AF69" s="43">
        <f t="shared" si="14"/>
        <v>7.3563218390804597E-2</v>
      </c>
      <c r="AG69" s="43">
        <f t="shared" si="14"/>
        <v>0</v>
      </c>
      <c r="AH69" s="43">
        <f t="shared" si="14"/>
        <v>0</v>
      </c>
      <c r="AI69" s="43">
        <f t="shared" si="14"/>
        <v>0</v>
      </c>
      <c r="AJ69" s="43">
        <f t="shared" si="14"/>
        <v>0</v>
      </c>
      <c r="AK69" s="43">
        <f t="shared" si="14"/>
        <v>0</v>
      </c>
      <c r="AL69" s="43">
        <f t="shared" si="14"/>
        <v>0</v>
      </c>
      <c r="AM69" s="43">
        <f t="shared" si="14"/>
        <v>0</v>
      </c>
    </row>
    <row r="70" spans="1:39" ht="25.05" customHeight="1">
      <c r="B70" s="44"/>
      <c r="C70" s="44"/>
      <c r="D70" s="44"/>
      <c r="E70" s="45"/>
      <c r="F70" s="45"/>
      <c r="G70" s="45"/>
      <c r="H70" s="45"/>
      <c r="I70" s="46"/>
      <c r="J70" s="46"/>
      <c r="K70" s="45"/>
      <c r="L70" s="47"/>
      <c r="M70" s="47"/>
      <c r="N70" s="47"/>
      <c r="O70" s="47"/>
      <c r="P70" s="47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</row>
    <row r="71" spans="1:39" ht="25.05" customHeight="1">
      <c r="B71" s="44"/>
      <c r="C71" s="44"/>
      <c r="D71" s="44"/>
      <c r="E71" s="45"/>
      <c r="F71" s="45"/>
      <c r="G71" s="45"/>
      <c r="H71" s="45"/>
      <c r="I71" s="48" t="s">
        <v>46</v>
      </c>
      <c r="J71" s="46"/>
      <c r="K71" s="45"/>
      <c r="L71" s="47"/>
      <c r="M71" s="47"/>
      <c r="N71" s="47"/>
      <c r="O71" s="47"/>
      <c r="P71" s="47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</row>
    <row r="72" spans="1:39" ht="25.05" customHeight="1">
      <c r="B72" s="44"/>
      <c r="C72" s="44"/>
      <c r="D72" s="44"/>
      <c r="E72" s="45"/>
      <c r="F72" s="45"/>
      <c r="G72" s="45"/>
      <c r="H72" s="45"/>
      <c r="I72" s="49" t="s">
        <v>47</v>
      </c>
      <c r="J72" s="9">
        <v>0</v>
      </c>
      <c r="K72" s="11">
        <v>10</v>
      </c>
      <c r="L72" s="11" t="s">
        <v>48</v>
      </c>
      <c r="M72" s="47"/>
      <c r="N72" s="14">
        <v>2</v>
      </c>
      <c r="O72" s="14"/>
      <c r="P72" s="14"/>
      <c r="Q72" s="50" t="s">
        <v>49</v>
      </c>
      <c r="R72" s="51"/>
      <c r="S72" s="45"/>
      <c r="T72" s="45"/>
      <c r="U72" s="45"/>
      <c r="V72" s="45"/>
      <c r="W72" s="45"/>
      <c r="X72" s="45"/>
      <c r="Y72" s="45"/>
      <c r="Z72" s="45"/>
      <c r="AA72" s="45"/>
      <c r="AC72" s="45"/>
      <c r="AD72" s="45"/>
      <c r="AE72" s="45"/>
      <c r="AF72" s="45"/>
      <c r="AG72" s="45"/>
      <c r="AH72" s="45"/>
      <c r="AI72" s="45"/>
    </row>
    <row r="73" spans="1:39" ht="25.05" customHeight="1">
      <c r="B73" s="44"/>
      <c r="C73" s="44"/>
      <c r="D73" s="44"/>
      <c r="E73" s="45"/>
      <c r="F73" s="45"/>
      <c r="G73" s="45"/>
      <c r="H73" s="45"/>
      <c r="I73" s="49" t="s">
        <v>50</v>
      </c>
      <c r="J73" s="9">
        <v>0</v>
      </c>
      <c r="K73" s="11">
        <v>3</v>
      </c>
      <c r="L73" s="11" t="s">
        <v>48</v>
      </c>
      <c r="M73" s="47"/>
      <c r="N73" s="14">
        <v>4</v>
      </c>
      <c r="O73" s="14"/>
      <c r="P73" s="14"/>
      <c r="Q73" s="50" t="s">
        <v>51</v>
      </c>
      <c r="R73" s="51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</row>
    <row r="74" spans="1:39" ht="25.05" customHeight="1">
      <c r="B74" s="44"/>
      <c r="C74" s="44"/>
      <c r="D74" s="44"/>
      <c r="E74" s="45"/>
      <c r="F74" s="45"/>
      <c r="G74" s="45"/>
      <c r="H74" s="45"/>
      <c r="I74" s="49" t="s">
        <v>52</v>
      </c>
      <c r="J74" s="9">
        <v>0</v>
      </c>
      <c r="K74" s="11">
        <v>18</v>
      </c>
      <c r="L74" s="11" t="s">
        <v>48</v>
      </c>
      <c r="M74" s="47"/>
      <c r="N74" s="14">
        <v>1</v>
      </c>
      <c r="O74" s="14"/>
      <c r="P74" s="14"/>
      <c r="Q74" s="50" t="s">
        <v>53</v>
      </c>
      <c r="R74" s="51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</row>
    <row r="75" spans="1:39" ht="25.05" customHeight="1">
      <c r="B75" s="44"/>
      <c r="C75" s="44"/>
      <c r="D75" s="44"/>
      <c r="E75" s="45"/>
      <c r="F75" s="45"/>
      <c r="G75" s="45"/>
      <c r="H75" s="45"/>
      <c r="I75" s="52" t="s">
        <v>54</v>
      </c>
      <c r="J75" s="53">
        <v>0</v>
      </c>
      <c r="K75" s="11">
        <v>5</v>
      </c>
      <c r="L75" s="54" t="s">
        <v>48</v>
      </c>
      <c r="M75" s="47"/>
      <c r="N75" s="14">
        <v>3</v>
      </c>
      <c r="O75" s="14"/>
      <c r="P75" s="14"/>
      <c r="Q75" s="50" t="s">
        <v>55</v>
      </c>
      <c r="R75" s="51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</row>
    <row r="76" spans="1:39" ht="25.05" customHeight="1">
      <c r="B76" s="44"/>
      <c r="C76" s="44"/>
      <c r="D76" s="44"/>
      <c r="E76" s="45"/>
      <c r="F76" s="45"/>
      <c r="G76" s="45"/>
      <c r="H76" s="45"/>
      <c r="I76" s="49" t="s">
        <v>56</v>
      </c>
      <c r="J76" s="9">
        <v>0</v>
      </c>
      <c r="K76" s="11">
        <v>36</v>
      </c>
      <c r="L76" s="11" t="s">
        <v>48</v>
      </c>
      <c r="M76" s="47"/>
      <c r="N76"/>
      <c r="O76"/>
      <c r="P76"/>
      <c r="Q76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</row>
    <row r="77" spans="1:39" ht="25.05" customHeight="1">
      <c r="B77" s="44"/>
      <c r="C77" s="44"/>
      <c r="D77" s="44"/>
      <c r="E77" s="45"/>
      <c r="F77" s="45"/>
      <c r="G77" s="45"/>
      <c r="H77" s="45"/>
      <c r="M77" s="47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</row>
    <row r="78" spans="1:39" ht="25.05" customHeight="1"/>
  </sheetData>
  <mergeCells count="12">
    <mergeCell ref="I2:I3"/>
    <mergeCell ref="J2:J3"/>
    <mergeCell ref="K2:K3"/>
    <mergeCell ref="L2:L3"/>
    <mergeCell ref="M2:AM2"/>
    <mergeCell ref="F2:F3"/>
    <mergeCell ref="G2:H2"/>
    <mergeCell ref="D14:E14"/>
    <mergeCell ref="B2:B3"/>
    <mergeCell ref="C2:C3"/>
    <mergeCell ref="D2:D3"/>
    <mergeCell ref="E2:E3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48F8-781B-4824-9DB2-36F3F5888EC1}">
  <sheetPr>
    <pageSetUpPr fitToPage="1"/>
  </sheetPr>
  <dimension ref="A1:AM63"/>
  <sheetViews>
    <sheetView tabSelected="1" zoomScale="40" zoomScaleNormal="40" workbookViewId="0">
      <pane xSplit="12" ySplit="3" topLeftCell="M28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6.109375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6" style="2" customWidth="1"/>
    <col min="8" max="8" width="15.1093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1" width="16.21875" style="2" customWidth="1"/>
    <col min="32" max="32" width="17.77734375" style="2" customWidth="1"/>
    <col min="33" max="38" width="16.21875" style="2" customWidth="1"/>
    <col min="39" max="39" width="14.44140625" style="2" customWidth="1"/>
    <col min="40" max="16384" width="10.21875" style="2"/>
  </cols>
  <sheetData>
    <row r="1" spans="1:39" ht="18.75" customHeight="1">
      <c r="A1" s="2" t="s">
        <v>0</v>
      </c>
    </row>
    <row r="2" spans="1:39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2"/>
    </row>
    <row r="3" spans="1:39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416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</row>
    <row r="4" spans="1:39" ht="25.05" customHeight="1">
      <c r="B4" s="13">
        <v>46108</v>
      </c>
      <c r="C4" s="60" t="s">
        <v>40</v>
      </c>
      <c r="D4" s="178" t="s">
        <v>448</v>
      </c>
      <c r="E4" s="7" t="s">
        <v>41</v>
      </c>
      <c r="F4" s="8" t="s">
        <v>42</v>
      </c>
      <c r="G4" s="9">
        <v>0.79166666666666663</v>
      </c>
      <c r="H4" s="9">
        <v>0.80208333333333337</v>
      </c>
      <c r="I4" s="10">
        <f t="shared" ref="I4:I14" si="0">H4-G4</f>
        <v>1.0416666666666741E-2</v>
      </c>
      <c r="J4" s="11">
        <v>8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25.05" customHeight="1">
      <c r="B5" s="13"/>
      <c r="C5" s="14"/>
      <c r="D5" s="30" t="s">
        <v>301</v>
      </c>
      <c r="E5" s="15" t="s">
        <v>449</v>
      </c>
      <c r="F5" s="55" t="s">
        <v>232</v>
      </c>
      <c r="G5" s="9">
        <v>1.0416666666666666E-2</v>
      </c>
      <c r="H5" s="9">
        <v>2.4305555555555556E-2</v>
      </c>
      <c r="I5" s="10">
        <f t="shared" si="0"/>
        <v>1.388888888888889E-2</v>
      </c>
      <c r="J5" s="11">
        <v>1</v>
      </c>
      <c r="K5" s="11">
        <v>7.6</v>
      </c>
      <c r="L5" s="16">
        <f t="shared" ref="L5:L14" si="1">IFERROR(((K5/(J5*I5)/24)),"0")</f>
        <v>22.799999999999997</v>
      </c>
      <c r="M5" s="11">
        <v>20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 ht="25.5" customHeight="1">
      <c r="B6" s="13"/>
      <c r="C6" s="14"/>
      <c r="D6" s="6"/>
      <c r="E6" s="15" t="s">
        <v>450</v>
      </c>
      <c r="F6" s="55" t="s">
        <v>64</v>
      </c>
      <c r="G6" s="9">
        <v>2.7777777777777776E-2</v>
      </c>
      <c r="H6" s="9">
        <v>7.6388888888888895E-2</v>
      </c>
      <c r="I6" s="10">
        <f t="shared" si="0"/>
        <v>4.8611111111111119E-2</v>
      </c>
      <c r="J6" s="11">
        <v>1</v>
      </c>
      <c r="K6" s="11">
        <v>54.8</v>
      </c>
      <c r="L6" s="16">
        <f t="shared" si="1"/>
        <v>46.971428571428561</v>
      </c>
      <c r="M6" s="11">
        <v>70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ht="25.05" customHeight="1">
      <c r="B7" s="13"/>
      <c r="C7" s="14"/>
      <c r="D7" s="6"/>
      <c r="E7" s="15" t="s">
        <v>451</v>
      </c>
      <c r="F7" s="88" t="s">
        <v>42</v>
      </c>
      <c r="G7" s="9">
        <v>1.3888888888888888E-2</v>
      </c>
      <c r="H7" s="9">
        <v>0.125</v>
      </c>
      <c r="I7" s="10">
        <f t="shared" si="0"/>
        <v>0.1111111111111111</v>
      </c>
      <c r="J7" s="11">
        <v>2</v>
      </c>
      <c r="K7" s="11">
        <v>298.8</v>
      </c>
      <c r="L7" s="16">
        <f t="shared" si="1"/>
        <v>56.025000000000006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spans="1:39" ht="25.05" customHeight="1">
      <c r="B8" s="13"/>
      <c r="C8" s="14"/>
      <c r="D8" s="6"/>
      <c r="E8" s="15" t="s">
        <v>452</v>
      </c>
      <c r="F8" s="55" t="s">
        <v>453</v>
      </c>
      <c r="G8" s="9">
        <v>2.0833333333333332E-2</v>
      </c>
      <c r="H8" s="9">
        <v>0.20694444444444443</v>
      </c>
      <c r="I8" s="10">
        <f t="shared" si="0"/>
        <v>0.18611111111111109</v>
      </c>
      <c r="J8" s="11">
        <v>12</v>
      </c>
      <c r="K8" s="11">
        <v>313.83999999999997</v>
      </c>
      <c r="L8" s="16">
        <f t="shared" si="1"/>
        <v>5.8552238805970154</v>
      </c>
      <c r="M8" s="11"/>
      <c r="N8" s="11"/>
      <c r="O8" s="11"/>
      <c r="P8" s="11"/>
      <c r="Q8" s="11"/>
      <c r="R8" s="12"/>
      <c r="S8" s="12">
        <v>268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39" ht="25.05" customHeight="1">
      <c r="B9" s="13"/>
      <c r="C9" s="14"/>
      <c r="D9" s="6"/>
      <c r="E9" s="129" t="s">
        <v>454</v>
      </c>
      <c r="F9" s="55" t="s">
        <v>232</v>
      </c>
      <c r="G9" s="9">
        <v>0.91319444444444442</v>
      </c>
      <c r="H9" s="9">
        <v>0.92013888888888884</v>
      </c>
      <c r="I9" s="10">
        <f t="shared" si="0"/>
        <v>6.9444444444444198E-3</v>
      </c>
      <c r="J9" s="11">
        <v>1</v>
      </c>
      <c r="K9" s="11">
        <v>8</v>
      </c>
      <c r="L9" s="16">
        <f t="shared" si="1"/>
        <v>48.000000000000171</v>
      </c>
      <c r="M9" s="11">
        <v>10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39" ht="25.05" customHeight="1">
      <c r="B10" s="13"/>
      <c r="C10" s="14"/>
      <c r="D10" s="6"/>
      <c r="E10" s="113" t="s">
        <v>455</v>
      </c>
      <c r="F10" s="55" t="s">
        <v>64</v>
      </c>
      <c r="G10" s="9">
        <v>0.90625</v>
      </c>
      <c r="H10" s="9">
        <v>0.93055555555555558</v>
      </c>
      <c r="I10" s="10">
        <f t="shared" si="0"/>
        <v>2.430555555555558E-2</v>
      </c>
      <c r="J10" s="11">
        <v>8</v>
      </c>
      <c r="K10" s="11">
        <v>128</v>
      </c>
      <c r="L10" s="16">
        <f t="shared" si="1"/>
        <v>27.428571428571402</v>
      </c>
      <c r="M10" s="11"/>
      <c r="N10" s="11"/>
      <c r="O10" s="11"/>
      <c r="P10" s="11"/>
      <c r="Q10" s="11"/>
      <c r="R10" s="12"/>
      <c r="S10" s="12">
        <v>35</v>
      </c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 ht="25.05" customHeight="1">
      <c r="B11" s="13"/>
      <c r="C11" s="14"/>
      <c r="D11" s="6"/>
      <c r="E11" s="15" t="s">
        <v>456</v>
      </c>
      <c r="F11" s="88" t="s">
        <v>42</v>
      </c>
      <c r="G11" s="9">
        <v>0.1111111111111111</v>
      </c>
      <c r="H11" s="9">
        <v>0.1875</v>
      </c>
      <c r="I11" s="10">
        <f t="shared" si="0"/>
        <v>7.6388888888888895E-2</v>
      </c>
      <c r="J11" s="11">
        <v>4</v>
      </c>
      <c r="K11" s="11">
        <v>288</v>
      </c>
      <c r="L11" s="16">
        <f t="shared" si="1"/>
        <v>39.272727272727273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ht="25.05" customHeight="1">
      <c r="B12" s="13"/>
      <c r="C12" s="14"/>
      <c r="D12" s="6"/>
      <c r="E12" s="15" t="s">
        <v>457</v>
      </c>
      <c r="F12" s="55" t="s">
        <v>63</v>
      </c>
      <c r="G12" s="9">
        <v>0.19097222222222221</v>
      </c>
      <c r="H12" s="9">
        <v>0.22916666666666666</v>
      </c>
      <c r="I12" s="10">
        <f t="shared" si="0"/>
        <v>3.8194444444444448E-2</v>
      </c>
      <c r="J12" s="11">
        <v>8</v>
      </c>
      <c r="K12" s="11">
        <v>152</v>
      </c>
      <c r="L12" s="16">
        <f t="shared" si="1"/>
        <v>20.727272727272727</v>
      </c>
      <c r="M12" s="11"/>
      <c r="N12" s="11"/>
      <c r="O12" s="11"/>
      <c r="P12" s="11"/>
      <c r="Q12" s="11"/>
      <c r="R12" s="12"/>
      <c r="S12" s="12">
        <v>55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ht="25.05" customHeight="1">
      <c r="B13" s="13"/>
      <c r="C13" s="14"/>
      <c r="D13" s="6"/>
      <c r="E13" s="15" t="s">
        <v>458</v>
      </c>
      <c r="F13" s="55" t="s">
        <v>232</v>
      </c>
      <c r="G13" s="9">
        <v>0.11458333333333333</v>
      </c>
      <c r="H13" s="9">
        <v>0.125</v>
      </c>
      <c r="I13" s="10">
        <f t="shared" si="0"/>
        <v>1.0416666666666671E-2</v>
      </c>
      <c r="J13" s="11">
        <v>1</v>
      </c>
      <c r="K13" s="11">
        <v>2.8</v>
      </c>
      <c r="L13" s="16">
        <f t="shared" si="1"/>
        <v>11.199999999999994</v>
      </c>
      <c r="M13" s="11">
        <v>15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5.05" customHeight="1">
      <c r="B14" s="13"/>
      <c r="C14" s="14"/>
      <c r="D14" s="6"/>
      <c r="E14" s="15"/>
      <c r="F14" s="55"/>
      <c r="G14" s="9"/>
      <c r="H14" s="9"/>
      <c r="I14" s="10">
        <f t="shared" si="0"/>
        <v>0</v>
      </c>
      <c r="J14" s="11"/>
      <c r="K14" s="11"/>
      <c r="L14" s="16" t="str">
        <f t="shared" si="1"/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s="28" customFormat="1" ht="25.05" customHeight="1">
      <c r="A15" s="2"/>
      <c r="B15" s="21"/>
      <c r="C15" s="22"/>
      <c r="D15" s="23"/>
      <c r="E15" s="24"/>
      <c r="F15" s="24"/>
      <c r="G15" s="25"/>
      <c r="H15" s="25"/>
      <c r="I15" s="26"/>
      <c r="J15" s="27"/>
      <c r="K15" s="27">
        <f t="shared" ref="K15:AM15" si="2">SUM(K4:K12)</f>
        <v>1251.04</v>
      </c>
      <c r="L15" s="39">
        <f t="shared" si="2"/>
        <v>267.08022388059715</v>
      </c>
      <c r="M15" s="27">
        <f t="shared" si="2"/>
        <v>100</v>
      </c>
      <c r="N15" s="27">
        <f t="shared" si="2"/>
        <v>0</v>
      </c>
      <c r="O15" s="27">
        <f t="shared" si="2"/>
        <v>0</v>
      </c>
      <c r="P15" s="27">
        <f t="shared" si="2"/>
        <v>0</v>
      </c>
      <c r="Q15" s="27">
        <f t="shared" si="2"/>
        <v>0</v>
      </c>
      <c r="R15" s="27">
        <f t="shared" si="2"/>
        <v>0</v>
      </c>
      <c r="S15" s="27">
        <f t="shared" si="2"/>
        <v>358</v>
      </c>
      <c r="T15" s="27">
        <f t="shared" si="2"/>
        <v>0</v>
      </c>
      <c r="U15" s="27">
        <f t="shared" si="2"/>
        <v>0</v>
      </c>
      <c r="V15" s="27">
        <f t="shared" si="2"/>
        <v>0</v>
      </c>
      <c r="W15" s="27">
        <f t="shared" si="2"/>
        <v>0</v>
      </c>
      <c r="X15" s="27">
        <f t="shared" si="2"/>
        <v>0</v>
      </c>
      <c r="Y15" s="27">
        <f t="shared" si="2"/>
        <v>0</v>
      </c>
      <c r="Z15" s="27">
        <f t="shared" si="2"/>
        <v>0</v>
      </c>
      <c r="AA15" s="27">
        <f t="shared" si="2"/>
        <v>0</v>
      </c>
      <c r="AB15" s="27">
        <f t="shared" si="2"/>
        <v>0</v>
      </c>
      <c r="AC15" s="27">
        <f t="shared" si="2"/>
        <v>0</v>
      </c>
      <c r="AD15" s="27">
        <f t="shared" si="2"/>
        <v>0</v>
      </c>
      <c r="AE15" s="27">
        <f t="shared" si="2"/>
        <v>0</v>
      </c>
      <c r="AF15" s="27">
        <f t="shared" si="2"/>
        <v>0</v>
      </c>
      <c r="AG15" s="27">
        <f t="shared" si="2"/>
        <v>0</v>
      </c>
      <c r="AH15" s="27">
        <f t="shared" si="2"/>
        <v>0</v>
      </c>
      <c r="AI15" s="27">
        <f t="shared" si="2"/>
        <v>0</v>
      </c>
      <c r="AJ15" s="27">
        <f t="shared" si="2"/>
        <v>0</v>
      </c>
      <c r="AK15" s="27">
        <f t="shared" si="2"/>
        <v>0</v>
      </c>
      <c r="AL15" s="27">
        <f t="shared" si="2"/>
        <v>0</v>
      </c>
      <c r="AM15" s="27">
        <f t="shared" si="2"/>
        <v>0</v>
      </c>
    </row>
    <row r="16" spans="1:39" ht="25.05" customHeight="1">
      <c r="B16" s="13"/>
      <c r="C16" s="14" t="s">
        <v>43</v>
      </c>
      <c r="D16" s="6"/>
      <c r="E16" s="7" t="s">
        <v>41</v>
      </c>
      <c r="F16" s="8" t="s">
        <v>42</v>
      </c>
      <c r="G16" s="9"/>
      <c r="H16" s="9"/>
      <c r="I16" s="10">
        <f>H16-G16</f>
        <v>0</v>
      </c>
      <c r="J16" s="11"/>
      <c r="K16" s="11"/>
      <c r="L16" s="16" t="str">
        <f>IFERROR(((K16/(J16*I16)/24)),"0")</f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25.05" customHeight="1">
      <c r="B17" s="13"/>
      <c r="C17" s="14"/>
      <c r="D17" s="18"/>
      <c r="E17" s="6"/>
      <c r="F17" s="14"/>
      <c r="G17" s="9"/>
      <c r="H17" s="9"/>
      <c r="I17" s="10"/>
      <c r="J17" s="11"/>
      <c r="K17" s="11"/>
      <c r="L17" s="16"/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spans="1:39" s="28" customFormat="1" ht="25.05" customHeight="1">
      <c r="A18" s="2"/>
      <c r="B18" s="21"/>
      <c r="C18" s="22"/>
      <c r="D18" s="23"/>
      <c r="E18" s="24"/>
      <c r="F18" s="22"/>
      <c r="G18" s="25"/>
      <c r="H18" s="25"/>
      <c r="I18" s="26"/>
      <c r="J18" s="27"/>
      <c r="K18" s="27">
        <f t="shared" ref="K18:AM18" si="3">SUM(K16:K17)</f>
        <v>0</v>
      </c>
      <c r="L18" s="27">
        <f t="shared" si="3"/>
        <v>0</v>
      </c>
      <c r="M18" s="27">
        <f t="shared" si="3"/>
        <v>0</v>
      </c>
      <c r="N18" s="27">
        <f t="shared" si="3"/>
        <v>0</v>
      </c>
      <c r="O18" s="27">
        <f t="shared" si="3"/>
        <v>0</v>
      </c>
      <c r="P18" s="27">
        <f t="shared" si="3"/>
        <v>0</v>
      </c>
      <c r="Q18" s="27">
        <f t="shared" si="3"/>
        <v>0</v>
      </c>
      <c r="R18" s="27">
        <f t="shared" si="3"/>
        <v>0</v>
      </c>
      <c r="S18" s="27">
        <f t="shared" si="3"/>
        <v>0</v>
      </c>
      <c r="T18" s="27">
        <f t="shared" si="3"/>
        <v>0</v>
      </c>
      <c r="U18" s="27">
        <f t="shared" si="3"/>
        <v>0</v>
      </c>
      <c r="V18" s="27">
        <f t="shared" si="3"/>
        <v>0</v>
      </c>
      <c r="W18" s="27">
        <f t="shared" si="3"/>
        <v>0</v>
      </c>
      <c r="X18" s="27">
        <f t="shared" si="3"/>
        <v>0</v>
      </c>
      <c r="Y18" s="27">
        <f t="shared" si="3"/>
        <v>0</v>
      </c>
      <c r="Z18" s="27">
        <f t="shared" si="3"/>
        <v>0</v>
      </c>
      <c r="AA18" s="27">
        <f t="shared" si="3"/>
        <v>0</v>
      </c>
      <c r="AB18" s="27">
        <f t="shared" si="3"/>
        <v>0</v>
      </c>
      <c r="AC18" s="27">
        <f t="shared" si="3"/>
        <v>0</v>
      </c>
      <c r="AD18" s="27">
        <f t="shared" si="3"/>
        <v>0</v>
      </c>
      <c r="AE18" s="27">
        <f t="shared" si="3"/>
        <v>0</v>
      </c>
      <c r="AF18" s="27">
        <f t="shared" si="3"/>
        <v>0</v>
      </c>
      <c r="AG18" s="27">
        <f t="shared" si="3"/>
        <v>0</v>
      </c>
      <c r="AH18" s="27">
        <f t="shared" si="3"/>
        <v>0</v>
      </c>
      <c r="AI18" s="27">
        <f t="shared" si="3"/>
        <v>0</v>
      </c>
      <c r="AJ18" s="27">
        <f t="shared" si="3"/>
        <v>0</v>
      </c>
      <c r="AK18" s="27">
        <f t="shared" si="3"/>
        <v>0</v>
      </c>
      <c r="AL18" s="27">
        <f t="shared" si="3"/>
        <v>0</v>
      </c>
      <c r="AM18" s="27">
        <f t="shared" si="3"/>
        <v>0</v>
      </c>
    </row>
    <row r="19" spans="1:39" ht="25.05" customHeight="1">
      <c r="B19" s="13">
        <v>46108</v>
      </c>
      <c r="C19" s="29" t="s">
        <v>44</v>
      </c>
      <c r="D19" s="178" t="s">
        <v>448</v>
      </c>
      <c r="E19" s="7" t="s">
        <v>41</v>
      </c>
      <c r="F19" s="8" t="s">
        <v>42</v>
      </c>
      <c r="G19" s="9">
        <v>0.79166666666666663</v>
      </c>
      <c r="H19" s="9">
        <v>0.83333333333333337</v>
      </c>
      <c r="I19" s="10">
        <f t="shared" ref="I19:I51" si="4">H19-G19</f>
        <v>4.1666666666666741E-2</v>
      </c>
      <c r="J19" s="11">
        <v>4</v>
      </c>
      <c r="K19" s="62" t="s">
        <v>42</v>
      </c>
      <c r="L19" s="64" t="s">
        <v>42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4"/>
    </row>
    <row r="20" spans="1:39" ht="25.05" customHeight="1">
      <c r="B20" s="13"/>
      <c r="C20" s="29"/>
      <c r="D20" s="30" t="s">
        <v>301</v>
      </c>
      <c r="E20" s="19" t="s">
        <v>459</v>
      </c>
      <c r="F20" s="8" t="s">
        <v>42</v>
      </c>
      <c r="G20" s="9">
        <v>0.94097222222222221</v>
      </c>
      <c r="H20" s="9">
        <v>0.96388888888888891</v>
      </c>
      <c r="I20" s="10">
        <f t="shared" si="4"/>
        <v>2.2916666666666696E-2</v>
      </c>
      <c r="J20" s="11">
        <v>4</v>
      </c>
      <c r="K20" s="11">
        <v>63.44</v>
      </c>
      <c r="L20" s="16">
        <f t="shared" ref="L20:L52" si="5">IFERROR(((K20/(J20*I20)/24)),"0")</f>
        <v>28.836363636363597</v>
      </c>
      <c r="M20" s="11"/>
      <c r="N20" s="11"/>
      <c r="O20" s="11"/>
      <c r="P20" s="11"/>
      <c r="Q20" s="11"/>
      <c r="R20" s="12"/>
      <c r="S20" s="12"/>
      <c r="T20" s="11"/>
      <c r="U20" s="11"/>
      <c r="V20" s="12">
        <v>2</v>
      </c>
      <c r="W20" s="12"/>
      <c r="X20" s="11"/>
      <c r="Y20" s="11"/>
      <c r="Z20" s="11"/>
      <c r="AA20" s="11"/>
      <c r="AB20" s="11"/>
      <c r="AC20" s="11"/>
      <c r="AD20" s="11">
        <v>33</v>
      </c>
      <c r="AE20" s="11"/>
      <c r="AF20" s="11"/>
      <c r="AG20" s="11"/>
      <c r="AH20" s="11"/>
      <c r="AI20" s="11"/>
      <c r="AJ20" s="11"/>
      <c r="AK20" s="11"/>
      <c r="AL20" s="11"/>
      <c r="AM20" s="14"/>
    </row>
    <row r="21" spans="1:39" ht="25.05" customHeight="1">
      <c r="B21" s="13"/>
      <c r="C21" s="29"/>
      <c r="D21" s="124" t="s">
        <v>460</v>
      </c>
      <c r="E21" s="19" t="s">
        <v>459</v>
      </c>
      <c r="F21" s="8" t="s">
        <v>42</v>
      </c>
      <c r="G21" s="9">
        <v>0.94305555555555554</v>
      </c>
      <c r="H21" s="9">
        <v>0.96527777777777779</v>
      </c>
      <c r="I21" s="10">
        <f t="shared" si="4"/>
        <v>2.2222222222222254E-2</v>
      </c>
      <c r="J21" s="11">
        <v>4</v>
      </c>
      <c r="K21" s="11">
        <v>63.44</v>
      </c>
      <c r="L21" s="16">
        <f t="shared" si="5"/>
        <v>29.737499999999955</v>
      </c>
      <c r="M21" s="11"/>
      <c r="N21" s="11"/>
      <c r="O21" s="11"/>
      <c r="P21" s="11"/>
      <c r="Q21" s="11"/>
      <c r="R21" s="12"/>
      <c r="S21" s="12"/>
      <c r="T21" s="11"/>
      <c r="U21" s="11"/>
      <c r="V21" s="12">
        <v>2</v>
      </c>
      <c r="W21" s="12"/>
      <c r="X21" s="11"/>
      <c r="Y21" s="11"/>
      <c r="Z21" s="11"/>
      <c r="AA21" s="11"/>
      <c r="AB21" s="11"/>
      <c r="AC21" s="11"/>
      <c r="AD21" s="11"/>
      <c r="AE21" s="11">
        <v>32</v>
      </c>
      <c r="AF21" s="11"/>
      <c r="AG21" s="11"/>
      <c r="AH21" s="11"/>
      <c r="AI21" s="11"/>
      <c r="AJ21" s="11"/>
      <c r="AK21" s="11"/>
      <c r="AL21" s="11"/>
      <c r="AM21" s="14"/>
    </row>
    <row r="22" spans="1:39" ht="25.05" customHeight="1">
      <c r="B22" s="13"/>
      <c r="C22" s="29"/>
      <c r="D22" s="30"/>
      <c r="E22" s="19" t="s">
        <v>267</v>
      </c>
      <c r="F22" s="8" t="s">
        <v>42</v>
      </c>
      <c r="G22" s="9">
        <v>8.3333333333333329E-2</v>
      </c>
      <c r="H22" s="9">
        <v>0.11458333333333333</v>
      </c>
      <c r="I22" s="10">
        <f t="shared" si="4"/>
        <v>3.125E-2</v>
      </c>
      <c r="J22" s="11">
        <v>4</v>
      </c>
      <c r="K22" s="11">
        <v>88.75</v>
      </c>
      <c r="L22" s="16">
        <f t="shared" si="5"/>
        <v>29.583333333333332</v>
      </c>
      <c r="M22" s="11"/>
      <c r="N22" s="11"/>
      <c r="O22" s="11"/>
      <c r="P22" s="11"/>
      <c r="Q22" s="11"/>
      <c r="R22" s="12"/>
      <c r="S22" s="12"/>
      <c r="T22" s="11"/>
      <c r="U22" s="11"/>
      <c r="V22" s="12">
        <v>2</v>
      </c>
      <c r="W22" s="12"/>
      <c r="X22" s="11"/>
      <c r="Y22" s="11"/>
      <c r="Z22" s="11"/>
      <c r="AA22" s="11"/>
      <c r="AB22" s="11"/>
      <c r="AC22" s="11"/>
      <c r="AD22" s="11">
        <v>45</v>
      </c>
      <c r="AE22" s="11"/>
      <c r="AF22" s="11"/>
      <c r="AG22" s="11"/>
      <c r="AH22" s="11"/>
      <c r="AI22" s="11"/>
      <c r="AJ22" s="11"/>
      <c r="AK22" s="11"/>
      <c r="AL22" s="11"/>
      <c r="AM22" s="14"/>
    </row>
    <row r="23" spans="1:39" ht="25.05" customHeight="1">
      <c r="B23" s="13"/>
      <c r="C23" s="29"/>
      <c r="D23" s="30"/>
      <c r="E23" s="19" t="s">
        <v>268</v>
      </c>
      <c r="F23" s="8" t="s">
        <v>42</v>
      </c>
      <c r="G23" s="9">
        <v>0.11944444444444445</v>
      </c>
      <c r="H23" s="9">
        <v>0.14305555555555555</v>
      </c>
      <c r="I23" s="10">
        <f t="shared" si="4"/>
        <v>2.3611111111111097E-2</v>
      </c>
      <c r="J23" s="11">
        <v>4</v>
      </c>
      <c r="K23" s="11">
        <v>83.48</v>
      </c>
      <c r="L23" s="16">
        <f t="shared" si="5"/>
        <v>36.829411764705902</v>
      </c>
      <c r="M23" s="11"/>
      <c r="N23" s="11"/>
      <c r="O23" s="11"/>
      <c r="P23" s="11"/>
      <c r="Q23" s="11"/>
      <c r="R23" s="12"/>
      <c r="S23" s="12"/>
      <c r="T23" s="11"/>
      <c r="U23" s="11"/>
      <c r="V23" s="12">
        <v>2</v>
      </c>
      <c r="W23" s="12"/>
      <c r="X23" s="11"/>
      <c r="Y23" s="11"/>
      <c r="Z23" s="11"/>
      <c r="AA23" s="11"/>
      <c r="AB23" s="11"/>
      <c r="AC23" s="11"/>
      <c r="AD23" s="11"/>
      <c r="AE23" s="11">
        <v>34</v>
      </c>
      <c r="AF23" s="11"/>
      <c r="AG23" s="11"/>
      <c r="AH23" s="11"/>
      <c r="AI23" s="11"/>
      <c r="AJ23" s="11"/>
      <c r="AK23" s="11"/>
      <c r="AL23" s="11"/>
      <c r="AM23" s="14"/>
    </row>
    <row r="24" spans="1:39" ht="25.05" customHeight="1">
      <c r="B24" s="13"/>
      <c r="C24" s="29"/>
      <c r="D24" s="30"/>
      <c r="E24" s="19" t="s">
        <v>269</v>
      </c>
      <c r="F24" s="8" t="s">
        <v>42</v>
      </c>
      <c r="G24" s="9">
        <v>0.16041666666666668</v>
      </c>
      <c r="H24" s="9">
        <v>0.18611111111111112</v>
      </c>
      <c r="I24" s="10">
        <f t="shared" si="4"/>
        <v>2.5694444444444436E-2</v>
      </c>
      <c r="J24" s="11">
        <v>4</v>
      </c>
      <c r="K24" s="11">
        <v>88.6</v>
      </c>
      <c r="L24" s="16">
        <f t="shared" si="5"/>
        <v>35.918918918918926</v>
      </c>
      <c r="M24" s="11"/>
      <c r="N24" s="11"/>
      <c r="O24" s="11"/>
      <c r="P24" s="11"/>
      <c r="Q24" s="11"/>
      <c r="R24" s="12"/>
      <c r="S24" s="12"/>
      <c r="T24" s="11"/>
      <c r="U24" s="11"/>
      <c r="V24" s="12">
        <v>2</v>
      </c>
      <c r="W24" s="12"/>
      <c r="X24" s="11"/>
      <c r="Y24" s="11"/>
      <c r="Z24" s="11"/>
      <c r="AA24" s="11"/>
      <c r="AB24" s="11"/>
      <c r="AC24" s="11"/>
      <c r="AD24" s="11">
        <v>37</v>
      </c>
      <c r="AE24" s="11"/>
      <c r="AF24" s="11"/>
      <c r="AG24" s="11"/>
      <c r="AH24" s="11"/>
      <c r="AI24" s="11"/>
      <c r="AJ24" s="11"/>
      <c r="AK24" s="11"/>
      <c r="AL24" s="11"/>
      <c r="AM24" s="14"/>
    </row>
    <row r="25" spans="1:39" ht="25.05" customHeight="1">
      <c r="B25" s="13"/>
      <c r="C25" s="29"/>
      <c r="D25" s="30"/>
      <c r="E25" s="19" t="s">
        <v>270</v>
      </c>
      <c r="F25" s="8" t="s">
        <v>42</v>
      </c>
      <c r="G25" s="9">
        <v>0.19652777777777777</v>
      </c>
      <c r="H25" s="9">
        <v>0.22222222222222221</v>
      </c>
      <c r="I25" s="10">
        <f t="shared" si="4"/>
        <v>2.5694444444444436E-2</v>
      </c>
      <c r="J25" s="11">
        <v>4</v>
      </c>
      <c r="K25" s="11">
        <v>83.45</v>
      </c>
      <c r="L25" s="16">
        <f t="shared" si="5"/>
        <v>33.831081081081095</v>
      </c>
      <c r="M25" s="11"/>
      <c r="N25" s="11"/>
      <c r="O25" s="11"/>
      <c r="P25" s="11"/>
      <c r="Q25" s="11"/>
      <c r="R25" s="12"/>
      <c r="S25" s="12"/>
      <c r="T25" s="11"/>
      <c r="U25" s="11"/>
      <c r="V25" s="12">
        <v>2</v>
      </c>
      <c r="W25" s="12"/>
      <c r="X25" s="11"/>
      <c r="Y25" s="11"/>
      <c r="Z25" s="11"/>
      <c r="AA25" s="11"/>
      <c r="AB25" s="11"/>
      <c r="AC25" s="11"/>
      <c r="AD25" s="11"/>
      <c r="AE25" s="11">
        <v>37</v>
      </c>
      <c r="AF25" s="11"/>
      <c r="AG25" s="11"/>
      <c r="AH25" s="11"/>
      <c r="AI25" s="11"/>
      <c r="AJ25" s="11"/>
      <c r="AK25" s="11"/>
      <c r="AL25" s="11"/>
      <c r="AM25" s="14"/>
    </row>
    <row r="26" spans="1:39" ht="25.05" customHeight="1">
      <c r="B26" s="13"/>
      <c r="C26" s="29"/>
      <c r="D26" s="30"/>
      <c r="E26" s="19"/>
      <c r="F26" s="8" t="s">
        <v>42</v>
      </c>
      <c r="G26" s="9"/>
      <c r="H26" s="9"/>
      <c r="I26" s="10">
        <f t="shared" si="4"/>
        <v>0</v>
      </c>
      <c r="J26" s="11"/>
      <c r="K26" s="11"/>
      <c r="L26" s="16" t="str">
        <f t="shared" si="5"/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4"/>
    </row>
    <row r="27" spans="1:39" ht="25.05" customHeight="1">
      <c r="B27" s="13"/>
      <c r="C27" s="29"/>
      <c r="D27" s="30" t="s">
        <v>386</v>
      </c>
      <c r="E27" s="19" t="s">
        <v>461</v>
      </c>
      <c r="F27" s="8" t="s">
        <v>42</v>
      </c>
      <c r="G27" s="9">
        <v>0.95625000000000004</v>
      </c>
      <c r="H27" s="9">
        <v>0.97222222222222221</v>
      </c>
      <c r="I27" s="10">
        <f t="shared" si="4"/>
        <v>1.5972222222222165E-2</v>
      </c>
      <c r="J27" s="11">
        <v>7</v>
      </c>
      <c r="K27" s="11">
        <v>82.12</v>
      </c>
      <c r="L27" s="16">
        <f t="shared" si="5"/>
        <v>30.603726708074646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>
        <v>2</v>
      </c>
      <c r="X27" s="11">
        <v>7.6</v>
      </c>
      <c r="Y27" s="11">
        <v>7.6</v>
      </c>
      <c r="Z27" s="11">
        <v>7.6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4"/>
    </row>
    <row r="28" spans="1:39" ht="25.05" customHeight="1">
      <c r="B28" s="13"/>
      <c r="C28" s="29"/>
      <c r="D28" s="30"/>
      <c r="E28" s="19" t="s">
        <v>462</v>
      </c>
      <c r="F28" s="8" t="s">
        <v>42</v>
      </c>
      <c r="G28" s="9">
        <v>0.96736111111111112</v>
      </c>
      <c r="H28" s="9">
        <v>0.98124999999999996</v>
      </c>
      <c r="I28" s="10">
        <f t="shared" si="4"/>
        <v>1.388888888888884E-2</v>
      </c>
      <c r="J28" s="11">
        <v>7</v>
      </c>
      <c r="K28" s="11">
        <v>84.29</v>
      </c>
      <c r="L28" s="16">
        <f t="shared" si="5"/>
        <v>36.124285714285847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>
        <v>2</v>
      </c>
      <c r="X28" s="11">
        <v>10</v>
      </c>
      <c r="Y28" s="11">
        <v>10</v>
      </c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4"/>
    </row>
    <row r="29" spans="1:39" ht="25.05" customHeight="1">
      <c r="B29" s="13"/>
      <c r="C29" s="29"/>
      <c r="D29" s="30"/>
      <c r="E29" s="19" t="s">
        <v>463</v>
      </c>
      <c r="F29" s="8" t="s">
        <v>42</v>
      </c>
      <c r="G29" s="9">
        <v>0.97430555555555554</v>
      </c>
      <c r="H29" s="9">
        <v>0.98888888888888893</v>
      </c>
      <c r="I29" s="10">
        <f t="shared" si="4"/>
        <v>1.4583333333333393E-2</v>
      </c>
      <c r="J29" s="11">
        <v>7</v>
      </c>
      <c r="K29" s="11">
        <v>85.07</v>
      </c>
      <c r="L29" s="16">
        <f t="shared" si="5"/>
        <v>34.722448979591697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>
        <v>2</v>
      </c>
      <c r="X29" s="11">
        <v>10.5</v>
      </c>
      <c r="Y29" s="11"/>
      <c r="Z29" s="11">
        <v>10.5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4"/>
    </row>
    <row r="30" spans="1:39" ht="25.05" customHeight="1">
      <c r="B30" s="13"/>
      <c r="C30" s="29"/>
      <c r="D30" s="30"/>
      <c r="E30" s="19" t="s">
        <v>464</v>
      </c>
      <c r="F30" s="8" t="s">
        <v>42</v>
      </c>
      <c r="G30" s="9">
        <v>0.9819444444444444</v>
      </c>
      <c r="H30" s="9">
        <v>0.99583333333333335</v>
      </c>
      <c r="I30" s="10">
        <f t="shared" si="4"/>
        <v>1.3888888888888951E-2</v>
      </c>
      <c r="J30" s="11">
        <v>7</v>
      </c>
      <c r="K30" s="11">
        <v>85.82</v>
      </c>
      <c r="L30" s="16">
        <f t="shared" si="5"/>
        <v>36.779999999999838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>
        <v>2</v>
      </c>
      <c r="X30" s="11"/>
      <c r="Y30" s="11">
        <v>10</v>
      </c>
      <c r="Z30" s="11">
        <v>10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4"/>
    </row>
    <row r="31" spans="1:39" ht="25.05" customHeight="1">
      <c r="B31" s="13"/>
      <c r="C31" s="29"/>
      <c r="D31" s="30"/>
      <c r="E31" s="19" t="s">
        <v>465</v>
      </c>
      <c r="F31" s="8" t="s">
        <v>42</v>
      </c>
      <c r="G31" s="9">
        <v>46107.989583333336</v>
      </c>
      <c r="H31" s="9">
        <v>46108.003472222219</v>
      </c>
      <c r="I31" s="10">
        <f t="shared" si="4"/>
        <v>1.3888888883229811E-2</v>
      </c>
      <c r="J31" s="11">
        <v>7</v>
      </c>
      <c r="K31" s="11">
        <v>85.18</v>
      </c>
      <c r="L31" s="16">
        <f t="shared" si="5"/>
        <v>36.505714300588672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2</v>
      </c>
      <c r="X31" s="11">
        <v>10</v>
      </c>
      <c r="Y31" s="11">
        <v>10</v>
      </c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4"/>
    </row>
    <row r="32" spans="1:39" ht="25.05" customHeight="1">
      <c r="B32" s="13"/>
      <c r="C32" s="29"/>
      <c r="D32" s="30"/>
      <c r="E32" s="19" t="s">
        <v>466</v>
      </c>
      <c r="F32" s="8" t="s">
        <v>42</v>
      </c>
      <c r="G32" s="9">
        <v>46107.996527777781</v>
      </c>
      <c r="H32" s="9">
        <v>46108.010416666664</v>
      </c>
      <c r="I32" s="10">
        <f t="shared" si="4"/>
        <v>1.3888888883229811E-2</v>
      </c>
      <c r="J32" s="11">
        <v>7</v>
      </c>
      <c r="K32" s="11">
        <v>85.31</v>
      </c>
      <c r="L32" s="16">
        <f t="shared" si="5"/>
        <v>36.561428586325661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2</v>
      </c>
      <c r="X32" s="11">
        <v>10</v>
      </c>
      <c r="Y32" s="11"/>
      <c r="Z32" s="11">
        <v>10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4"/>
    </row>
    <row r="33" spans="2:39" ht="25.05" customHeight="1">
      <c r="B33" s="13"/>
      <c r="C33" s="29"/>
      <c r="D33" s="30"/>
      <c r="E33" s="19" t="s">
        <v>467</v>
      </c>
      <c r="F33" s="8" t="s">
        <v>42</v>
      </c>
      <c r="G33" s="9">
        <v>7.8472222222222221E-2</v>
      </c>
      <c r="H33" s="9">
        <v>8.8888888888888892E-2</v>
      </c>
      <c r="I33" s="10">
        <f t="shared" si="4"/>
        <v>1.0416666666666671E-2</v>
      </c>
      <c r="J33" s="11">
        <v>7</v>
      </c>
      <c r="K33" s="11">
        <v>85.9</v>
      </c>
      <c r="L33" s="16">
        <f t="shared" si="5"/>
        <v>49.085714285714268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>
        <v>7.5</v>
      </c>
      <c r="Y33" s="11">
        <v>7.5</v>
      </c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4"/>
    </row>
    <row r="34" spans="2:39" ht="25.05" customHeight="1">
      <c r="B34" s="13"/>
      <c r="C34" s="29"/>
      <c r="D34" s="30"/>
      <c r="E34" s="19" t="s">
        <v>468</v>
      </c>
      <c r="F34" s="8" t="s">
        <v>42</v>
      </c>
      <c r="G34" s="9">
        <v>8.1944444444444445E-2</v>
      </c>
      <c r="H34" s="9">
        <v>9.375E-2</v>
      </c>
      <c r="I34" s="10">
        <f t="shared" si="4"/>
        <v>1.1805555555555555E-2</v>
      </c>
      <c r="J34" s="11">
        <v>7</v>
      </c>
      <c r="K34" s="11">
        <v>85.05</v>
      </c>
      <c r="L34" s="16">
        <f t="shared" si="5"/>
        <v>42.882352941176471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>
        <v>8.5</v>
      </c>
      <c r="AA34" s="11">
        <v>8.5</v>
      </c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4"/>
    </row>
    <row r="35" spans="2:39" ht="25.05" customHeight="1">
      <c r="B35" s="13"/>
      <c r="C35" s="29"/>
      <c r="D35" s="30"/>
      <c r="E35" s="19" t="s">
        <v>469</v>
      </c>
      <c r="F35" s="8" t="s">
        <v>42</v>
      </c>
      <c r="G35" s="9">
        <v>0.85416666666666663</v>
      </c>
      <c r="H35" s="9">
        <v>0.85972222222222228</v>
      </c>
      <c r="I35" s="10">
        <f t="shared" si="4"/>
        <v>5.5555555555556468E-3</v>
      </c>
      <c r="J35" s="11">
        <v>3</v>
      </c>
      <c r="K35" s="11">
        <v>25.14</v>
      </c>
      <c r="L35" s="16">
        <f t="shared" si="5"/>
        <v>62.849999999998971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8</v>
      </c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4"/>
    </row>
    <row r="36" spans="2:39" ht="25.05" customHeight="1">
      <c r="B36" s="13"/>
      <c r="C36" s="29"/>
      <c r="D36" s="30"/>
      <c r="E36" s="19"/>
      <c r="F36" s="8" t="s">
        <v>42</v>
      </c>
      <c r="G36" s="9"/>
      <c r="H36" s="9"/>
      <c r="I36" s="10">
        <f t="shared" si="4"/>
        <v>0</v>
      </c>
      <c r="J36" s="11"/>
      <c r="K36" s="11"/>
      <c r="L36" s="16" t="str">
        <f t="shared" si="5"/>
        <v>0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4"/>
    </row>
    <row r="37" spans="2:39" ht="25.05" customHeight="1">
      <c r="B37" s="13"/>
      <c r="C37" s="29"/>
      <c r="D37" s="30" t="s">
        <v>177</v>
      </c>
      <c r="E37" s="19" t="s">
        <v>470</v>
      </c>
      <c r="F37" s="8" t="s">
        <v>42</v>
      </c>
      <c r="G37" s="9">
        <v>0.89166666666666672</v>
      </c>
      <c r="H37" s="9">
        <v>0.90486111111111112</v>
      </c>
      <c r="I37" s="10">
        <f t="shared" si="4"/>
        <v>1.3194444444444398E-2</v>
      </c>
      <c r="J37" s="11">
        <v>6</v>
      </c>
      <c r="K37" s="11">
        <v>59.26</v>
      </c>
      <c r="L37" s="16">
        <f t="shared" si="5"/>
        <v>31.189473684210636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>
        <v>9.5</v>
      </c>
      <c r="Y37" s="11">
        <v>9.5</v>
      </c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4"/>
    </row>
    <row r="38" spans="2:39" ht="25.05" customHeight="1">
      <c r="B38" s="13"/>
      <c r="C38" s="29"/>
      <c r="D38" s="30"/>
      <c r="E38" s="19" t="s">
        <v>471</v>
      </c>
      <c r="F38" s="8" t="s">
        <v>42</v>
      </c>
      <c r="G38" s="9">
        <v>0.90069444444444446</v>
      </c>
      <c r="H38" s="9">
        <v>0.91388888888888886</v>
      </c>
      <c r="I38" s="10">
        <f t="shared" si="4"/>
        <v>1.3194444444444398E-2</v>
      </c>
      <c r="J38" s="11">
        <v>6</v>
      </c>
      <c r="K38" s="11">
        <v>59.56</v>
      </c>
      <c r="L38" s="16">
        <f t="shared" si="5"/>
        <v>31.347368421052746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>
        <v>9.5</v>
      </c>
      <c r="Y38" s="11"/>
      <c r="Z38" s="11">
        <v>9.5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4"/>
    </row>
    <row r="39" spans="2:39" ht="25.05" customHeight="1">
      <c r="B39" s="13"/>
      <c r="C39" s="29"/>
      <c r="D39" s="30"/>
      <c r="E39" s="19" t="s">
        <v>472</v>
      </c>
      <c r="F39" s="8" t="s">
        <v>42</v>
      </c>
      <c r="G39" s="9">
        <v>0.90694444444444444</v>
      </c>
      <c r="H39" s="9">
        <v>0.92222222222222228</v>
      </c>
      <c r="I39" s="10">
        <f t="shared" si="4"/>
        <v>1.5277777777777835E-2</v>
      </c>
      <c r="J39" s="11">
        <v>6</v>
      </c>
      <c r="K39" s="11">
        <v>59.72</v>
      </c>
      <c r="L39" s="16">
        <f t="shared" si="5"/>
        <v>27.145454545454445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>
        <v>11</v>
      </c>
      <c r="Z39" s="11">
        <v>11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4"/>
    </row>
    <row r="40" spans="2:39" ht="25.05" customHeight="1">
      <c r="B40" s="13"/>
      <c r="C40" s="29"/>
      <c r="D40" s="30"/>
      <c r="E40" s="19" t="s">
        <v>473</v>
      </c>
      <c r="F40" s="8" t="s">
        <v>42</v>
      </c>
      <c r="G40" s="9">
        <v>0.91041666666666665</v>
      </c>
      <c r="H40" s="9">
        <v>0.92847222222222225</v>
      </c>
      <c r="I40" s="10">
        <f t="shared" si="4"/>
        <v>1.8055555555555602E-2</v>
      </c>
      <c r="J40" s="11">
        <v>6</v>
      </c>
      <c r="K40" s="11">
        <v>60.46</v>
      </c>
      <c r="L40" s="16">
        <f t="shared" si="5"/>
        <v>23.253846153846094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>
        <v>13</v>
      </c>
      <c r="Y40" s="11">
        <v>13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4"/>
    </row>
    <row r="41" spans="2:39" ht="25.05" customHeight="1">
      <c r="B41" s="13"/>
      <c r="C41" s="29"/>
      <c r="D41" s="30"/>
      <c r="E41" s="19" t="s">
        <v>474</v>
      </c>
      <c r="F41" s="8" t="s">
        <v>42</v>
      </c>
      <c r="G41" s="9">
        <v>0.92222222222222228</v>
      </c>
      <c r="H41" s="9">
        <v>0.93541666666666667</v>
      </c>
      <c r="I41" s="10">
        <f t="shared" si="4"/>
        <v>1.3194444444444398E-2</v>
      </c>
      <c r="J41" s="11">
        <v>6</v>
      </c>
      <c r="K41" s="11">
        <v>60.17</v>
      </c>
      <c r="L41" s="16">
        <f t="shared" si="5"/>
        <v>31.66842105263169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>
        <v>9.5</v>
      </c>
      <c r="Y41" s="11"/>
      <c r="Z41" s="11">
        <v>9.5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4"/>
    </row>
    <row r="42" spans="2:39" ht="25.05" customHeight="1">
      <c r="B42" s="13"/>
      <c r="C42" s="29"/>
      <c r="D42" s="30"/>
      <c r="E42" s="19"/>
      <c r="F42" s="8" t="s">
        <v>42</v>
      </c>
      <c r="G42" s="9"/>
      <c r="H42" s="9"/>
      <c r="I42" s="10">
        <f t="shared" si="4"/>
        <v>0</v>
      </c>
      <c r="J42" s="11"/>
      <c r="K42" s="11"/>
      <c r="L42" s="16" t="str">
        <f t="shared" si="5"/>
        <v>0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4"/>
    </row>
    <row r="43" spans="2:39" ht="25.05" customHeight="1">
      <c r="B43" s="13"/>
      <c r="C43" s="29"/>
      <c r="D43" s="183" t="s">
        <v>475</v>
      </c>
      <c r="E43" s="19" t="s">
        <v>476</v>
      </c>
      <c r="F43" s="8" t="s">
        <v>42</v>
      </c>
      <c r="G43" s="9">
        <v>0.84375</v>
      </c>
      <c r="H43" s="9">
        <v>0.89236111111111116</v>
      </c>
      <c r="I43" s="10">
        <f t="shared" si="4"/>
        <v>4.861111111111116E-2</v>
      </c>
      <c r="J43" s="11">
        <v>5</v>
      </c>
      <c r="K43" s="11">
        <v>65.86</v>
      </c>
      <c r="L43" s="16">
        <f t="shared" si="5"/>
        <v>11.290285714285702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>
        <v>23.33</v>
      </c>
      <c r="AI43" s="11">
        <v>23.33</v>
      </c>
      <c r="AJ43" s="11">
        <v>23.33</v>
      </c>
      <c r="AK43" s="11"/>
      <c r="AL43" s="11"/>
      <c r="AM43" s="14"/>
    </row>
    <row r="44" spans="2:39" ht="25.05" customHeight="1">
      <c r="B44" s="13"/>
      <c r="C44" s="29"/>
      <c r="D44" s="30"/>
      <c r="E44" s="19" t="s">
        <v>477</v>
      </c>
      <c r="F44" s="8" t="s">
        <v>42</v>
      </c>
      <c r="G44" s="9">
        <v>0.8930555555555556</v>
      </c>
      <c r="H44" s="9">
        <v>0.92986111111111114</v>
      </c>
      <c r="I44" s="10">
        <f t="shared" si="4"/>
        <v>3.6805555555555536E-2</v>
      </c>
      <c r="J44" s="11">
        <v>5</v>
      </c>
      <c r="K44" s="11">
        <v>69.56</v>
      </c>
      <c r="L44" s="16">
        <f t="shared" si="5"/>
        <v>15.749433962264161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>
        <v>17.66</v>
      </c>
      <c r="AI44" s="11">
        <v>17.66</v>
      </c>
      <c r="AJ44" s="11">
        <v>17.66</v>
      </c>
      <c r="AK44" s="11"/>
      <c r="AL44" s="11"/>
      <c r="AM44" s="14"/>
    </row>
    <row r="45" spans="2:39" ht="25.05" customHeight="1">
      <c r="B45" s="13"/>
      <c r="C45" s="29"/>
      <c r="D45" s="30"/>
      <c r="E45" s="19" t="s">
        <v>478</v>
      </c>
      <c r="F45" s="8" t="s">
        <v>42</v>
      </c>
      <c r="G45" s="9">
        <v>0.93055555555555558</v>
      </c>
      <c r="H45" s="9">
        <v>0.97222222222222221</v>
      </c>
      <c r="I45" s="10">
        <f t="shared" si="4"/>
        <v>4.166666666666663E-2</v>
      </c>
      <c r="J45" s="11">
        <v>5</v>
      </c>
      <c r="K45" s="11">
        <v>69.83</v>
      </c>
      <c r="L45" s="16">
        <f t="shared" si="5"/>
        <v>13.966000000000014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>
        <v>20</v>
      </c>
      <c r="AI45" s="11">
        <v>20</v>
      </c>
      <c r="AJ45" s="11">
        <v>20</v>
      </c>
      <c r="AK45" s="11"/>
      <c r="AL45" s="11"/>
      <c r="AM45" s="14"/>
    </row>
    <row r="46" spans="2:39" ht="25.05" customHeight="1">
      <c r="B46" s="13"/>
      <c r="C46" s="29"/>
      <c r="D46" s="30"/>
      <c r="E46" s="19" t="s">
        <v>479</v>
      </c>
      <c r="F46" s="8" t="s">
        <v>42</v>
      </c>
      <c r="G46" s="9">
        <v>46107.973611111112</v>
      </c>
      <c r="H46" s="9">
        <v>46108.006944444445</v>
      </c>
      <c r="I46" s="10">
        <f t="shared" si="4"/>
        <v>3.3333333332848269E-2</v>
      </c>
      <c r="J46" s="11">
        <v>5</v>
      </c>
      <c r="K46" s="11">
        <v>66.459999999999994</v>
      </c>
      <c r="L46" s="16">
        <f t="shared" si="5"/>
        <v>16.615000000241778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>
        <v>16</v>
      </c>
      <c r="AI46" s="11">
        <v>16</v>
      </c>
      <c r="AJ46" s="11">
        <v>16</v>
      </c>
      <c r="AK46" s="11"/>
      <c r="AL46" s="11"/>
      <c r="AM46" s="14"/>
    </row>
    <row r="47" spans="2:39" ht="25.05" customHeight="1">
      <c r="B47" s="13"/>
      <c r="C47" s="29"/>
      <c r="D47" s="30"/>
      <c r="E47" s="19" t="s">
        <v>480</v>
      </c>
      <c r="F47" s="8" t="s">
        <v>42</v>
      </c>
      <c r="G47" s="9">
        <v>8.3333333333333329E-2</v>
      </c>
      <c r="H47" s="9">
        <v>0.125</v>
      </c>
      <c r="I47" s="10">
        <f t="shared" si="4"/>
        <v>4.1666666666666671E-2</v>
      </c>
      <c r="J47" s="11">
        <v>5</v>
      </c>
      <c r="K47" s="11">
        <v>66.849999999999994</v>
      </c>
      <c r="L47" s="16">
        <f t="shared" si="5"/>
        <v>13.369999999999997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>
        <v>20</v>
      </c>
      <c r="AI47" s="11">
        <v>20</v>
      </c>
      <c r="AJ47" s="11">
        <v>20</v>
      </c>
      <c r="AK47" s="11"/>
      <c r="AL47" s="11"/>
      <c r="AM47" s="14"/>
    </row>
    <row r="48" spans="2:39" ht="25.05" customHeight="1">
      <c r="B48" s="13"/>
      <c r="C48" s="29"/>
      <c r="D48" s="30"/>
      <c r="E48" s="19" t="s">
        <v>481</v>
      </c>
      <c r="F48" s="8" t="s">
        <v>42</v>
      </c>
      <c r="G48" s="9">
        <v>0.12708333333333333</v>
      </c>
      <c r="H48" s="9">
        <v>0.16250000000000001</v>
      </c>
      <c r="I48" s="10">
        <f t="shared" si="4"/>
        <v>3.541666666666668E-2</v>
      </c>
      <c r="J48" s="11">
        <v>5</v>
      </c>
      <c r="K48" s="11">
        <v>68.06</v>
      </c>
      <c r="L48" s="16">
        <f t="shared" si="5"/>
        <v>16.014117647058818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>
        <v>17</v>
      </c>
      <c r="AI48" s="11">
        <v>17</v>
      </c>
      <c r="AJ48" s="11">
        <v>17</v>
      </c>
      <c r="AK48" s="11"/>
      <c r="AL48" s="11"/>
      <c r="AM48" s="14"/>
    </row>
    <row r="49" spans="1:39" ht="25.05" customHeight="1">
      <c r="B49" s="13"/>
      <c r="C49" s="29"/>
      <c r="D49" s="30"/>
      <c r="E49" s="19" t="s">
        <v>482</v>
      </c>
      <c r="F49" s="8" t="s">
        <v>42</v>
      </c>
      <c r="G49" s="9">
        <v>0.16319444444444445</v>
      </c>
      <c r="H49" s="9">
        <v>0.19444444444444445</v>
      </c>
      <c r="I49" s="10">
        <f t="shared" si="4"/>
        <v>3.125E-2</v>
      </c>
      <c r="J49" s="11">
        <v>5</v>
      </c>
      <c r="K49" s="11">
        <v>68.75</v>
      </c>
      <c r="L49" s="16">
        <f t="shared" si="5"/>
        <v>18.333333333333332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>
        <v>11.25</v>
      </c>
      <c r="AI49" s="11">
        <v>11.25</v>
      </c>
      <c r="AJ49" s="11">
        <v>11.25</v>
      </c>
      <c r="AK49" s="11">
        <v>11.25</v>
      </c>
      <c r="AL49" s="11"/>
      <c r="AM49" s="14"/>
    </row>
    <row r="50" spans="1:39" ht="25.05" customHeight="1">
      <c r="B50" s="13"/>
      <c r="C50" s="29"/>
      <c r="D50" s="30"/>
      <c r="E50" s="19" t="s">
        <v>483</v>
      </c>
      <c r="F50" s="8" t="s">
        <v>42</v>
      </c>
      <c r="G50" s="9">
        <v>0.19513888888888889</v>
      </c>
      <c r="H50" s="9">
        <v>0.22777777777777777</v>
      </c>
      <c r="I50" s="10">
        <f t="shared" si="4"/>
        <v>3.2638888888888884E-2</v>
      </c>
      <c r="J50" s="11">
        <v>5</v>
      </c>
      <c r="K50" s="11">
        <v>69.34</v>
      </c>
      <c r="L50" s="16">
        <f t="shared" si="5"/>
        <v>17.703829787234046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>
        <v>11.75</v>
      </c>
      <c r="AI50" s="11">
        <v>11.75</v>
      </c>
      <c r="AJ50" s="11">
        <v>11.75</v>
      </c>
      <c r="AK50" s="11">
        <v>11.75</v>
      </c>
      <c r="AL50" s="11"/>
      <c r="AM50" s="14"/>
    </row>
    <row r="51" spans="1:39" ht="25.05" customHeight="1">
      <c r="B51" s="13"/>
      <c r="C51" s="29"/>
      <c r="D51" s="30"/>
      <c r="E51" s="19"/>
      <c r="F51" s="8" t="s">
        <v>42</v>
      </c>
      <c r="G51" s="9"/>
      <c r="H51" s="9"/>
      <c r="I51" s="10">
        <f t="shared" si="4"/>
        <v>0</v>
      </c>
      <c r="J51" s="11"/>
      <c r="K51" s="11"/>
      <c r="L51" s="16" t="str">
        <f t="shared" si="5"/>
        <v>0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4"/>
    </row>
    <row r="52" spans="1:39" ht="25.05" customHeight="1">
      <c r="B52" s="13"/>
      <c r="C52" s="29"/>
      <c r="D52" s="30"/>
      <c r="E52" s="19"/>
      <c r="F52" s="8" t="s">
        <v>42</v>
      </c>
      <c r="G52" s="9"/>
      <c r="H52" s="9"/>
      <c r="I52" s="10">
        <v>4</v>
      </c>
      <c r="J52" s="11"/>
      <c r="K52" s="11"/>
      <c r="L52" s="16" t="str">
        <f t="shared" si="5"/>
        <v>0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4"/>
    </row>
    <row r="53" spans="1:39" s="28" customFormat="1" ht="25.5" customHeight="1" thickBot="1">
      <c r="A53" s="2"/>
      <c r="B53" s="32"/>
      <c r="C53" s="33"/>
      <c r="D53" s="34"/>
      <c r="E53" s="35"/>
      <c r="F53" s="35"/>
      <c r="G53" s="36"/>
      <c r="H53" s="36"/>
      <c r="I53" s="37"/>
      <c r="J53" s="38"/>
      <c r="K53" s="38">
        <f t="shared" ref="K53:AM53" si="6">SUM(K19:K52)</f>
        <v>2018.9199999999996</v>
      </c>
      <c r="L53" s="39">
        <f t="shared" si="6"/>
        <v>828.49884455177244</v>
      </c>
      <c r="M53" s="38">
        <f t="shared" si="6"/>
        <v>0</v>
      </c>
      <c r="N53" s="38">
        <f t="shared" si="6"/>
        <v>0</v>
      </c>
      <c r="O53" s="38">
        <f t="shared" si="6"/>
        <v>0</v>
      </c>
      <c r="P53" s="38">
        <f t="shared" si="6"/>
        <v>0</v>
      </c>
      <c r="Q53" s="38">
        <f t="shared" si="6"/>
        <v>0</v>
      </c>
      <c r="R53" s="38">
        <f t="shared" si="6"/>
        <v>0</v>
      </c>
      <c r="S53" s="38">
        <f t="shared" si="6"/>
        <v>0</v>
      </c>
      <c r="T53" s="38">
        <f t="shared" si="6"/>
        <v>0</v>
      </c>
      <c r="U53" s="38">
        <f t="shared" si="6"/>
        <v>0</v>
      </c>
      <c r="V53" s="38">
        <f t="shared" si="6"/>
        <v>30</v>
      </c>
      <c r="W53" s="38">
        <f t="shared" si="6"/>
        <v>32</v>
      </c>
      <c r="X53" s="38">
        <f t="shared" si="6"/>
        <v>97.1</v>
      </c>
      <c r="Y53" s="38">
        <f t="shared" si="6"/>
        <v>78.599999999999994</v>
      </c>
      <c r="Z53" s="38">
        <f t="shared" si="6"/>
        <v>76.599999999999994</v>
      </c>
      <c r="AA53" s="38">
        <f t="shared" si="6"/>
        <v>8.5</v>
      </c>
      <c r="AB53" s="38">
        <f t="shared" si="6"/>
        <v>0</v>
      </c>
      <c r="AC53" s="38">
        <f t="shared" si="6"/>
        <v>0</v>
      </c>
      <c r="AD53" s="38">
        <f t="shared" si="6"/>
        <v>115</v>
      </c>
      <c r="AE53" s="38">
        <f t="shared" si="6"/>
        <v>103</v>
      </c>
      <c r="AF53" s="38">
        <f t="shared" si="6"/>
        <v>0</v>
      </c>
      <c r="AG53" s="38">
        <f t="shared" si="6"/>
        <v>0</v>
      </c>
      <c r="AH53" s="38">
        <f t="shared" si="6"/>
        <v>136.99</v>
      </c>
      <c r="AI53" s="38">
        <f t="shared" si="6"/>
        <v>136.99</v>
      </c>
      <c r="AJ53" s="38">
        <f t="shared" si="6"/>
        <v>136.99</v>
      </c>
      <c r="AK53" s="38">
        <f t="shared" si="6"/>
        <v>23</v>
      </c>
      <c r="AL53" s="38">
        <f t="shared" si="6"/>
        <v>0</v>
      </c>
      <c r="AM53" s="38">
        <f t="shared" si="6"/>
        <v>0</v>
      </c>
    </row>
    <row r="54" spans="1:39" ht="38.1" customHeight="1" thickBot="1">
      <c r="B54" s="40" t="s">
        <v>45</v>
      </c>
      <c r="C54" s="41"/>
      <c r="D54" s="41"/>
      <c r="E54" s="41"/>
      <c r="F54" s="41"/>
      <c r="G54" s="41"/>
      <c r="H54" s="41"/>
      <c r="I54" s="41"/>
      <c r="J54" s="41"/>
      <c r="K54" s="42">
        <f>K15+K18+K53</f>
        <v>3269.9599999999996</v>
      </c>
      <c r="L54" s="42">
        <f>L15+L18+L53</f>
        <v>1095.5790684323697</v>
      </c>
      <c r="M54" s="43">
        <f t="shared" ref="M54:AM54" si="7">(M15+M18+M53)/(480-15-30)</f>
        <v>0.22988505747126436</v>
      </c>
      <c r="N54" s="43">
        <f t="shared" si="7"/>
        <v>0</v>
      </c>
      <c r="O54" s="43">
        <f t="shared" si="7"/>
        <v>0</v>
      </c>
      <c r="P54" s="43">
        <f t="shared" si="7"/>
        <v>0</v>
      </c>
      <c r="Q54" s="43">
        <f t="shared" si="7"/>
        <v>0</v>
      </c>
      <c r="R54" s="43">
        <f t="shared" si="7"/>
        <v>0</v>
      </c>
      <c r="S54" s="43">
        <f t="shared" si="7"/>
        <v>0.82298850574712645</v>
      </c>
      <c r="T54" s="43">
        <f t="shared" si="7"/>
        <v>0</v>
      </c>
      <c r="U54" s="43">
        <f t="shared" si="7"/>
        <v>0</v>
      </c>
      <c r="V54" s="43">
        <f t="shared" si="7"/>
        <v>6.8965517241379309E-2</v>
      </c>
      <c r="W54" s="43">
        <f t="shared" si="7"/>
        <v>7.3563218390804597E-2</v>
      </c>
      <c r="X54" s="43">
        <f t="shared" si="7"/>
        <v>0.22321839080459768</v>
      </c>
      <c r="Y54" s="43">
        <f t="shared" si="7"/>
        <v>0.18068965517241378</v>
      </c>
      <c r="Z54" s="43">
        <f t="shared" si="7"/>
        <v>0.17609195402298849</v>
      </c>
      <c r="AA54" s="43">
        <f t="shared" si="7"/>
        <v>1.9540229885057471E-2</v>
      </c>
      <c r="AB54" s="43">
        <f t="shared" si="7"/>
        <v>0</v>
      </c>
      <c r="AC54" s="43">
        <f t="shared" si="7"/>
        <v>0</v>
      </c>
      <c r="AD54" s="43">
        <f t="shared" si="7"/>
        <v>0.26436781609195403</v>
      </c>
      <c r="AE54" s="43">
        <f t="shared" si="7"/>
        <v>0.23678160919540231</v>
      </c>
      <c r="AF54" s="43">
        <f t="shared" si="7"/>
        <v>0</v>
      </c>
      <c r="AG54" s="43">
        <f t="shared" si="7"/>
        <v>0</v>
      </c>
      <c r="AH54" s="43">
        <f t="shared" si="7"/>
        <v>0.31491954022988505</v>
      </c>
      <c r="AI54" s="43">
        <f t="shared" si="7"/>
        <v>0.31491954022988505</v>
      </c>
      <c r="AJ54" s="43">
        <f t="shared" si="7"/>
        <v>0.31491954022988505</v>
      </c>
      <c r="AK54" s="43">
        <f t="shared" si="7"/>
        <v>5.2873563218390804E-2</v>
      </c>
      <c r="AL54" s="43">
        <f t="shared" si="7"/>
        <v>0</v>
      </c>
      <c r="AM54" s="43">
        <f t="shared" si="7"/>
        <v>0</v>
      </c>
    </row>
    <row r="55" spans="1:39" ht="25.05" customHeight="1">
      <c r="B55" s="44"/>
      <c r="C55" s="44"/>
      <c r="D55" s="44"/>
      <c r="E55" s="45"/>
      <c r="F55" s="45"/>
      <c r="G55" s="45"/>
      <c r="H55" s="45"/>
      <c r="I55" s="46"/>
      <c r="J55" s="46"/>
      <c r="K55" s="45"/>
      <c r="L55" s="47"/>
      <c r="M55" s="47"/>
      <c r="N55" s="47"/>
      <c r="O55" s="47"/>
      <c r="P55" s="47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</row>
    <row r="56" spans="1:39" ht="25.05" customHeight="1">
      <c r="B56" s="44"/>
      <c r="C56" s="44"/>
      <c r="D56" s="44"/>
      <c r="E56" s="45"/>
      <c r="F56" s="45"/>
      <c r="G56" s="45"/>
      <c r="H56" s="45"/>
      <c r="I56" s="48" t="s">
        <v>46</v>
      </c>
      <c r="J56" s="46"/>
      <c r="K56" s="45"/>
      <c r="L56" s="47"/>
      <c r="M56" s="47"/>
      <c r="N56" s="47"/>
      <c r="O56" s="47"/>
      <c r="P56" s="47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</row>
    <row r="57" spans="1:39" ht="25.05" customHeight="1">
      <c r="B57" s="44"/>
      <c r="C57" s="44"/>
      <c r="D57" s="44"/>
      <c r="E57" s="45"/>
      <c r="F57" s="45"/>
      <c r="G57" s="45"/>
      <c r="H57" s="45"/>
      <c r="I57" s="49" t="s">
        <v>47</v>
      </c>
      <c r="J57" s="9">
        <v>0</v>
      </c>
      <c r="K57" s="11">
        <v>8</v>
      </c>
      <c r="L57" s="11" t="s">
        <v>48</v>
      </c>
      <c r="M57" s="47"/>
      <c r="N57" s="14">
        <v>2</v>
      </c>
      <c r="O57" s="14"/>
      <c r="P57" s="14"/>
      <c r="Q57" s="50" t="s">
        <v>49</v>
      </c>
      <c r="R57" s="51"/>
      <c r="S57" s="45"/>
      <c r="T57" s="45"/>
      <c r="U57" s="45"/>
      <c r="V57" s="45"/>
      <c r="W57" s="45"/>
      <c r="X57" s="45"/>
      <c r="Y57" s="45"/>
      <c r="Z57" s="45"/>
      <c r="AA57" s="45"/>
      <c r="AC57" s="45"/>
      <c r="AD57" s="45"/>
      <c r="AE57" s="45"/>
      <c r="AF57" s="45"/>
      <c r="AG57" s="45"/>
      <c r="AH57" s="45"/>
      <c r="AI57" s="45"/>
    </row>
    <row r="58" spans="1:39" ht="25.05" customHeight="1">
      <c r="B58" s="44"/>
      <c r="C58" s="44"/>
      <c r="D58" s="44"/>
      <c r="E58" s="45"/>
      <c r="F58" s="45"/>
      <c r="G58" s="45"/>
      <c r="H58" s="45"/>
      <c r="I58" s="49" t="s">
        <v>50</v>
      </c>
      <c r="J58" s="9">
        <v>0</v>
      </c>
      <c r="K58" s="11">
        <v>0</v>
      </c>
      <c r="L58" s="11" t="s">
        <v>48</v>
      </c>
      <c r="M58" s="47"/>
      <c r="N58" s="14">
        <v>0</v>
      </c>
      <c r="O58" s="14"/>
      <c r="P58" s="14"/>
      <c r="Q58" s="50" t="s">
        <v>51</v>
      </c>
      <c r="R58" s="51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</row>
    <row r="59" spans="1:39" ht="25.05" customHeight="1">
      <c r="B59" s="44"/>
      <c r="C59" s="44"/>
      <c r="D59" s="44"/>
      <c r="E59" s="45"/>
      <c r="F59" s="45"/>
      <c r="G59" s="45"/>
      <c r="H59" s="45"/>
      <c r="I59" s="49" t="s">
        <v>52</v>
      </c>
      <c r="J59" s="9">
        <v>0</v>
      </c>
      <c r="K59" s="11">
        <v>17</v>
      </c>
      <c r="L59" s="11" t="s">
        <v>48</v>
      </c>
      <c r="M59" s="47"/>
      <c r="N59" s="14">
        <v>1</v>
      </c>
      <c r="O59" s="14"/>
      <c r="P59" s="14"/>
      <c r="Q59" s="50" t="s">
        <v>53</v>
      </c>
      <c r="R59" s="51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  <c r="AE59" s="45"/>
      <c r="AF59" s="45"/>
      <c r="AG59" s="45"/>
      <c r="AH59" s="45"/>
      <c r="AI59" s="45"/>
    </row>
    <row r="60" spans="1:39" ht="25.05" customHeight="1">
      <c r="B60" s="44"/>
      <c r="C60" s="44"/>
      <c r="D60" s="44"/>
      <c r="E60" s="45"/>
      <c r="F60" s="45"/>
      <c r="G60" s="45"/>
      <c r="H60" s="45"/>
      <c r="I60" s="52" t="s">
        <v>54</v>
      </c>
      <c r="J60" s="53">
        <v>0</v>
      </c>
      <c r="K60" s="11">
        <v>2</v>
      </c>
      <c r="L60" s="54" t="s">
        <v>48</v>
      </c>
      <c r="M60" s="47"/>
      <c r="N60" s="14">
        <v>2</v>
      </c>
      <c r="O60" s="14"/>
      <c r="P60" s="14"/>
      <c r="Q60" s="50" t="s">
        <v>55</v>
      </c>
      <c r="R60" s="51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</row>
    <row r="61" spans="1:39" ht="25.05" customHeight="1">
      <c r="B61" s="44"/>
      <c r="C61" s="44"/>
      <c r="D61" s="44"/>
      <c r="E61" s="45"/>
      <c r="F61" s="45"/>
      <c r="G61" s="45"/>
      <c r="H61" s="45"/>
      <c r="I61" s="49" t="s">
        <v>56</v>
      </c>
      <c r="J61" s="9">
        <v>0</v>
      </c>
      <c r="K61" s="11">
        <v>27</v>
      </c>
      <c r="L61" s="11" t="s">
        <v>48</v>
      </c>
      <c r="M61" s="47"/>
      <c r="N61"/>
      <c r="O61"/>
      <c r="P61"/>
      <c r="Q61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</row>
    <row r="62" spans="1:39" ht="25.05" customHeight="1">
      <c r="B62" s="44"/>
      <c r="C62" s="44"/>
      <c r="D62" s="44"/>
      <c r="E62" s="45"/>
      <c r="F62" s="45"/>
      <c r="G62" s="45"/>
      <c r="H62" s="45"/>
      <c r="M62" s="47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  <c r="AE62" s="45"/>
      <c r="AF62" s="45"/>
      <c r="AG62" s="45"/>
      <c r="AH62" s="45"/>
      <c r="AI62" s="45"/>
    </row>
    <row r="63" spans="1:39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M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B153B-AE54-4589-A3D9-4724CFA9B370}">
  <sheetPr>
    <pageSetUpPr fitToPage="1"/>
  </sheetPr>
  <dimension ref="A1:AM137"/>
  <sheetViews>
    <sheetView zoomScale="40" zoomScaleNormal="40" workbookViewId="0">
      <pane xSplit="12" ySplit="3" topLeftCell="M8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7.4414062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1" width="16.21875" style="2" customWidth="1"/>
    <col min="32" max="32" width="17.77734375" style="2" customWidth="1"/>
    <col min="33" max="38" width="16.21875" style="2" customWidth="1"/>
    <col min="39" max="39" width="14.44140625" style="2" customWidth="1"/>
    <col min="40" max="16384" width="10.21875" style="2"/>
  </cols>
  <sheetData>
    <row r="1" spans="1:39" ht="18.75" customHeight="1">
      <c r="A1" s="2" t="s">
        <v>0</v>
      </c>
    </row>
    <row r="2" spans="1:39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2"/>
    </row>
    <row r="3" spans="1:39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416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</row>
    <row r="4" spans="1:39" ht="25.05" customHeight="1">
      <c r="B4" s="5" t="s">
        <v>484</v>
      </c>
      <c r="C4" s="60" t="s">
        <v>40</v>
      </c>
      <c r="D4" s="6"/>
      <c r="E4" s="7" t="s">
        <v>41</v>
      </c>
      <c r="F4" s="8" t="s">
        <v>42</v>
      </c>
      <c r="G4" s="9">
        <v>0.29166666666666669</v>
      </c>
      <c r="H4" s="9">
        <v>0.3125</v>
      </c>
      <c r="I4" s="10">
        <f t="shared" ref="I4:I24" si="0">H4-G4</f>
        <v>2.0833333333333315E-2</v>
      </c>
      <c r="J4" s="11">
        <v>10</v>
      </c>
      <c r="K4" s="11" t="s">
        <v>42</v>
      </c>
      <c r="L4" s="16" t="str">
        <f t="shared" ref="L4:L24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25.05" customHeight="1">
      <c r="B5" s="13"/>
      <c r="C5" s="14"/>
      <c r="D5" s="6" t="s">
        <v>485</v>
      </c>
      <c r="E5" s="17" t="s">
        <v>486</v>
      </c>
      <c r="F5" s="8" t="s">
        <v>487</v>
      </c>
      <c r="G5" s="9">
        <v>0.29166666666666669</v>
      </c>
      <c r="H5" s="9">
        <v>0.35416666666666669</v>
      </c>
      <c r="I5" s="10">
        <f t="shared" si="0"/>
        <v>6.25E-2</v>
      </c>
      <c r="J5" s="11">
        <v>5</v>
      </c>
      <c r="K5" s="27">
        <v>169.75</v>
      </c>
      <c r="L5" s="16">
        <f t="shared" si="1"/>
        <v>22.633333333333336</v>
      </c>
      <c r="M5" s="11"/>
      <c r="N5" s="11"/>
      <c r="O5" s="11">
        <v>90</v>
      </c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 ht="25.05" customHeight="1">
      <c r="B6" s="13"/>
      <c r="C6" s="14"/>
      <c r="D6" s="6"/>
      <c r="E6" s="19" t="s">
        <v>488</v>
      </c>
      <c r="F6" s="8" t="s">
        <v>213</v>
      </c>
      <c r="G6" s="9">
        <v>0.29166666666666669</v>
      </c>
      <c r="H6" s="9">
        <v>0.3888888888888889</v>
      </c>
      <c r="I6" s="10">
        <f t="shared" si="0"/>
        <v>9.722222222222221E-2</v>
      </c>
      <c r="J6" s="11">
        <v>4</v>
      </c>
      <c r="K6" s="27">
        <v>75.45</v>
      </c>
      <c r="L6" s="16">
        <f t="shared" si="1"/>
        <v>8.0839285714285722</v>
      </c>
      <c r="M6" s="11"/>
      <c r="N6" s="11"/>
      <c r="O6" s="11"/>
      <c r="P6" s="11"/>
      <c r="Q6" s="11"/>
      <c r="R6" s="12"/>
      <c r="S6" s="12">
        <v>140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ht="25.05" customHeight="1">
      <c r="B7" s="13"/>
      <c r="C7" s="14"/>
      <c r="D7" s="6"/>
      <c r="E7" s="15" t="s">
        <v>489</v>
      </c>
      <c r="F7" s="187" t="s">
        <v>42</v>
      </c>
      <c r="G7" s="9">
        <v>0.36805555555555558</v>
      </c>
      <c r="H7" s="9">
        <v>0.39583333333333331</v>
      </c>
      <c r="I7" s="10">
        <f t="shared" si="0"/>
        <v>2.7777777777777735E-2</v>
      </c>
      <c r="J7" s="11">
        <v>1</v>
      </c>
      <c r="K7" s="27">
        <v>75.48</v>
      </c>
      <c r="L7" s="16">
        <f t="shared" si="1"/>
        <v>113.22000000000018</v>
      </c>
      <c r="M7" s="11"/>
      <c r="N7" s="11"/>
      <c r="O7" s="11">
        <v>40</v>
      </c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spans="1:39" ht="25.05" customHeight="1">
      <c r="B8" s="13"/>
      <c r="C8" s="14"/>
      <c r="D8" s="6"/>
      <c r="E8" s="15" t="s">
        <v>490</v>
      </c>
      <c r="F8" s="130" t="s">
        <v>42</v>
      </c>
      <c r="G8" s="9">
        <v>0.3125</v>
      </c>
      <c r="H8" s="9">
        <v>0.33333333333333331</v>
      </c>
      <c r="I8" s="10">
        <f t="shared" si="0"/>
        <v>2.0833333333333315E-2</v>
      </c>
      <c r="J8" s="11">
        <v>1</v>
      </c>
      <c r="K8" s="27">
        <v>82.62</v>
      </c>
      <c r="L8" s="16">
        <f t="shared" si="1"/>
        <v>165.24000000000015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39" ht="25.05" customHeight="1">
      <c r="B9" s="13"/>
      <c r="C9" s="14"/>
      <c r="D9" s="6" t="s">
        <v>439</v>
      </c>
      <c r="E9" s="15" t="s">
        <v>491</v>
      </c>
      <c r="F9" s="130" t="s">
        <v>42</v>
      </c>
      <c r="G9" s="9">
        <v>0.39583333333333331</v>
      </c>
      <c r="H9" s="9">
        <v>0.4375</v>
      </c>
      <c r="I9" s="10">
        <f t="shared" si="0"/>
        <v>4.1666666666666685E-2</v>
      </c>
      <c r="J9" s="11">
        <v>3</v>
      </c>
      <c r="K9" s="27">
        <v>62.9</v>
      </c>
      <c r="L9" s="16">
        <f t="shared" si="1"/>
        <v>20.966666666666658</v>
      </c>
      <c r="M9" s="11"/>
      <c r="N9" s="11"/>
      <c r="O9" s="11"/>
      <c r="P9" s="11"/>
      <c r="Q9" s="11"/>
      <c r="R9" s="12"/>
      <c r="S9" s="12">
        <v>60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39" ht="25.05" customHeight="1">
      <c r="B10" s="13"/>
      <c r="C10" s="14"/>
      <c r="D10" s="6"/>
      <c r="E10" s="15" t="s">
        <v>492</v>
      </c>
      <c r="F10" s="130" t="s">
        <v>42</v>
      </c>
      <c r="G10" s="9">
        <v>0.40277777777777779</v>
      </c>
      <c r="H10" s="9">
        <v>0.43055555555555558</v>
      </c>
      <c r="I10" s="10">
        <f t="shared" si="0"/>
        <v>2.777777777777779E-2</v>
      </c>
      <c r="J10" s="11">
        <v>1</v>
      </c>
      <c r="K10" s="27">
        <v>62.9</v>
      </c>
      <c r="L10" s="16">
        <f t="shared" si="1"/>
        <v>94.349999999999952</v>
      </c>
      <c r="M10" s="11"/>
      <c r="N10" s="11"/>
      <c r="O10" s="11">
        <v>40</v>
      </c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 ht="25.05" customHeight="1">
      <c r="B11" s="13"/>
      <c r="C11" s="14"/>
      <c r="D11" s="6"/>
      <c r="E11" s="15" t="s">
        <v>309</v>
      </c>
      <c r="F11" s="130" t="s">
        <v>310</v>
      </c>
      <c r="G11" s="9">
        <v>0.40277777777777779</v>
      </c>
      <c r="H11" s="9">
        <v>0.47222222222222221</v>
      </c>
      <c r="I11" s="10">
        <f t="shared" si="0"/>
        <v>6.944444444444442E-2</v>
      </c>
      <c r="J11" s="11">
        <v>4</v>
      </c>
      <c r="K11" s="27">
        <v>185</v>
      </c>
      <c r="L11" s="16">
        <f t="shared" si="1"/>
        <v>27.750000000000011</v>
      </c>
      <c r="M11" s="11"/>
      <c r="N11" s="11"/>
      <c r="O11" s="11">
        <v>100</v>
      </c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ht="25.05" customHeight="1">
      <c r="B12" s="13"/>
      <c r="C12" s="14"/>
      <c r="D12" s="30" t="s">
        <v>62</v>
      </c>
      <c r="E12" s="6" t="s">
        <v>493</v>
      </c>
      <c r="F12" s="186" t="s">
        <v>494</v>
      </c>
      <c r="G12" s="9">
        <v>0.41666666666666669</v>
      </c>
      <c r="H12" s="9">
        <v>0.4236111111111111</v>
      </c>
      <c r="I12" s="10">
        <f t="shared" si="0"/>
        <v>6.9444444444444198E-3</v>
      </c>
      <c r="J12" s="11">
        <v>1</v>
      </c>
      <c r="K12" s="27">
        <v>12</v>
      </c>
      <c r="L12" s="16">
        <f t="shared" si="1"/>
        <v>72.000000000000256</v>
      </c>
      <c r="M12" s="11">
        <v>10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ht="25.05" customHeight="1">
      <c r="B13" s="13"/>
      <c r="C13" s="14"/>
      <c r="D13" s="6"/>
      <c r="E13" s="185" t="s">
        <v>495</v>
      </c>
      <c r="F13" s="154" t="s">
        <v>496</v>
      </c>
      <c r="G13" s="9">
        <v>0.42499999999999999</v>
      </c>
      <c r="H13" s="9">
        <v>0.4375</v>
      </c>
      <c r="I13" s="10">
        <f t="shared" si="0"/>
        <v>1.2500000000000011E-2</v>
      </c>
      <c r="J13" s="11">
        <v>1</v>
      </c>
      <c r="K13" s="27">
        <v>2.72</v>
      </c>
      <c r="L13" s="16">
        <f t="shared" si="1"/>
        <v>9.0666666666666593</v>
      </c>
      <c r="M13" s="11">
        <v>18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5.05" customHeight="1">
      <c r="B14" s="13"/>
      <c r="C14" s="14"/>
      <c r="D14" s="6"/>
      <c r="E14" s="15" t="s">
        <v>497</v>
      </c>
      <c r="F14" s="130" t="s">
        <v>99</v>
      </c>
      <c r="G14" s="9">
        <v>0.41666666666666669</v>
      </c>
      <c r="H14" s="9">
        <v>0.43402777777777779</v>
      </c>
      <c r="I14" s="10">
        <f t="shared" si="0"/>
        <v>1.7361111111111105E-2</v>
      </c>
      <c r="J14" s="11">
        <v>1</v>
      </c>
      <c r="K14" s="27">
        <v>6</v>
      </c>
      <c r="L14" s="16">
        <f t="shared" si="1"/>
        <v>14.400000000000006</v>
      </c>
      <c r="M14" s="11"/>
      <c r="N14" s="11"/>
      <c r="O14" s="11"/>
      <c r="P14" s="11"/>
      <c r="Q14" s="11"/>
      <c r="R14" s="12">
        <v>25</v>
      </c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ht="25.05" customHeight="1">
      <c r="B15" s="13"/>
      <c r="C15" s="14"/>
      <c r="D15" s="6" t="s">
        <v>485</v>
      </c>
      <c r="E15" s="15" t="s">
        <v>498</v>
      </c>
      <c r="F15" s="130" t="s">
        <v>99</v>
      </c>
      <c r="G15" s="9">
        <v>0.47569444444444442</v>
      </c>
      <c r="H15" s="9">
        <v>0.49652777777777779</v>
      </c>
      <c r="I15" s="10">
        <f t="shared" si="0"/>
        <v>2.083333333333337E-2</v>
      </c>
      <c r="J15" s="11">
        <v>6</v>
      </c>
      <c r="K15" s="27">
        <v>24.3</v>
      </c>
      <c r="L15" s="16">
        <f t="shared" si="1"/>
        <v>8.0999999999999854</v>
      </c>
      <c r="M15" s="11"/>
      <c r="N15" s="11"/>
      <c r="O15" s="11"/>
      <c r="P15" s="11"/>
      <c r="Q15" s="11"/>
      <c r="R15" s="12">
        <v>30</v>
      </c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spans="1:39" ht="25.05" customHeight="1">
      <c r="B16" s="13"/>
      <c r="C16" s="14"/>
      <c r="D16" s="6" t="s">
        <v>418</v>
      </c>
      <c r="E16" s="15" t="s">
        <v>499</v>
      </c>
      <c r="F16" s="130" t="s">
        <v>42</v>
      </c>
      <c r="G16" s="9">
        <v>0.47916666666666669</v>
      </c>
      <c r="H16" s="9">
        <v>0.5</v>
      </c>
      <c r="I16" s="10">
        <f t="shared" si="0"/>
        <v>2.0833333333333315E-2</v>
      </c>
      <c r="J16" s="11">
        <v>1</v>
      </c>
      <c r="K16" s="11">
        <v>23.04</v>
      </c>
      <c r="L16" s="16">
        <f t="shared" si="1"/>
        <v>46.080000000000041</v>
      </c>
      <c r="M16" s="11">
        <v>30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25.05" customHeight="1">
      <c r="B17" s="13"/>
      <c r="C17" s="14"/>
      <c r="D17" s="6"/>
      <c r="E17" s="15" t="s">
        <v>96</v>
      </c>
      <c r="F17" s="130" t="s">
        <v>42</v>
      </c>
      <c r="G17" s="9">
        <v>0.5</v>
      </c>
      <c r="H17" s="9">
        <v>0.51388888888888884</v>
      </c>
      <c r="I17" s="10">
        <f t="shared" si="0"/>
        <v>1.388888888888884E-2</v>
      </c>
      <c r="J17" s="11">
        <v>10</v>
      </c>
      <c r="K17" s="11" t="s">
        <v>42</v>
      </c>
      <c r="L17" s="16" t="str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spans="1:39" ht="25.05" customHeight="1">
      <c r="B18" s="13"/>
      <c r="C18" s="14"/>
      <c r="D18" s="6" t="s">
        <v>439</v>
      </c>
      <c r="E18" s="15" t="s">
        <v>500</v>
      </c>
      <c r="F18" s="130" t="s">
        <v>42</v>
      </c>
      <c r="G18" s="9">
        <v>0.51388888888888884</v>
      </c>
      <c r="H18" s="9">
        <v>0.5625</v>
      </c>
      <c r="I18" s="10">
        <f t="shared" si="0"/>
        <v>4.861111111111116E-2</v>
      </c>
      <c r="J18" s="11">
        <v>2</v>
      </c>
      <c r="K18" s="27">
        <v>323.2</v>
      </c>
      <c r="L18" s="16">
        <f t="shared" si="1"/>
        <v>138.51428571428556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25.05" customHeight="1">
      <c r="B19" s="13"/>
      <c r="C19" s="14"/>
      <c r="D19" s="6" t="s">
        <v>485</v>
      </c>
      <c r="E19" s="17" t="s">
        <v>486</v>
      </c>
      <c r="F19" s="8" t="s">
        <v>487</v>
      </c>
      <c r="G19" s="9">
        <v>0.51388888888888884</v>
      </c>
      <c r="H19" s="9">
        <v>0.59722222222222221</v>
      </c>
      <c r="I19" s="10">
        <f t="shared" si="0"/>
        <v>8.333333333333337E-2</v>
      </c>
      <c r="J19" s="11">
        <v>6</v>
      </c>
      <c r="K19" s="27">
        <v>148</v>
      </c>
      <c r="L19" s="16">
        <f t="shared" si="1"/>
        <v>12.333333333333329</v>
      </c>
      <c r="M19" s="11"/>
      <c r="N19" s="11"/>
      <c r="O19" s="11">
        <v>120</v>
      </c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ht="25.05" customHeight="1">
      <c r="B20" s="13"/>
      <c r="C20" s="14"/>
      <c r="D20" s="6"/>
      <c r="E20" s="15" t="s">
        <v>490</v>
      </c>
      <c r="F20" s="130" t="s">
        <v>42</v>
      </c>
      <c r="G20" s="9">
        <v>0.52083333333333337</v>
      </c>
      <c r="H20" s="9">
        <v>0.53125</v>
      </c>
      <c r="I20" s="10">
        <f t="shared" si="0"/>
        <v>1.041666666666663E-2</v>
      </c>
      <c r="J20" s="11">
        <v>1</v>
      </c>
      <c r="K20" s="27">
        <v>66.959999999999994</v>
      </c>
      <c r="L20" s="16">
        <f t="shared" si="1"/>
        <v>267.84000000000094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spans="1:39" ht="25.05" customHeight="1">
      <c r="B21" s="13"/>
      <c r="C21" s="14"/>
      <c r="D21" s="6"/>
      <c r="E21" s="15" t="s">
        <v>100</v>
      </c>
      <c r="F21" s="130" t="s">
        <v>42</v>
      </c>
      <c r="G21" s="9">
        <v>0.58333333333333337</v>
      </c>
      <c r="H21" s="9">
        <v>0.64583333333333337</v>
      </c>
      <c r="I21" s="10">
        <f t="shared" si="0"/>
        <v>6.25E-2</v>
      </c>
      <c r="J21" s="11">
        <v>7</v>
      </c>
      <c r="K21" s="27">
        <v>523</v>
      </c>
      <c r="L21" s="16">
        <f t="shared" si="1"/>
        <v>49.809523809523803</v>
      </c>
      <c r="M21" s="11"/>
      <c r="N21" s="11"/>
      <c r="O21" s="11"/>
      <c r="P21" s="11"/>
      <c r="Q21" s="11"/>
      <c r="R21" s="12"/>
      <c r="S21" s="12">
        <v>90</v>
      </c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spans="1:39" ht="25.05" customHeight="1">
      <c r="B22" s="13"/>
      <c r="C22" s="14"/>
      <c r="D22" s="6" t="s">
        <v>304</v>
      </c>
      <c r="E22" s="15" t="s">
        <v>309</v>
      </c>
      <c r="F22" s="130" t="s">
        <v>310</v>
      </c>
      <c r="G22" s="9">
        <v>0.59722222222222221</v>
      </c>
      <c r="H22" s="9">
        <v>0.6875</v>
      </c>
      <c r="I22" s="10">
        <f t="shared" si="0"/>
        <v>9.027777777777779E-2</v>
      </c>
      <c r="J22" s="11">
        <v>6</v>
      </c>
      <c r="K22" s="11">
        <v>314.39999999999998</v>
      </c>
      <c r="L22" s="16">
        <f t="shared" si="1"/>
        <v>24.18461538461538</v>
      </c>
      <c r="M22" s="11"/>
      <c r="N22" s="11"/>
      <c r="O22" s="11">
        <v>130</v>
      </c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spans="1:39" ht="25.05" customHeight="1">
      <c r="B23" s="13"/>
      <c r="C23" s="14"/>
      <c r="D23" s="6"/>
      <c r="E23" s="15" t="s">
        <v>96</v>
      </c>
      <c r="F23" s="130" t="s">
        <v>42</v>
      </c>
      <c r="G23" s="9">
        <v>0.6875</v>
      </c>
      <c r="H23" s="9">
        <v>0.70833333333333337</v>
      </c>
      <c r="I23" s="10">
        <f t="shared" si="0"/>
        <v>2.083333333333337E-2</v>
      </c>
      <c r="J23" s="11">
        <v>8</v>
      </c>
      <c r="K23" s="11" t="s">
        <v>42</v>
      </c>
      <c r="L23" s="16" t="str">
        <f t="shared" si="1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spans="1:39" ht="25.5" customHeight="1">
      <c r="B24" s="13"/>
      <c r="C24" s="14"/>
      <c r="D24" s="30"/>
      <c r="E24" s="15"/>
      <c r="F24" s="130"/>
      <c r="G24" s="9"/>
      <c r="H24" s="9"/>
      <c r="I24" s="10">
        <f t="shared" si="0"/>
        <v>0</v>
      </c>
      <c r="J24" s="11"/>
      <c r="K24" s="11"/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spans="1:39" s="28" customFormat="1" ht="25.05" customHeight="1">
      <c r="A25" s="2"/>
      <c r="B25" s="21"/>
      <c r="C25" s="22"/>
      <c r="D25" s="23"/>
      <c r="E25" s="24"/>
      <c r="F25" s="24"/>
      <c r="G25" s="25"/>
      <c r="H25" s="25"/>
      <c r="I25" s="26"/>
      <c r="J25" s="27"/>
      <c r="K25" s="27">
        <f t="shared" ref="K25:AD25" si="2">SUM(K4:K24)</f>
        <v>2157.7199999999998</v>
      </c>
      <c r="L25" s="39">
        <f t="shared" si="2"/>
        <v>1094.5723534798549</v>
      </c>
      <c r="M25" s="27">
        <f t="shared" si="2"/>
        <v>58</v>
      </c>
      <c r="N25" s="27">
        <f t="shared" si="2"/>
        <v>0</v>
      </c>
      <c r="O25" s="27">
        <f t="shared" si="2"/>
        <v>520</v>
      </c>
      <c r="P25" s="27">
        <f t="shared" si="2"/>
        <v>0</v>
      </c>
      <c r="Q25" s="27">
        <f t="shared" si="2"/>
        <v>0</v>
      </c>
      <c r="R25" s="27">
        <f t="shared" si="2"/>
        <v>55</v>
      </c>
      <c r="S25" s="27">
        <f t="shared" si="2"/>
        <v>290</v>
      </c>
      <c r="T25" s="27">
        <f t="shared" si="2"/>
        <v>0</v>
      </c>
      <c r="U25" s="27">
        <f t="shared" si="2"/>
        <v>0</v>
      </c>
      <c r="V25" s="27">
        <f t="shared" si="2"/>
        <v>0</v>
      </c>
      <c r="W25" s="27">
        <f t="shared" si="2"/>
        <v>0</v>
      </c>
      <c r="X25" s="27">
        <f t="shared" si="2"/>
        <v>0</v>
      </c>
      <c r="Y25" s="27">
        <f t="shared" si="2"/>
        <v>0</v>
      </c>
      <c r="Z25" s="27">
        <f t="shared" si="2"/>
        <v>0</v>
      </c>
      <c r="AA25" s="27">
        <f t="shared" si="2"/>
        <v>0</v>
      </c>
      <c r="AB25" s="27">
        <f t="shared" si="2"/>
        <v>0</v>
      </c>
      <c r="AC25" s="27">
        <f t="shared" si="2"/>
        <v>0</v>
      </c>
      <c r="AD25" s="27">
        <f t="shared" si="2"/>
        <v>0</v>
      </c>
      <c r="AE25" s="27"/>
      <c r="AF25" s="27">
        <f t="shared" ref="AF25:AM25" si="3">SUM(AF4:AF24)</f>
        <v>0</v>
      </c>
      <c r="AG25" s="27">
        <f t="shared" si="3"/>
        <v>0</v>
      </c>
      <c r="AH25" s="27">
        <f t="shared" si="3"/>
        <v>0</v>
      </c>
      <c r="AI25" s="27">
        <f t="shared" si="3"/>
        <v>0</v>
      </c>
      <c r="AJ25" s="27">
        <f t="shared" si="3"/>
        <v>0</v>
      </c>
      <c r="AK25" s="27">
        <f t="shared" si="3"/>
        <v>0</v>
      </c>
      <c r="AL25" s="27">
        <f t="shared" si="3"/>
        <v>0</v>
      </c>
      <c r="AM25" s="27">
        <f t="shared" si="3"/>
        <v>0</v>
      </c>
    </row>
    <row r="26" spans="1:39" ht="25.05" customHeight="1">
      <c r="B26" s="5" t="s">
        <v>484</v>
      </c>
      <c r="C26" s="14" t="s">
        <v>43</v>
      </c>
      <c r="D26" s="6"/>
      <c r="E26" s="7" t="s">
        <v>41</v>
      </c>
      <c r="F26" s="8" t="s">
        <v>42</v>
      </c>
      <c r="G26" s="9">
        <v>0.29166666666666669</v>
      </c>
      <c r="H26" s="9">
        <v>0.33333333333333331</v>
      </c>
      <c r="I26" s="10">
        <f>H26-G26</f>
        <v>4.166666666666663E-2</v>
      </c>
      <c r="J26" s="11">
        <v>2</v>
      </c>
      <c r="K26" s="11">
        <v>0</v>
      </c>
      <c r="L26" s="16">
        <f>IFERROR(((K26/(J26*I26)/24)),"0")</f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spans="1:39" ht="25.05" customHeight="1">
      <c r="B27" s="13"/>
      <c r="C27" s="14"/>
      <c r="D27" s="6" t="s">
        <v>418</v>
      </c>
      <c r="E27" s="7" t="s">
        <v>501</v>
      </c>
      <c r="F27" s="8" t="s">
        <v>42</v>
      </c>
      <c r="G27" s="9">
        <v>0.33333333333333331</v>
      </c>
      <c r="H27" s="9">
        <v>0.41666666666666669</v>
      </c>
      <c r="I27" s="10">
        <f t="shared" ref="I27:I31" si="4">H27-G27</f>
        <v>8.333333333333337E-2</v>
      </c>
      <c r="J27" s="11">
        <v>12</v>
      </c>
      <c r="K27" s="11">
        <f>92*4</f>
        <v>368</v>
      </c>
      <c r="L27" s="16">
        <f t="shared" ref="L27:L31" si="5">IFERROR(((K27/(J27*I27)/24)),"0")</f>
        <v>15.333333333333327</v>
      </c>
      <c r="M27" s="11"/>
      <c r="N27" s="11"/>
      <c r="O27" s="11"/>
      <c r="P27" s="11"/>
      <c r="Q27" s="11"/>
      <c r="R27" s="12"/>
      <c r="S27" s="12"/>
      <c r="T27" s="11">
        <v>120</v>
      </c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spans="1:39" ht="25.05" customHeight="1">
      <c r="B28" s="13"/>
      <c r="C28" s="14"/>
      <c r="D28" s="6" t="s">
        <v>304</v>
      </c>
      <c r="E28" s="7" t="s">
        <v>502</v>
      </c>
      <c r="F28" s="8"/>
      <c r="G28" s="9">
        <v>0.41666666666666669</v>
      </c>
      <c r="H28" s="9">
        <v>0.5</v>
      </c>
      <c r="I28" s="10">
        <f t="shared" si="4"/>
        <v>8.3333333333333315E-2</v>
      </c>
      <c r="J28" s="11">
        <v>12</v>
      </c>
      <c r="K28" s="11">
        <f>105*2</f>
        <v>210</v>
      </c>
      <c r="L28" s="16">
        <f t="shared" si="5"/>
        <v>8.7500000000000018</v>
      </c>
      <c r="M28" s="11"/>
      <c r="N28" s="11"/>
      <c r="O28" s="11"/>
      <c r="P28" s="11"/>
      <c r="Q28" s="11"/>
      <c r="R28" s="12"/>
      <c r="S28" s="12">
        <v>120</v>
      </c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 spans="1:39" ht="25.05" customHeight="1">
      <c r="B29" s="13"/>
      <c r="C29" s="14"/>
      <c r="D29" s="30"/>
      <c r="E29" s="15" t="s">
        <v>104</v>
      </c>
      <c r="F29" s="8" t="s">
        <v>42</v>
      </c>
      <c r="G29" s="9">
        <v>0.5</v>
      </c>
      <c r="H29" s="9">
        <v>0.54166666666666663</v>
      </c>
      <c r="I29" s="10">
        <f t="shared" si="4"/>
        <v>4.166666666666663E-2</v>
      </c>
      <c r="J29" s="11">
        <v>12</v>
      </c>
      <c r="K29" s="11" t="s">
        <v>42</v>
      </c>
      <c r="L29" s="16" t="str">
        <f t="shared" si="5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spans="1:39" ht="25.05" customHeight="1">
      <c r="B30" s="13"/>
      <c r="C30" s="14"/>
      <c r="D30" s="6" t="s">
        <v>304</v>
      </c>
      <c r="E30" s="7" t="s">
        <v>503</v>
      </c>
      <c r="F30" s="8" t="s">
        <v>42</v>
      </c>
      <c r="G30" s="9">
        <v>0.54166666666666663</v>
      </c>
      <c r="H30" s="9">
        <v>0.70833333333333337</v>
      </c>
      <c r="I30" s="10">
        <f t="shared" si="4"/>
        <v>0.16666666666666674</v>
      </c>
      <c r="J30" s="11">
        <v>12</v>
      </c>
      <c r="K30" s="11">
        <f>105*4</f>
        <v>420</v>
      </c>
      <c r="L30" s="16">
        <f t="shared" si="5"/>
        <v>8.7499999999999964</v>
      </c>
      <c r="M30" s="11"/>
      <c r="N30" s="11"/>
      <c r="O30" s="11"/>
      <c r="P30" s="11"/>
      <c r="Q30" s="11"/>
      <c r="R30" s="12"/>
      <c r="S30" s="12">
        <v>240</v>
      </c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</row>
    <row r="31" spans="1:39" ht="25.05" customHeight="1">
      <c r="B31" s="13"/>
      <c r="C31" s="14"/>
      <c r="D31" s="30"/>
      <c r="E31" s="15" t="s">
        <v>96</v>
      </c>
      <c r="F31" s="8" t="s">
        <v>42</v>
      </c>
      <c r="G31" s="9">
        <v>0.70833333333333337</v>
      </c>
      <c r="H31" s="9">
        <v>0.72916666666666663</v>
      </c>
      <c r="I31" s="10">
        <f t="shared" si="4"/>
        <v>2.0833333333333259E-2</v>
      </c>
      <c r="J31" s="11">
        <v>12</v>
      </c>
      <c r="K31" s="11" t="s">
        <v>42</v>
      </c>
      <c r="L31" s="16" t="str">
        <f t="shared" si="5"/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</row>
    <row r="32" spans="1:39" s="28" customFormat="1" ht="25.05" customHeight="1">
      <c r="A32" s="2"/>
      <c r="B32" s="21"/>
      <c r="C32" s="22"/>
      <c r="D32" s="23"/>
      <c r="E32" s="24"/>
      <c r="F32" s="22"/>
      <c r="G32" s="25"/>
      <c r="H32" s="25"/>
      <c r="I32" s="26"/>
      <c r="J32" s="27"/>
      <c r="K32" s="27">
        <f t="shared" ref="K32:AD32" si="6">SUM(K26:K31)</f>
        <v>998</v>
      </c>
      <c r="L32" s="27">
        <f t="shared" si="6"/>
        <v>32.833333333333329</v>
      </c>
      <c r="M32" s="27">
        <f t="shared" si="6"/>
        <v>0</v>
      </c>
      <c r="N32" s="27">
        <f t="shared" si="6"/>
        <v>0</v>
      </c>
      <c r="O32" s="27">
        <f t="shared" si="6"/>
        <v>0</v>
      </c>
      <c r="P32" s="27">
        <f t="shared" si="6"/>
        <v>0</v>
      </c>
      <c r="Q32" s="27">
        <f t="shared" si="6"/>
        <v>0</v>
      </c>
      <c r="R32" s="27">
        <f t="shared" si="6"/>
        <v>0</v>
      </c>
      <c r="S32" s="27">
        <f t="shared" si="6"/>
        <v>360</v>
      </c>
      <c r="T32" s="27">
        <f t="shared" si="6"/>
        <v>120</v>
      </c>
      <c r="U32" s="27">
        <f t="shared" si="6"/>
        <v>0</v>
      </c>
      <c r="V32" s="27">
        <f t="shared" si="6"/>
        <v>0</v>
      </c>
      <c r="W32" s="27">
        <f t="shared" si="6"/>
        <v>0</v>
      </c>
      <c r="X32" s="27">
        <f t="shared" si="6"/>
        <v>0</v>
      </c>
      <c r="Y32" s="27">
        <f t="shared" si="6"/>
        <v>0</v>
      </c>
      <c r="Z32" s="27">
        <f t="shared" si="6"/>
        <v>0</v>
      </c>
      <c r="AA32" s="27">
        <f t="shared" si="6"/>
        <v>0</v>
      </c>
      <c r="AB32" s="27">
        <f t="shared" si="6"/>
        <v>0</v>
      </c>
      <c r="AC32" s="27">
        <f t="shared" si="6"/>
        <v>0</v>
      </c>
      <c r="AD32" s="27">
        <f t="shared" si="6"/>
        <v>0</v>
      </c>
      <c r="AE32" s="27"/>
      <c r="AF32" s="27">
        <f t="shared" ref="AF32:AM32" si="7">SUM(AF26:AF31)</f>
        <v>0</v>
      </c>
      <c r="AG32" s="27">
        <f t="shared" si="7"/>
        <v>0</v>
      </c>
      <c r="AH32" s="27">
        <f t="shared" si="7"/>
        <v>0</v>
      </c>
      <c r="AI32" s="27">
        <f t="shared" si="7"/>
        <v>0</v>
      </c>
      <c r="AJ32" s="27">
        <f t="shared" si="7"/>
        <v>0</v>
      </c>
      <c r="AK32" s="27">
        <f t="shared" si="7"/>
        <v>0</v>
      </c>
      <c r="AL32" s="27">
        <f t="shared" si="7"/>
        <v>0</v>
      </c>
      <c r="AM32" s="27">
        <f t="shared" si="7"/>
        <v>0</v>
      </c>
    </row>
    <row r="33" spans="2:39" ht="25.05" customHeight="1">
      <c r="B33" s="5" t="s">
        <v>484</v>
      </c>
      <c r="C33" s="29" t="s">
        <v>44</v>
      </c>
      <c r="D33" s="30"/>
      <c r="E33" s="7" t="s">
        <v>41</v>
      </c>
      <c r="F33" s="8" t="s">
        <v>42</v>
      </c>
      <c r="G33" s="9">
        <v>0.29166666666666669</v>
      </c>
      <c r="H33" s="9">
        <v>0.33333333333333331</v>
      </c>
      <c r="I33" s="10">
        <f t="shared" ref="I33:I96" si="8">H33-G33</f>
        <v>4.166666666666663E-2</v>
      </c>
      <c r="J33" s="11">
        <v>5</v>
      </c>
      <c r="K33" s="11">
        <v>0</v>
      </c>
      <c r="L33" s="16">
        <f t="shared" ref="L33:L96" si="9">IFERROR(((K33/(J33*I33)/24)),"0")</f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4"/>
    </row>
    <row r="34" spans="2:39" ht="25.05" customHeight="1">
      <c r="B34" s="13"/>
      <c r="C34" s="29"/>
      <c r="D34" s="30" t="s">
        <v>504</v>
      </c>
      <c r="E34" s="19" t="s">
        <v>505</v>
      </c>
      <c r="F34" s="8" t="s">
        <v>42</v>
      </c>
      <c r="G34" s="9">
        <v>0.33124999999999999</v>
      </c>
      <c r="H34" s="9">
        <v>0.33130787037037035</v>
      </c>
      <c r="I34" s="10">
        <f t="shared" si="8"/>
        <v>5.7870370370360913E-5</v>
      </c>
      <c r="J34" s="11">
        <v>3</v>
      </c>
      <c r="K34" s="11">
        <v>1.78</v>
      </c>
      <c r="L34" s="16">
        <f t="shared" si="9"/>
        <v>427.20000000006985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/>
      <c r="AA34" s="11"/>
      <c r="AB34" s="11"/>
      <c r="AC34" s="11">
        <v>1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4"/>
    </row>
    <row r="35" spans="2:39" ht="25.05" customHeight="1">
      <c r="B35" s="13"/>
      <c r="C35" s="29"/>
      <c r="D35" s="30"/>
      <c r="E35" s="19" t="s">
        <v>506</v>
      </c>
      <c r="F35" s="8" t="s">
        <v>42</v>
      </c>
      <c r="G35" s="9">
        <v>0.33194444444444443</v>
      </c>
      <c r="H35" s="9">
        <v>0.33200231481481479</v>
      </c>
      <c r="I35" s="10">
        <f t="shared" si="8"/>
        <v>5.7870370370360913E-5</v>
      </c>
      <c r="J35" s="11">
        <v>3</v>
      </c>
      <c r="K35" s="11">
        <v>1.78</v>
      </c>
      <c r="L35" s="16">
        <f t="shared" si="9"/>
        <v>427.20000000006985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/>
      <c r="AC35" s="11">
        <v>1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4"/>
    </row>
    <row r="36" spans="2:39" ht="24.75" customHeight="1">
      <c r="B36" s="13"/>
      <c r="C36" s="29"/>
      <c r="D36" s="30"/>
      <c r="E36" s="19" t="s">
        <v>507</v>
      </c>
      <c r="F36" s="8" t="s">
        <v>42</v>
      </c>
      <c r="G36" s="9">
        <v>0.33194444444444443</v>
      </c>
      <c r="H36" s="9">
        <v>0.33200231481481479</v>
      </c>
      <c r="I36" s="10">
        <f t="shared" si="8"/>
        <v>5.7870370370360913E-5</v>
      </c>
      <c r="J36" s="11">
        <v>3</v>
      </c>
      <c r="K36" s="11">
        <v>1.8</v>
      </c>
      <c r="L36" s="16">
        <f t="shared" si="9"/>
        <v>432.00000000007066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/>
      <c r="AC36" s="11">
        <v>1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4"/>
    </row>
    <row r="37" spans="2:39" ht="25.05" customHeight="1">
      <c r="B37" s="13"/>
      <c r="C37" s="29"/>
      <c r="D37" s="30"/>
      <c r="E37" s="19" t="s">
        <v>508</v>
      </c>
      <c r="F37" s="8" t="s">
        <v>42</v>
      </c>
      <c r="G37" s="9">
        <v>0.33263888888888887</v>
      </c>
      <c r="H37" s="9">
        <v>0.33269675925925923</v>
      </c>
      <c r="I37" s="10">
        <f t="shared" si="8"/>
        <v>5.7870370370360913E-5</v>
      </c>
      <c r="J37" s="11">
        <v>3</v>
      </c>
      <c r="K37" s="11">
        <v>1.79</v>
      </c>
      <c r="L37" s="16">
        <f t="shared" si="9"/>
        <v>429.60000000007022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>
        <v>1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4"/>
    </row>
    <row r="38" spans="2:39" ht="25.05" customHeight="1">
      <c r="B38" s="13"/>
      <c r="C38" s="29"/>
      <c r="D38" s="30"/>
      <c r="E38" s="19" t="s">
        <v>509</v>
      </c>
      <c r="F38" s="8" t="s">
        <v>42</v>
      </c>
      <c r="G38" s="9">
        <v>0.33263888888888887</v>
      </c>
      <c r="H38" s="9">
        <v>0.33269675925925923</v>
      </c>
      <c r="I38" s="10">
        <f t="shared" si="8"/>
        <v>5.7870370370360913E-5</v>
      </c>
      <c r="J38" s="11">
        <v>3</v>
      </c>
      <c r="K38" s="11">
        <v>1.78</v>
      </c>
      <c r="L38" s="16">
        <f t="shared" si="9"/>
        <v>427.20000000006985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/>
      <c r="AC38" s="11">
        <v>1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4"/>
    </row>
    <row r="39" spans="2:39" ht="25.05" customHeight="1">
      <c r="B39" s="13"/>
      <c r="C39" s="29"/>
      <c r="D39" s="30"/>
      <c r="E39" s="19" t="s">
        <v>510</v>
      </c>
      <c r="F39" s="8" t="s">
        <v>42</v>
      </c>
      <c r="G39" s="9">
        <v>0.33333333333333331</v>
      </c>
      <c r="H39" s="9">
        <v>0.33339120370370373</v>
      </c>
      <c r="I39" s="10">
        <f t="shared" si="8"/>
        <v>5.7870370370416424E-5</v>
      </c>
      <c r="J39" s="11">
        <v>3</v>
      </c>
      <c r="K39" s="11">
        <v>1.8</v>
      </c>
      <c r="L39" s="16">
        <f t="shared" si="9"/>
        <v>431.99999999965621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/>
      <c r="AC39" s="11">
        <v>1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4"/>
    </row>
    <row r="40" spans="2:39" ht="25.05" customHeight="1">
      <c r="B40" s="13"/>
      <c r="C40" s="29"/>
      <c r="D40" s="30"/>
      <c r="E40" s="19" t="s">
        <v>511</v>
      </c>
      <c r="F40" s="8" t="s">
        <v>42</v>
      </c>
      <c r="G40" s="9">
        <v>0.33333333333333331</v>
      </c>
      <c r="H40" s="9">
        <v>0.33339120370370373</v>
      </c>
      <c r="I40" s="10">
        <f t="shared" si="8"/>
        <v>5.7870370370416424E-5</v>
      </c>
      <c r="J40" s="11">
        <v>3</v>
      </c>
      <c r="K40" s="11">
        <v>1.79</v>
      </c>
      <c r="L40" s="16">
        <f t="shared" si="9"/>
        <v>429.59999999965817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>
        <v>1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4"/>
    </row>
    <row r="41" spans="2:39" ht="25.05" customHeight="1">
      <c r="B41" s="13"/>
      <c r="C41" s="29"/>
      <c r="D41" s="30"/>
      <c r="E41" s="19" t="s">
        <v>512</v>
      </c>
      <c r="F41" s="8" t="s">
        <v>42</v>
      </c>
      <c r="G41" s="9">
        <v>0.33402777777777776</v>
      </c>
      <c r="H41" s="9">
        <v>0.33408564814814817</v>
      </c>
      <c r="I41" s="10">
        <f t="shared" si="8"/>
        <v>5.7870370370416424E-5</v>
      </c>
      <c r="J41" s="11">
        <v>3</v>
      </c>
      <c r="K41" s="11">
        <v>1.82</v>
      </c>
      <c r="L41" s="16">
        <f t="shared" si="9"/>
        <v>436.79999999965236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>
        <v>1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4"/>
    </row>
    <row r="42" spans="2:39" ht="25.05" customHeight="1">
      <c r="B42" s="13"/>
      <c r="C42" s="29"/>
      <c r="D42" s="30"/>
      <c r="E42" s="19" t="s">
        <v>513</v>
      </c>
      <c r="F42" s="8" t="s">
        <v>42</v>
      </c>
      <c r="G42" s="9">
        <v>0.33402777777777776</v>
      </c>
      <c r="H42" s="9">
        <v>0.33408564814814817</v>
      </c>
      <c r="I42" s="10">
        <f t="shared" si="8"/>
        <v>5.7870370370416424E-5</v>
      </c>
      <c r="J42" s="11">
        <v>3</v>
      </c>
      <c r="K42" s="11">
        <v>0.89</v>
      </c>
      <c r="L42" s="16">
        <f t="shared" si="9"/>
        <v>213.59999999983003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/>
      <c r="AC42" s="11">
        <v>1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4"/>
    </row>
    <row r="43" spans="2:39" ht="25.05" customHeight="1">
      <c r="B43" s="13"/>
      <c r="C43" s="29"/>
      <c r="D43" s="30"/>
      <c r="E43" s="19" t="s">
        <v>514</v>
      </c>
      <c r="F43" s="8" t="s">
        <v>42</v>
      </c>
      <c r="G43" s="9">
        <v>0.34930555555555554</v>
      </c>
      <c r="H43" s="9">
        <v>0.35208333333333336</v>
      </c>
      <c r="I43" s="10">
        <f t="shared" si="8"/>
        <v>2.7777777777778234E-3</v>
      </c>
      <c r="J43" s="11">
        <v>4</v>
      </c>
      <c r="K43" s="11">
        <v>46.68</v>
      </c>
      <c r="L43" s="16">
        <f t="shared" si="9"/>
        <v>175.04999999999711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/>
      <c r="AA43" s="11"/>
      <c r="AB43" s="11"/>
      <c r="AC43" s="11"/>
      <c r="AD43" s="11">
        <v>4</v>
      </c>
      <c r="AE43" s="11"/>
      <c r="AF43" s="11"/>
      <c r="AG43" s="11"/>
      <c r="AH43" s="11"/>
      <c r="AI43" s="11"/>
      <c r="AJ43" s="11"/>
      <c r="AK43" s="11"/>
      <c r="AL43" s="11"/>
      <c r="AM43" s="14"/>
    </row>
    <row r="44" spans="2:39" ht="25.05" customHeight="1">
      <c r="B44" s="13"/>
      <c r="C44" s="29"/>
      <c r="D44" s="30"/>
      <c r="E44" s="19" t="s">
        <v>515</v>
      </c>
      <c r="F44" s="8" t="s">
        <v>42</v>
      </c>
      <c r="G44" s="9">
        <v>0.35555555555555557</v>
      </c>
      <c r="H44" s="9">
        <v>0.35833333333333334</v>
      </c>
      <c r="I44" s="10">
        <f t="shared" si="8"/>
        <v>2.7777777777777679E-3</v>
      </c>
      <c r="J44" s="11">
        <v>4</v>
      </c>
      <c r="K44" s="11">
        <v>50.46</v>
      </c>
      <c r="L44" s="16">
        <f t="shared" si="9"/>
        <v>189.22500000000068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/>
      <c r="AD44" s="11">
        <v>4</v>
      </c>
      <c r="AE44" s="11"/>
      <c r="AF44" s="11"/>
      <c r="AG44" s="11"/>
      <c r="AH44" s="11"/>
      <c r="AI44" s="11"/>
      <c r="AJ44" s="11"/>
      <c r="AK44" s="11"/>
      <c r="AL44" s="11"/>
      <c r="AM44" s="14"/>
    </row>
    <row r="45" spans="2:39" ht="25.05" customHeight="1">
      <c r="B45" s="13"/>
      <c r="C45" s="29"/>
      <c r="D45" s="30"/>
      <c r="E45" s="19" t="s">
        <v>516</v>
      </c>
      <c r="F45" s="8" t="s">
        <v>42</v>
      </c>
      <c r="G45" s="9">
        <v>0.36180555555555555</v>
      </c>
      <c r="H45" s="9">
        <v>0.36388888888888887</v>
      </c>
      <c r="I45" s="10">
        <f t="shared" si="8"/>
        <v>2.0833333333333259E-3</v>
      </c>
      <c r="J45" s="11">
        <v>4</v>
      </c>
      <c r="K45" s="11">
        <v>57.74</v>
      </c>
      <c r="L45" s="16">
        <f t="shared" si="9"/>
        <v>288.70000000000101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/>
      <c r="AA45" s="11"/>
      <c r="AB45" s="11"/>
      <c r="AC45" s="11"/>
      <c r="AD45" s="11">
        <v>3</v>
      </c>
      <c r="AE45" s="11"/>
      <c r="AF45" s="11"/>
      <c r="AG45" s="11"/>
      <c r="AH45" s="11"/>
      <c r="AI45" s="11"/>
      <c r="AJ45" s="11"/>
      <c r="AK45" s="11"/>
      <c r="AL45" s="11"/>
      <c r="AM45" s="14"/>
    </row>
    <row r="46" spans="2:39" ht="25.05" customHeight="1">
      <c r="B46" s="13"/>
      <c r="C46" s="29"/>
      <c r="D46" s="30"/>
      <c r="E46" s="19" t="s">
        <v>517</v>
      </c>
      <c r="F46" s="8" t="s">
        <v>42</v>
      </c>
      <c r="G46" s="9">
        <v>0.36736111111111114</v>
      </c>
      <c r="H46" s="9">
        <v>0.36944444444444446</v>
      </c>
      <c r="I46" s="10">
        <f t="shared" si="8"/>
        <v>2.0833333333333259E-3</v>
      </c>
      <c r="J46" s="11">
        <v>4</v>
      </c>
      <c r="K46" s="11">
        <v>51.36</v>
      </c>
      <c r="L46" s="16">
        <f t="shared" si="9"/>
        <v>256.80000000000092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/>
      <c r="AC46" s="11"/>
      <c r="AD46" s="11">
        <v>3</v>
      </c>
      <c r="AE46" s="11"/>
      <c r="AF46" s="11"/>
      <c r="AG46" s="11"/>
      <c r="AH46" s="11"/>
      <c r="AI46" s="11"/>
      <c r="AJ46" s="11"/>
      <c r="AK46" s="11"/>
      <c r="AL46" s="11"/>
      <c r="AM46" s="14"/>
    </row>
    <row r="47" spans="2:39" ht="25.05" customHeight="1">
      <c r="B47" s="13"/>
      <c r="C47" s="29"/>
      <c r="D47" s="30"/>
      <c r="E47" s="19" t="s">
        <v>518</v>
      </c>
      <c r="F47" s="8" t="s">
        <v>42</v>
      </c>
      <c r="G47" s="9">
        <v>0.37361111111111112</v>
      </c>
      <c r="H47" s="9">
        <v>0.37569444444444444</v>
      </c>
      <c r="I47" s="10">
        <f t="shared" si="8"/>
        <v>2.0833333333333259E-3</v>
      </c>
      <c r="J47" s="11">
        <v>4</v>
      </c>
      <c r="K47" s="11">
        <v>51.31</v>
      </c>
      <c r="L47" s="16">
        <f t="shared" si="9"/>
        <v>256.55000000000092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/>
      <c r="Y47" s="11"/>
      <c r="Z47" s="11"/>
      <c r="AA47" s="11"/>
      <c r="AB47" s="11"/>
      <c r="AC47" s="11"/>
      <c r="AD47" s="11">
        <v>3</v>
      </c>
      <c r="AE47" s="11"/>
      <c r="AF47" s="11"/>
      <c r="AG47" s="11"/>
      <c r="AH47" s="11"/>
      <c r="AI47" s="11"/>
      <c r="AJ47" s="11"/>
      <c r="AK47" s="11"/>
      <c r="AL47" s="11"/>
      <c r="AM47" s="14"/>
    </row>
    <row r="48" spans="2:39" ht="25.05" customHeight="1">
      <c r="B48" s="13"/>
      <c r="C48" s="29"/>
      <c r="D48" s="30"/>
      <c r="E48" s="19" t="s">
        <v>519</v>
      </c>
      <c r="F48" s="8" t="s">
        <v>42</v>
      </c>
      <c r="G48" s="9">
        <v>0.38055555555555554</v>
      </c>
      <c r="H48" s="9">
        <v>0.38263888888888886</v>
      </c>
      <c r="I48" s="10">
        <f t="shared" si="8"/>
        <v>2.0833333333333259E-3</v>
      </c>
      <c r="J48" s="11">
        <v>4</v>
      </c>
      <c r="K48" s="11">
        <v>53.49</v>
      </c>
      <c r="L48" s="16">
        <f t="shared" si="9"/>
        <v>267.45000000000095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>
        <v>3</v>
      </c>
      <c r="AE48" s="11"/>
      <c r="AF48" s="11"/>
      <c r="AG48" s="11"/>
      <c r="AH48" s="11"/>
      <c r="AI48" s="11"/>
      <c r="AJ48" s="11"/>
      <c r="AK48" s="11"/>
      <c r="AL48" s="11"/>
      <c r="AM48" s="14"/>
    </row>
    <row r="49" spans="2:39" ht="25.05" customHeight="1">
      <c r="B49" s="13"/>
      <c r="C49" s="29"/>
      <c r="D49" s="30"/>
      <c r="E49" s="19" t="s">
        <v>520</v>
      </c>
      <c r="F49" s="8" t="s">
        <v>42</v>
      </c>
      <c r="G49" s="9">
        <v>0.38611111111111113</v>
      </c>
      <c r="H49" s="9">
        <v>0.38819444444444445</v>
      </c>
      <c r="I49" s="10">
        <f t="shared" si="8"/>
        <v>2.0833333333333259E-3</v>
      </c>
      <c r="J49" s="11">
        <v>4</v>
      </c>
      <c r="K49" s="11">
        <v>53.09</v>
      </c>
      <c r="L49" s="16">
        <f t="shared" si="9"/>
        <v>265.45000000000095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/>
      <c r="AC49" s="11"/>
      <c r="AD49" s="11">
        <v>3</v>
      </c>
      <c r="AE49" s="11"/>
      <c r="AF49" s="11"/>
      <c r="AG49" s="11"/>
      <c r="AH49" s="11"/>
      <c r="AI49" s="11"/>
      <c r="AJ49" s="11"/>
      <c r="AK49" s="11"/>
      <c r="AL49" s="11"/>
      <c r="AM49" s="14"/>
    </row>
    <row r="50" spans="2:39" ht="25.05" customHeight="1">
      <c r="B50" s="13"/>
      <c r="C50" s="29"/>
      <c r="D50" s="30"/>
      <c r="E50" s="19" t="s">
        <v>521</v>
      </c>
      <c r="F50" s="8" t="s">
        <v>42</v>
      </c>
      <c r="G50" s="9">
        <v>0.3923611111111111</v>
      </c>
      <c r="H50" s="9">
        <v>0.39444444444444443</v>
      </c>
      <c r="I50" s="10">
        <f t="shared" si="8"/>
        <v>2.0833333333333259E-3</v>
      </c>
      <c r="J50" s="11">
        <v>4</v>
      </c>
      <c r="K50" s="11">
        <v>51.38</v>
      </c>
      <c r="L50" s="16">
        <f t="shared" si="9"/>
        <v>256.90000000000094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/>
      <c r="AC50" s="11"/>
      <c r="AD50" s="11">
        <v>3</v>
      </c>
      <c r="AE50" s="11"/>
      <c r="AF50" s="11"/>
      <c r="AG50" s="11"/>
      <c r="AH50" s="11"/>
      <c r="AI50" s="11"/>
      <c r="AJ50" s="11"/>
      <c r="AK50" s="11"/>
      <c r="AL50" s="11"/>
      <c r="AM50" s="14"/>
    </row>
    <row r="51" spans="2:39" ht="25.05" customHeight="1">
      <c r="B51" s="13"/>
      <c r="C51" s="29"/>
      <c r="D51" s="30"/>
      <c r="E51" s="19" t="s">
        <v>522</v>
      </c>
      <c r="F51" s="8" t="s">
        <v>42</v>
      </c>
      <c r="G51" s="9">
        <v>0.39791666666666664</v>
      </c>
      <c r="H51" s="9">
        <v>0.4</v>
      </c>
      <c r="I51" s="10">
        <f t="shared" si="8"/>
        <v>2.0833333333333814E-3</v>
      </c>
      <c r="J51" s="11">
        <v>4</v>
      </c>
      <c r="K51" s="11">
        <v>50.26</v>
      </c>
      <c r="L51" s="16">
        <f t="shared" si="9"/>
        <v>251.29999999999418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>
        <v>3</v>
      </c>
      <c r="AE51" s="11"/>
      <c r="AF51" s="11"/>
      <c r="AG51" s="11"/>
      <c r="AH51" s="11"/>
      <c r="AI51" s="11"/>
      <c r="AJ51" s="11"/>
      <c r="AK51" s="11"/>
      <c r="AL51" s="11"/>
      <c r="AM51" s="14"/>
    </row>
    <row r="52" spans="2:39" ht="25.05" customHeight="1">
      <c r="B52" s="13"/>
      <c r="C52" s="29"/>
      <c r="D52" s="30"/>
      <c r="E52" s="19" t="s">
        <v>523</v>
      </c>
      <c r="F52" s="8" t="s">
        <v>42</v>
      </c>
      <c r="G52" s="9">
        <v>0.40347222222222223</v>
      </c>
      <c r="H52" s="9">
        <v>0.40555555555555556</v>
      </c>
      <c r="I52" s="10">
        <f t="shared" si="8"/>
        <v>2.0833333333333259E-3</v>
      </c>
      <c r="J52" s="11">
        <v>4</v>
      </c>
      <c r="K52" s="11">
        <v>56.17</v>
      </c>
      <c r="L52" s="16">
        <f t="shared" si="9"/>
        <v>280.85000000000099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/>
      <c r="AB52" s="11"/>
      <c r="AC52" s="11"/>
      <c r="AD52" s="11">
        <v>3</v>
      </c>
      <c r="AE52" s="11"/>
      <c r="AF52" s="11"/>
      <c r="AG52" s="11"/>
      <c r="AH52" s="11"/>
      <c r="AI52" s="11"/>
      <c r="AJ52" s="11"/>
      <c r="AK52" s="11"/>
      <c r="AL52" s="11"/>
      <c r="AM52" s="14"/>
    </row>
    <row r="53" spans="2:39" ht="25.05" customHeight="1">
      <c r="B53" s="13"/>
      <c r="C53" s="29"/>
      <c r="D53" s="30"/>
      <c r="E53" s="19" t="s">
        <v>524</v>
      </c>
      <c r="F53" s="8" t="s">
        <v>42</v>
      </c>
      <c r="G53" s="9">
        <v>0.41180555555555554</v>
      </c>
      <c r="H53" s="9">
        <v>0.41388888888888886</v>
      </c>
      <c r="I53" s="10">
        <f t="shared" si="8"/>
        <v>2.0833333333333259E-3</v>
      </c>
      <c r="J53" s="11">
        <v>4</v>
      </c>
      <c r="K53" s="11">
        <v>50.18</v>
      </c>
      <c r="L53" s="16">
        <f t="shared" si="9"/>
        <v>250.90000000000089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/>
      <c r="AD53" s="11">
        <v>3</v>
      </c>
      <c r="AE53" s="11"/>
      <c r="AF53" s="11"/>
      <c r="AG53" s="11"/>
      <c r="AH53" s="11"/>
      <c r="AI53" s="11"/>
      <c r="AJ53" s="11"/>
      <c r="AK53" s="11"/>
      <c r="AL53" s="11"/>
      <c r="AM53" s="14"/>
    </row>
    <row r="54" spans="2:39" ht="25.05" customHeight="1">
      <c r="B54" s="13"/>
      <c r="C54" s="29"/>
      <c r="D54" s="30"/>
      <c r="E54" s="19" t="s">
        <v>525</v>
      </c>
      <c r="F54" s="8" t="s">
        <v>42</v>
      </c>
      <c r="G54" s="9">
        <v>0.41805555555555557</v>
      </c>
      <c r="H54" s="9">
        <v>0.42083333333333334</v>
      </c>
      <c r="I54" s="10">
        <f t="shared" si="8"/>
        <v>2.7777777777777679E-3</v>
      </c>
      <c r="J54" s="11">
        <v>4</v>
      </c>
      <c r="K54" s="11">
        <v>53.3</v>
      </c>
      <c r="L54" s="16">
        <f>IFERROR(((K54/(J54*I54)/24)),"0")</f>
        <v>199.87500000000068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/>
      <c r="AB54" s="11"/>
      <c r="AC54" s="11"/>
      <c r="AD54" s="11">
        <v>4</v>
      </c>
      <c r="AE54" s="11"/>
      <c r="AF54" s="11"/>
      <c r="AG54" s="11"/>
      <c r="AH54" s="11"/>
      <c r="AI54" s="11"/>
      <c r="AJ54" s="11"/>
      <c r="AK54" s="11"/>
      <c r="AL54" s="11"/>
      <c r="AM54" s="14"/>
    </row>
    <row r="55" spans="2:39" ht="25.05" customHeight="1">
      <c r="B55" s="13"/>
      <c r="C55" s="29"/>
      <c r="D55" s="30"/>
      <c r="E55" s="19" t="s">
        <v>526</v>
      </c>
      <c r="F55" s="8" t="s">
        <v>42</v>
      </c>
      <c r="G55" s="9">
        <v>0.42499999999999999</v>
      </c>
      <c r="H55" s="9">
        <v>0.42708333333333331</v>
      </c>
      <c r="I55" s="10">
        <f t="shared" si="8"/>
        <v>2.0833333333333259E-3</v>
      </c>
      <c r="J55" s="11">
        <v>4</v>
      </c>
      <c r="K55" s="11">
        <v>49.66</v>
      </c>
      <c r="L55" s="16">
        <f t="shared" si="9"/>
        <v>248.30000000000086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/>
      <c r="AC55" s="11"/>
      <c r="AD55" s="11">
        <v>3</v>
      </c>
      <c r="AE55" s="11"/>
      <c r="AF55" s="11"/>
      <c r="AG55" s="11"/>
      <c r="AH55" s="11"/>
      <c r="AI55" s="11"/>
      <c r="AJ55" s="11"/>
      <c r="AK55" s="11"/>
      <c r="AL55" s="11"/>
      <c r="AM55" s="14"/>
    </row>
    <row r="56" spans="2:39" ht="25.05" customHeight="1">
      <c r="B56" s="13"/>
      <c r="C56" s="29"/>
      <c r="D56" s="30"/>
      <c r="E56" s="19" t="s">
        <v>527</v>
      </c>
      <c r="F56" s="8" t="s">
        <v>42</v>
      </c>
      <c r="G56" s="9">
        <v>0.43055555555555558</v>
      </c>
      <c r="H56" s="9">
        <v>0.43263888888888891</v>
      </c>
      <c r="I56" s="10">
        <f t="shared" si="8"/>
        <v>2.0833333333333259E-3</v>
      </c>
      <c r="J56" s="11">
        <v>4</v>
      </c>
      <c r="K56" s="11">
        <v>50.77</v>
      </c>
      <c r="L56" s="16">
        <f t="shared" si="9"/>
        <v>253.85000000000093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/>
      <c r="AA56" s="11"/>
      <c r="AB56" s="11"/>
      <c r="AC56" s="11"/>
      <c r="AD56" s="11">
        <v>3</v>
      </c>
      <c r="AE56" s="11"/>
      <c r="AF56" s="11"/>
      <c r="AG56" s="11"/>
      <c r="AH56" s="11"/>
      <c r="AI56" s="11"/>
      <c r="AJ56" s="11"/>
      <c r="AK56" s="11"/>
      <c r="AL56" s="11"/>
      <c r="AM56" s="14"/>
    </row>
    <row r="57" spans="2:39" ht="25.05" customHeight="1">
      <c r="B57" s="13"/>
      <c r="C57" s="29"/>
      <c r="D57" s="30"/>
      <c r="E57" s="19" t="s">
        <v>528</v>
      </c>
      <c r="F57" s="8" t="s">
        <v>42</v>
      </c>
      <c r="G57" s="9">
        <v>0.43541666666666667</v>
      </c>
      <c r="H57" s="9">
        <v>0.43819444444444444</v>
      </c>
      <c r="I57" s="10">
        <f t="shared" si="8"/>
        <v>2.7777777777777679E-3</v>
      </c>
      <c r="J57" s="11">
        <v>4</v>
      </c>
      <c r="K57" s="11">
        <v>51.64</v>
      </c>
      <c r="L57" s="16">
        <f t="shared" si="9"/>
        <v>193.65000000000069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/>
      <c r="Z57" s="11"/>
      <c r="AA57" s="11"/>
      <c r="AB57" s="11"/>
      <c r="AC57" s="11"/>
      <c r="AD57" s="11">
        <v>4</v>
      </c>
      <c r="AE57" s="11"/>
      <c r="AF57" s="11"/>
      <c r="AG57" s="11"/>
      <c r="AH57" s="11"/>
      <c r="AI57" s="11"/>
      <c r="AJ57" s="11"/>
      <c r="AK57" s="11"/>
      <c r="AL57" s="11"/>
      <c r="AM57" s="14"/>
    </row>
    <row r="58" spans="2:39" ht="25.05" customHeight="1">
      <c r="B58" s="13"/>
      <c r="C58" s="29"/>
      <c r="D58" s="30"/>
      <c r="E58" s="19" t="s">
        <v>529</v>
      </c>
      <c r="F58" s="8" t="s">
        <v>42</v>
      </c>
      <c r="G58" s="9">
        <v>0.49930555555555556</v>
      </c>
      <c r="H58" s="9">
        <v>0.50277777777777777</v>
      </c>
      <c r="I58" s="10">
        <f t="shared" si="8"/>
        <v>3.4722222222222099E-3</v>
      </c>
      <c r="J58" s="11">
        <v>4</v>
      </c>
      <c r="K58" s="11">
        <v>50.57</v>
      </c>
      <c r="L58" s="16">
        <f t="shared" si="9"/>
        <v>151.71000000000055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/>
      <c r="AA58" s="11"/>
      <c r="AB58" s="11"/>
      <c r="AC58" s="11"/>
      <c r="AD58" s="11">
        <v>5</v>
      </c>
      <c r="AE58" s="11"/>
      <c r="AF58" s="11"/>
      <c r="AG58" s="11"/>
      <c r="AH58" s="11"/>
      <c r="AI58" s="11"/>
      <c r="AJ58" s="11"/>
      <c r="AK58" s="11"/>
      <c r="AL58" s="11"/>
      <c r="AM58" s="14"/>
    </row>
    <row r="59" spans="2:39" ht="25.05" customHeight="1">
      <c r="B59" s="13"/>
      <c r="C59" s="29"/>
      <c r="D59" s="30"/>
      <c r="E59" s="19" t="s">
        <v>530</v>
      </c>
      <c r="F59" s="8" t="s">
        <v>42</v>
      </c>
      <c r="G59" s="9">
        <v>0.50694444444444442</v>
      </c>
      <c r="H59" s="9">
        <v>0.50972222222222219</v>
      </c>
      <c r="I59" s="10">
        <f t="shared" si="8"/>
        <v>2.7777777777777679E-3</v>
      </c>
      <c r="J59" s="11">
        <v>4</v>
      </c>
      <c r="K59" s="11">
        <v>50.56</v>
      </c>
      <c r="L59" s="16">
        <f t="shared" si="9"/>
        <v>189.60000000000068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/>
      <c r="AB59" s="11"/>
      <c r="AC59" s="11"/>
      <c r="AD59" s="11">
        <v>4</v>
      </c>
      <c r="AE59" s="11"/>
      <c r="AF59" s="11"/>
      <c r="AG59" s="11"/>
      <c r="AH59" s="11"/>
      <c r="AI59" s="11"/>
      <c r="AJ59" s="11"/>
      <c r="AK59" s="11"/>
      <c r="AL59" s="11"/>
      <c r="AM59" s="14"/>
    </row>
    <row r="60" spans="2:39" ht="25.05" customHeight="1">
      <c r="B60" s="13"/>
      <c r="C60" s="29"/>
      <c r="D60" s="30"/>
      <c r="E60" s="19" t="s">
        <v>531</v>
      </c>
      <c r="F60" s="8" t="s">
        <v>42</v>
      </c>
      <c r="G60" s="9">
        <v>0.35347222222222224</v>
      </c>
      <c r="H60" s="9">
        <v>0.36249999999999999</v>
      </c>
      <c r="I60" s="10">
        <f t="shared" si="8"/>
        <v>9.0277777777777457E-3</v>
      </c>
      <c r="J60" s="11">
        <v>8</v>
      </c>
      <c r="K60" s="11">
        <v>131.11000000000001</v>
      </c>
      <c r="L60" s="16">
        <f t="shared" si="9"/>
        <v>75.640384615384889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3</v>
      </c>
      <c r="W60" s="12"/>
      <c r="X60" s="11"/>
      <c r="Y60" s="11"/>
      <c r="Z60" s="11"/>
      <c r="AA60" s="11"/>
      <c r="AB60" s="11">
        <v>13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4"/>
    </row>
    <row r="61" spans="2:39" ht="25.05" customHeight="1">
      <c r="B61" s="13"/>
      <c r="C61" s="29"/>
      <c r="D61" s="30"/>
      <c r="E61" s="19" t="s">
        <v>532</v>
      </c>
      <c r="F61" s="8" t="s">
        <v>42</v>
      </c>
      <c r="G61" s="9">
        <v>0.3659722222222222</v>
      </c>
      <c r="H61" s="9">
        <v>0.37430555555555556</v>
      </c>
      <c r="I61" s="10">
        <f t="shared" si="8"/>
        <v>8.3333333333333592E-3</v>
      </c>
      <c r="J61" s="11">
        <v>8</v>
      </c>
      <c r="K61" s="11">
        <v>126.36</v>
      </c>
      <c r="L61" s="16">
        <f t="shared" si="9"/>
        <v>78.974999999999753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3</v>
      </c>
      <c r="W61" s="12"/>
      <c r="X61" s="11"/>
      <c r="Y61" s="11"/>
      <c r="Z61" s="11"/>
      <c r="AA61" s="11"/>
      <c r="AB61" s="11">
        <v>12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4"/>
    </row>
    <row r="62" spans="2:39" ht="25.05" customHeight="1">
      <c r="B62" s="13"/>
      <c r="C62" s="29"/>
      <c r="D62" s="30"/>
      <c r="E62" s="19" t="s">
        <v>533</v>
      </c>
      <c r="F62" s="8" t="s">
        <v>42</v>
      </c>
      <c r="G62" s="9">
        <v>0.51458333333333328</v>
      </c>
      <c r="H62" s="9">
        <v>0.52222222222222225</v>
      </c>
      <c r="I62" s="10">
        <f t="shared" si="8"/>
        <v>7.6388888888889728E-3</v>
      </c>
      <c r="J62" s="11">
        <v>8</v>
      </c>
      <c r="K62" s="11">
        <v>130.36000000000001</v>
      </c>
      <c r="L62" s="16">
        <f t="shared" si="9"/>
        <v>88.881818181817209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3</v>
      </c>
      <c r="W62" s="12"/>
      <c r="X62" s="11"/>
      <c r="Y62" s="11"/>
      <c r="Z62" s="11"/>
      <c r="AA62" s="11"/>
      <c r="AB62" s="11">
        <v>11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4"/>
    </row>
    <row r="63" spans="2:39" ht="25.05" customHeight="1">
      <c r="B63" s="13"/>
      <c r="C63" s="29"/>
      <c r="D63" s="30"/>
      <c r="E63" s="19" t="s">
        <v>534</v>
      </c>
      <c r="F63" s="8" t="s">
        <v>42</v>
      </c>
      <c r="G63" s="9">
        <v>0.53263888888888888</v>
      </c>
      <c r="H63" s="9">
        <v>0.54166666666666663</v>
      </c>
      <c r="I63" s="10">
        <f t="shared" si="8"/>
        <v>9.0277777777777457E-3</v>
      </c>
      <c r="J63" s="11">
        <v>8</v>
      </c>
      <c r="K63" s="11">
        <v>129.85</v>
      </c>
      <c r="L63" s="16">
        <f t="shared" si="9"/>
        <v>74.913461538461803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3</v>
      </c>
      <c r="W63" s="12"/>
      <c r="X63" s="11"/>
      <c r="Y63" s="11"/>
      <c r="Z63" s="11"/>
      <c r="AA63" s="11"/>
      <c r="AB63" s="11">
        <v>13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4"/>
    </row>
    <row r="64" spans="2:39" ht="25.05" customHeight="1">
      <c r="B64" s="13"/>
      <c r="C64" s="29"/>
      <c r="D64" s="30"/>
      <c r="E64" s="19" t="s">
        <v>535</v>
      </c>
      <c r="F64" s="8" t="s">
        <v>42</v>
      </c>
      <c r="G64" s="9">
        <v>0.64027777777777772</v>
      </c>
      <c r="H64" s="9">
        <v>0.65069444444444446</v>
      </c>
      <c r="I64" s="10">
        <f t="shared" si="8"/>
        <v>1.0416666666666741E-2</v>
      </c>
      <c r="J64" s="11">
        <v>8</v>
      </c>
      <c r="K64" s="11">
        <v>129.86000000000001</v>
      </c>
      <c r="L64" s="16">
        <f t="shared" si="9"/>
        <v>64.929999999999538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3</v>
      </c>
      <c r="W64" s="12"/>
      <c r="X64" s="11"/>
      <c r="Y64" s="11"/>
      <c r="Z64" s="11"/>
      <c r="AA64" s="11"/>
      <c r="AB64" s="11">
        <v>15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4"/>
    </row>
    <row r="65" spans="2:39" ht="25.05" customHeight="1">
      <c r="B65" s="13"/>
      <c r="C65" s="29"/>
      <c r="D65" s="30"/>
      <c r="E65" s="19" t="s">
        <v>536</v>
      </c>
      <c r="F65" s="8" t="s">
        <v>42</v>
      </c>
      <c r="G65" s="9">
        <v>0.68958333333333333</v>
      </c>
      <c r="H65" s="9">
        <v>0.69791666666666663</v>
      </c>
      <c r="I65" s="10">
        <f t="shared" si="8"/>
        <v>8.3333333333333037E-3</v>
      </c>
      <c r="J65" s="11">
        <v>8</v>
      </c>
      <c r="K65" s="11">
        <v>126.62</v>
      </c>
      <c r="L65" s="16">
        <f t="shared" si="9"/>
        <v>79.137500000000287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3</v>
      </c>
      <c r="W65" s="12"/>
      <c r="X65" s="11"/>
      <c r="Y65" s="11"/>
      <c r="Z65" s="11"/>
      <c r="AA65" s="11"/>
      <c r="AB65" s="11">
        <v>12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4"/>
    </row>
    <row r="66" spans="2:39" ht="25.05" customHeight="1">
      <c r="B66" s="13"/>
      <c r="C66" s="29"/>
      <c r="D66" s="30"/>
      <c r="E66" s="19" t="s">
        <v>537</v>
      </c>
      <c r="F66" s="8" t="s">
        <v>42</v>
      </c>
      <c r="G66" s="9">
        <v>0.70625000000000004</v>
      </c>
      <c r="H66" s="9">
        <v>0.71388888888888891</v>
      </c>
      <c r="I66" s="10">
        <f t="shared" si="8"/>
        <v>7.6388888888888618E-3</v>
      </c>
      <c r="J66" s="11">
        <v>8</v>
      </c>
      <c r="K66" s="11">
        <v>122</v>
      </c>
      <c r="L66" s="16">
        <f t="shared" si="9"/>
        <v>83.181818181818485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3</v>
      </c>
      <c r="W66" s="12"/>
      <c r="X66" s="11"/>
      <c r="Y66" s="11"/>
      <c r="Z66" s="11"/>
      <c r="AA66" s="11"/>
      <c r="AB66" s="11">
        <v>11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4"/>
    </row>
    <row r="67" spans="2:39" ht="25.05" customHeight="1">
      <c r="B67" s="13"/>
      <c r="C67" s="29"/>
      <c r="D67" s="30"/>
      <c r="E67" s="19" t="s">
        <v>538</v>
      </c>
      <c r="F67" s="8" t="s">
        <v>42</v>
      </c>
      <c r="G67" s="9">
        <v>0.72361111111111109</v>
      </c>
      <c r="H67" s="9">
        <v>0.73124999999999996</v>
      </c>
      <c r="I67" s="10">
        <f t="shared" si="8"/>
        <v>7.6388888888888618E-3</v>
      </c>
      <c r="J67" s="11">
        <v>8</v>
      </c>
      <c r="K67" s="11">
        <v>126.36</v>
      </c>
      <c r="L67" s="16">
        <f t="shared" si="9"/>
        <v>86.154545454545769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3</v>
      </c>
      <c r="W67" s="12"/>
      <c r="X67" s="11"/>
      <c r="Y67" s="11"/>
      <c r="Z67" s="11"/>
      <c r="AA67" s="11"/>
      <c r="AB67" s="11">
        <v>11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4"/>
    </row>
    <row r="68" spans="2:39" ht="25.05" customHeight="1">
      <c r="B68" s="13"/>
      <c r="C68" s="29"/>
      <c r="D68" s="30"/>
      <c r="E68" s="19" t="s">
        <v>539</v>
      </c>
      <c r="F68" s="8" t="s">
        <v>42</v>
      </c>
      <c r="G68" s="9">
        <v>0.73541666666666672</v>
      </c>
      <c r="H68" s="9">
        <v>0.73750000000000004</v>
      </c>
      <c r="I68" s="10">
        <f t="shared" si="8"/>
        <v>2.0833333333333259E-3</v>
      </c>
      <c r="J68" s="11">
        <v>8</v>
      </c>
      <c r="K68" s="11">
        <v>120</v>
      </c>
      <c r="L68" s="16">
        <f t="shared" si="9"/>
        <v>300.00000000000108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3</v>
      </c>
      <c r="W68" s="12"/>
      <c r="X68" s="11"/>
      <c r="Y68" s="11"/>
      <c r="Z68" s="11"/>
      <c r="AA68" s="11"/>
      <c r="AB68" s="11">
        <v>3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4"/>
    </row>
    <row r="69" spans="2:39" ht="25.05" customHeight="1">
      <c r="B69" s="13"/>
      <c r="C69" s="29"/>
      <c r="D69" s="30"/>
      <c r="E69" s="19" t="s">
        <v>540</v>
      </c>
      <c r="F69" s="8" t="s">
        <v>42</v>
      </c>
      <c r="G69" s="9">
        <v>0.39305555555555555</v>
      </c>
      <c r="H69" s="9">
        <v>0.39513888888888887</v>
      </c>
      <c r="I69" s="10">
        <f t="shared" si="8"/>
        <v>2.0833333333333259E-3</v>
      </c>
      <c r="J69" s="11">
        <v>2</v>
      </c>
      <c r="K69" s="11">
        <f>10.56*4</f>
        <v>42.24</v>
      </c>
      <c r="L69" s="16">
        <f t="shared" si="9"/>
        <v>422.40000000000151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3</v>
      </c>
      <c r="W69" s="12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4"/>
    </row>
    <row r="70" spans="2:39" ht="25.05" customHeight="1">
      <c r="B70" s="13"/>
      <c r="C70" s="29"/>
      <c r="D70" s="30"/>
      <c r="E70" s="19" t="s">
        <v>541</v>
      </c>
      <c r="F70" s="8" t="s">
        <v>42</v>
      </c>
      <c r="G70" s="9">
        <v>0.40763888888888888</v>
      </c>
      <c r="H70" s="9">
        <v>0.40972222222222221</v>
      </c>
      <c r="I70" s="10">
        <f t="shared" si="8"/>
        <v>2.0833333333333259E-3</v>
      </c>
      <c r="J70" s="11">
        <v>2</v>
      </c>
      <c r="K70" s="11">
        <f>10.26*4.5</f>
        <v>46.17</v>
      </c>
      <c r="L70" s="16">
        <f t="shared" si="9"/>
        <v>461.70000000000164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3</v>
      </c>
      <c r="W70" s="12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4"/>
    </row>
    <row r="71" spans="2:39" ht="25.05" customHeight="1">
      <c r="B71" s="13"/>
      <c r="C71" s="29"/>
      <c r="D71" s="30"/>
      <c r="E71" s="19"/>
      <c r="F71" s="8" t="s">
        <v>42</v>
      </c>
      <c r="G71" s="9"/>
      <c r="H71" s="9"/>
      <c r="I71" s="10">
        <f t="shared" si="8"/>
        <v>0</v>
      </c>
      <c r="J71" s="11"/>
      <c r="K71" s="11"/>
      <c r="L71" s="16" t="str">
        <f t="shared" si="9"/>
        <v>0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4"/>
    </row>
    <row r="72" spans="2:39" ht="25.05" customHeight="1">
      <c r="B72" s="13"/>
      <c r="C72" s="29"/>
      <c r="D72" s="30" t="s">
        <v>79</v>
      </c>
      <c r="E72" s="19" t="s">
        <v>132</v>
      </c>
      <c r="F72" s="8" t="s">
        <v>42</v>
      </c>
      <c r="G72" s="9">
        <v>0.32430555555555557</v>
      </c>
      <c r="H72" s="9">
        <v>0.32442129629629629</v>
      </c>
      <c r="I72" s="10">
        <f t="shared" si="8"/>
        <v>1.1574074074072183E-4</v>
      </c>
      <c r="J72" s="11">
        <v>3</v>
      </c>
      <c r="K72" s="11">
        <v>27.07</v>
      </c>
      <c r="L72" s="16">
        <f t="shared" si="9"/>
        <v>3248.4000000005308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4"/>
    </row>
    <row r="73" spans="2:39" ht="25.05" customHeight="1">
      <c r="B73" s="13"/>
      <c r="C73" s="29"/>
      <c r="D73" s="30"/>
      <c r="E73" s="19" t="s">
        <v>133</v>
      </c>
      <c r="F73" s="8" t="s">
        <v>42</v>
      </c>
      <c r="G73" s="9">
        <v>0.3263888888888889</v>
      </c>
      <c r="H73" s="9">
        <v>0.32650462962962962</v>
      </c>
      <c r="I73" s="10">
        <f t="shared" si="8"/>
        <v>1.1574074074072183E-4</v>
      </c>
      <c r="J73" s="11">
        <v>3</v>
      </c>
      <c r="K73" s="11">
        <v>27.14</v>
      </c>
      <c r="L73" s="16">
        <f t="shared" si="9"/>
        <v>3256.8000000005322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4"/>
    </row>
    <row r="74" spans="2:39" ht="25.05" customHeight="1">
      <c r="B74" s="13"/>
      <c r="C74" s="29"/>
      <c r="D74" s="30"/>
      <c r="E74" s="19" t="s">
        <v>117</v>
      </c>
      <c r="F74" s="8" t="s">
        <v>42</v>
      </c>
      <c r="G74" s="9">
        <v>0.32847222222222222</v>
      </c>
      <c r="H74" s="9">
        <v>0.32853009259259258</v>
      </c>
      <c r="I74" s="10">
        <f t="shared" si="8"/>
        <v>5.7870370370360913E-5</v>
      </c>
      <c r="J74" s="11">
        <v>3</v>
      </c>
      <c r="K74" s="11">
        <v>1.88</v>
      </c>
      <c r="L74" s="16">
        <f t="shared" si="9"/>
        <v>451.20000000007371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/>
      <c r="Z74" s="11"/>
      <c r="AA74" s="11"/>
      <c r="AB74" s="11"/>
      <c r="AC74" s="11">
        <v>1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4"/>
    </row>
    <row r="75" spans="2:39" ht="25.05" customHeight="1">
      <c r="B75" s="13"/>
      <c r="C75" s="29"/>
      <c r="D75" s="30"/>
      <c r="E75" s="19" t="s">
        <v>118</v>
      </c>
      <c r="F75" s="8" t="s">
        <v>42</v>
      </c>
      <c r="G75" s="9">
        <v>0.32916666666666666</v>
      </c>
      <c r="H75" s="9">
        <v>0.32922453703703702</v>
      </c>
      <c r="I75" s="10">
        <f t="shared" si="8"/>
        <v>5.7870370370360913E-5</v>
      </c>
      <c r="J75" s="11">
        <v>3</v>
      </c>
      <c r="K75" s="11">
        <v>1.98</v>
      </c>
      <c r="L75" s="16">
        <f t="shared" si="9"/>
        <v>475.20000000007764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/>
      <c r="Z75" s="11"/>
      <c r="AA75" s="11"/>
      <c r="AB75" s="11"/>
      <c r="AC75" s="11">
        <v>1</v>
      </c>
      <c r="AD75" s="11"/>
      <c r="AE75" s="11"/>
      <c r="AF75" s="11"/>
      <c r="AG75" s="11"/>
      <c r="AH75" s="11"/>
      <c r="AI75" s="11"/>
      <c r="AJ75" s="11"/>
      <c r="AK75" s="11"/>
      <c r="AL75" s="11"/>
      <c r="AM75" s="14"/>
    </row>
    <row r="76" spans="2:39" ht="25.05" customHeight="1">
      <c r="B76" s="13"/>
      <c r="C76" s="29"/>
      <c r="D76" s="30"/>
      <c r="E76" s="19"/>
      <c r="F76" s="8" t="s">
        <v>42</v>
      </c>
      <c r="G76" s="9"/>
      <c r="H76" s="9"/>
      <c r="I76" s="10">
        <f t="shared" si="8"/>
        <v>0</v>
      </c>
      <c r="J76" s="11"/>
      <c r="K76" s="11"/>
      <c r="L76" s="16" t="str">
        <f t="shared" si="9"/>
        <v>0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4"/>
    </row>
    <row r="77" spans="2:39" ht="25.05" customHeight="1">
      <c r="B77" s="13"/>
      <c r="C77" s="29"/>
      <c r="D77" s="30" t="s">
        <v>301</v>
      </c>
      <c r="E77" s="19" t="s">
        <v>542</v>
      </c>
      <c r="F77" s="8" t="s">
        <v>42</v>
      </c>
      <c r="G77" s="9">
        <v>0.40902777777777777</v>
      </c>
      <c r="H77" s="9">
        <v>0.44097222222222221</v>
      </c>
      <c r="I77" s="10">
        <f t="shared" si="8"/>
        <v>3.1944444444444442E-2</v>
      </c>
      <c r="J77" s="11">
        <v>4</v>
      </c>
      <c r="K77" s="11">
        <v>90.52</v>
      </c>
      <c r="L77" s="16">
        <f t="shared" si="9"/>
        <v>29.517391304347825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2</v>
      </c>
      <c r="W77" s="12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>
        <v>15.33</v>
      </c>
      <c r="AI77" s="11">
        <v>15.33</v>
      </c>
      <c r="AJ77" s="11">
        <v>15.33</v>
      </c>
      <c r="AK77" s="11"/>
      <c r="AL77" s="11"/>
      <c r="AM77" s="14"/>
    </row>
    <row r="78" spans="2:39" ht="25.05" customHeight="1">
      <c r="B78" s="13"/>
      <c r="C78" s="29"/>
      <c r="D78" s="30"/>
      <c r="E78" s="19" t="s">
        <v>543</v>
      </c>
      <c r="F78" s="8" t="s">
        <v>42</v>
      </c>
      <c r="G78" s="9">
        <v>0.44166666666666665</v>
      </c>
      <c r="H78" s="9">
        <v>0.47222222222222221</v>
      </c>
      <c r="I78" s="10">
        <f t="shared" si="8"/>
        <v>3.0555555555555558E-2</v>
      </c>
      <c r="J78" s="11">
        <v>4</v>
      </c>
      <c r="K78" s="11">
        <v>84.89</v>
      </c>
      <c r="L78" s="16">
        <f t="shared" si="9"/>
        <v>28.939772727272725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>
        <v>14.66</v>
      </c>
      <c r="AI78" s="11">
        <v>14.66</v>
      </c>
      <c r="AJ78" s="11">
        <v>14.66</v>
      </c>
      <c r="AK78" s="11"/>
      <c r="AL78" s="11"/>
      <c r="AM78" s="14"/>
    </row>
    <row r="79" spans="2:39" ht="25.05" customHeight="1">
      <c r="B79" s="13"/>
      <c r="C79" s="29"/>
      <c r="D79" s="30"/>
      <c r="E79" s="19" t="s">
        <v>544</v>
      </c>
      <c r="F79" s="8" t="s">
        <v>42</v>
      </c>
      <c r="G79" s="9">
        <v>0.5444444444444444</v>
      </c>
      <c r="H79" s="9">
        <v>0.57152777777777775</v>
      </c>
      <c r="I79" s="10">
        <f t="shared" si="8"/>
        <v>2.7083333333333348E-2</v>
      </c>
      <c r="J79" s="11">
        <v>4</v>
      </c>
      <c r="K79" s="11">
        <v>87.4</v>
      </c>
      <c r="L79" s="16">
        <f t="shared" si="9"/>
        <v>33.615384615384599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2</v>
      </c>
      <c r="W79" s="12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>
        <f>39/3</f>
        <v>13</v>
      </c>
      <c r="AI79" s="11">
        <f>39/3</f>
        <v>13</v>
      </c>
      <c r="AJ79" s="11">
        <f>39/3</f>
        <v>13</v>
      </c>
      <c r="AK79" s="11"/>
      <c r="AL79" s="11"/>
      <c r="AM79" s="14"/>
    </row>
    <row r="80" spans="2:39" ht="25.05" customHeight="1">
      <c r="B80" s="13"/>
      <c r="C80" s="29"/>
      <c r="D80" s="30"/>
      <c r="E80" s="19" t="s">
        <v>545</v>
      </c>
      <c r="F80" s="8" t="s">
        <v>42</v>
      </c>
      <c r="G80" s="9">
        <v>0.57291666666666663</v>
      </c>
      <c r="H80" s="9">
        <v>0.59930555555555554</v>
      </c>
      <c r="I80" s="10">
        <f t="shared" si="8"/>
        <v>2.6388888888888906E-2</v>
      </c>
      <c r="J80" s="11">
        <v>4</v>
      </c>
      <c r="K80" s="11">
        <v>85.83</v>
      </c>
      <c r="L80" s="16">
        <f t="shared" si="9"/>
        <v>33.88026315789471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2">
        <f>38/3</f>
        <v>12.666666666666666</v>
      </c>
      <c r="AI80" s="12">
        <f>38/3</f>
        <v>12.666666666666666</v>
      </c>
      <c r="AJ80" s="12">
        <f>38/3</f>
        <v>12.666666666666666</v>
      </c>
      <c r="AK80" s="11"/>
      <c r="AL80" s="11"/>
      <c r="AM80" s="14"/>
    </row>
    <row r="81" spans="2:39" ht="25.05" customHeight="1">
      <c r="B81" s="13"/>
      <c r="C81" s="29"/>
      <c r="D81" s="30"/>
      <c r="E81" s="19" t="s">
        <v>546</v>
      </c>
      <c r="F81" s="8" t="s">
        <v>42</v>
      </c>
      <c r="G81" s="9">
        <v>0.6</v>
      </c>
      <c r="H81" s="9">
        <v>0.63124999999999998</v>
      </c>
      <c r="I81" s="10">
        <f t="shared" si="8"/>
        <v>3.125E-2</v>
      </c>
      <c r="J81" s="11">
        <v>4</v>
      </c>
      <c r="K81" s="11">
        <v>86.68</v>
      </c>
      <c r="L81" s="16">
        <f t="shared" si="9"/>
        <v>28.893333333333334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>
        <f>45/3</f>
        <v>15</v>
      </c>
      <c r="AI81" s="11">
        <f>45/3</f>
        <v>15</v>
      </c>
      <c r="AJ81" s="11">
        <f>45/3</f>
        <v>15</v>
      </c>
      <c r="AK81" s="11"/>
      <c r="AL81" s="11"/>
      <c r="AM81" s="14"/>
    </row>
    <row r="82" spans="2:39" ht="25.05" customHeight="1">
      <c r="B82" s="13"/>
      <c r="C82" s="29"/>
      <c r="D82" s="30"/>
      <c r="E82" s="19" t="s">
        <v>547</v>
      </c>
      <c r="F82" s="8" t="s">
        <v>42</v>
      </c>
      <c r="G82" s="9">
        <v>0.63194444444444442</v>
      </c>
      <c r="H82" s="9">
        <v>0.65833333333333333</v>
      </c>
      <c r="I82" s="10">
        <f t="shared" si="8"/>
        <v>2.6388888888888906E-2</v>
      </c>
      <c r="J82" s="11">
        <v>4</v>
      </c>
      <c r="K82" s="11">
        <v>87.52</v>
      </c>
      <c r="L82" s="16">
        <f t="shared" si="9"/>
        <v>34.547368421052603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2">
        <f>38/3</f>
        <v>12.666666666666666</v>
      </c>
      <c r="AI82" s="12">
        <f>38/3</f>
        <v>12.666666666666666</v>
      </c>
      <c r="AJ82" s="12">
        <f>38/3</f>
        <v>12.666666666666666</v>
      </c>
      <c r="AK82" s="11"/>
      <c r="AL82" s="11"/>
      <c r="AM82" s="14"/>
    </row>
    <row r="83" spans="2:39" ht="25.05" customHeight="1">
      <c r="B83" s="13"/>
      <c r="C83" s="29"/>
      <c r="D83" s="30"/>
      <c r="E83" s="19" t="s">
        <v>548</v>
      </c>
      <c r="F83" s="8" t="s">
        <v>42</v>
      </c>
      <c r="G83" s="9">
        <v>0.65902777777777777</v>
      </c>
      <c r="H83" s="9">
        <v>0.68333333333333335</v>
      </c>
      <c r="I83" s="10">
        <f t="shared" si="8"/>
        <v>2.430555555555558E-2</v>
      </c>
      <c r="J83" s="11">
        <v>4</v>
      </c>
      <c r="K83" s="11">
        <v>86.63</v>
      </c>
      <c r="L83" s="16">
        <f t="shared" si="9"/>
        <v>37.127142857142822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2">
        <f>35/3</f>
        <v>11.666666666666666</v>
      </c>
      <c r="AI83" s="12">
        <f>35/3</f>
        <v>11.666666666666666</v>
      </c>
      <c r="AJ83" s="12">
        <f>35/3</f>
        <v>11.666666666666666</v>
      </c>
      <c r="AK83" s="11"/>
      <c r="AL83" s="11"/>
      <c r="AM83" s="14"/>
    </row>
    <row r="84" spans="2:39" ht="25.05" customHeight="1">
      <c r="B84" s="13"/>
      <c r="C84" s="29"/>
      <c r="D84" s="30"/>
      <c r="E84" s="19" t="s">
        <v>549</v>
      </c>
      <c r="F84" s="8" t="s">
        <v>42</v>
      </c>
      <c r="G84" s="9">
        <v>0.68472222222222223</v>
      </c>
      <c r="H84" s="9">
        <v>0.70833333333333337</v>
      </c>
      <c r="I84" s="10">
        <f t="shared" si="8"/>
        <v>2.3611111111111138E-2</v>
      </c>
      <c r="J84" s="11">
        <v>4</v>
      </c>
      <c r="K84" s="11">
        <v>85.55</v>
      </c>
      <c r="L84" s="16">
        <f t="shared" si="9"/>
        <v>37.742647058823486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2</v>
      </c>
      <c r="W84" s="12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2">
        <f>34/3</f>
        <v>11.333333333333334</v>
      </c>
      <c r="AI84" s="12">
        <f>34/3</f>
        <v>11.333333333333334</v>
      </c>
      <c r="AJ84" s="12">
        <f>34/3</f>
        <v>11.333333333333334</v>
      </c>
      <c r="AK84" s="11"/>
      <c r="AL84" s="11"/>
      <c r="AM84" s="14"/>
    </row>
    <row r="85" spans="2:39" ht="25.05" customHeight="1">
      <c r="B85" s="13"/>
      <c r="C85" s="29"/>
      <c r="D85" s="30"/>
      <c r="E85" s="19" t="s">
        <v>434</v>
      </c>
      <c r="F85" s="8" t="s">
        <v>42</v>
      </c>
      <c r="G85" s="9">
        <v>0.60069444444444442</v>
      </c>
      <c r="H85" s="9">
        <v>0.61041666666666672</v>
      </c>
      <c r="I85" s="10">
        <f t="shared" ref="I85:I90" si="10">H85-G85</f>
        <v>9.7222222222222987E-3</v>
      </c>
      <c r="J85" s="11">
        <v>4</v>
      </c>
      <c r="K85" s="11">
        <v>49.56</v>
      </c>
      <c r="L85" s="16">
        <f t="shared" ref="L85:L90" si="11">IFERROR(((K85/(J85*I85)/24)),"0")</f>
        <v>53.099999999999589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/>
      <c r="Y85" s="11"/>
      <c r="Z85" s="11"/>
      <c r="AA85" s="11"/>
      <c r="AB85" s="11"/>
      <c r="AC85" s="11"/>
      <c r="AD85" s="11"/>
      <c r="AE85" s="11">
        <v>14</v>
      </c>
      <c r="AF85" s="11"/>
      <c r="AG85" s="11"/>
      <c r="AH85" s="11"/>
      <c r="AI85" s="11"/>
      <c r="AJ85" s="11"/>
      <c r="AK85" s="11"/>
      <c r="AL85" s="11"/>
      <c r="AM85" s="14"/>
    </row>
    <row r="86" spans="2:39" ht="25.05" customHeight="1">
      <c r="B86" s="13"/>
      <c r="C86" s="29"/>
      <c r="D86" s="30"/>
      <c r="E86" s="19" t="s">
        <v>435</v>
      </c>
      <c r="F86" s="8" t="s">
        <v>42</v>
      </c>
      <c r="G86" s="9">
        <v>0.60138888888888886</v>
      </c>
      <c r="H86" s="9">
        <v>0.61111111111111116</v>
      </c>
      <c r="I86" s="10">
        <f t="shared" si="10"/>
        <v>9.7222222222222987E-3</v>
      </c>
      <c r="J86" s="11">
        <v>4</v>
      </c>
      <c r="K86" s="11">
        <v>48.11</v>
      </c>
      <c r="L86" s="16">
        <f t="shared" si="11"/>
        <v>51.546428571428159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/>
      <c r="Z86" s="11"/>
      <c r="AA86" s="11"/>
      <c r="AB86" s="11"/>
      <c r="AC86" s="11"/>
      <c r="AD86" s="11">
        <v>14</v>
      </c>
      <c r="AE86" s="11"/>
      <c r="AF86" s="11"/>
      <c r="AG86" s="11"/>
      <c r="AH86" s="11"/>
      <c r="AI86" s="11"/>
      <c r="AJ86" s="11"/>
      <c r="AK86" s="11"/>
      <c r="AL86" s="11"/>
      <c r="AM86" s="14"/>
    </row>
    <row r="87" spans="2:39" ht="25.05" customHeight="1">
      <c r="B87" s="13"/>
      <c r="C87" s="29"/>
      <c r="D87" s="30"/>
      <c r="E87" s="19" t="s">
        <v>436</v>
      </c>
      <c r="F87" s="8" t="s">
        <v>42</v>
      </c>
      <c r="G87" s="9">
        <v>0.61527777777777781</v>
      </c>
      <c r="H87" s="9">
        <v>0.62430555555555556</v>
      </c>
      <c r="I87" s="10">
        <f t="shared" si="10"/>
        <v>9.0277777777777457E-3</v>
      </c>
      <c r="J87" s="11">
        <v>4</v>
      </c>
      <c r="K87" s="11">
        <v>45.69</v>
      </c>
      <c r="L87" s="16">
        <f t="shared" si="11"/>
        <v>52.719230769230954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/>
      <c r="AA87" s="11"/>
      <c r="AB87" s="11"/>
      <c r="AC87" s="11"/>
      <c r="AD87" s="11"/>
      <c r="AE87" s="11">
        <v>13</v>
      </c>
      <c r="AF87" s="11"/>
      <c r="AG87" s="11"/>
      <c r="AH87" s="11"/>
      <c r="AI87" s="11"/>
      <c r="AJ87" s="11"/>
      <c r="AK87" s="11"/>
      <c r="AL87" s="11"/>
      <c r="AM87" s="14"/>
    </row>
    <row r="88" spans="2:39" ht="25.05" customHeight="1">
      <c r="B88" s="13"/>
      <c r="C88" s="29"/>
      <c r="D88" s="30"/>
      <c r="E88" s="19" t="s">
        <v>437</v>
      </c>
      <c r="F88" s="8" t="s">
        <v>42</v>
      </c>
      <c r="G88" s="9">
        <v>0.6166666666666667</v>
      </c>
      <c r="H88" s="9">
        <v>0.625</v>
      </c>
      <c r="I88" s="10">
        <f t="shared" si="10"/>
        <v>8.3333333333333037E-3</v>
      </c>
      <c r="J88" s="11">
        <v>4</v>
      </c>
      <c r="K88" s="11">
        <v>49.69</v>
      </c>
      <c r="L88" s="16">
        <f t="shared" si="11"/>
        <v>62.112500000000217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/>
      <c r="AA88" s="11"/>
      <c r="AB88" s="11"/>
      <c r="AC88" s="11"/>
      <c r="AD88" s="11">
        <v>12</v>
      </c>
      <c r="AE88" s="11"/>
      <c r="AF88" s="11"/>
      <c r="AG88" s="11"/>
      <c r="AH88" s="11"/>
      <c r="AI88" s="11"/>
      <c r="AJ88" s="11"/>
      <c r="AK88" s="11"/>
      <c r="AL88" s="11"/>
      <c r="AM88" s="14"/>
    </row>
    <row r="89" spans="2:39" ht="25.05" customHeight="1">
      <c r="B89" s="13"/>
      <c r="C89" s="29"/>
      <c r="D89" s="30"/>
      <c r="E89" s="19" t="s">
        <v>550</v>
      </c>
      <c r="F89" s="8" t="s">
        <v>42</v>
      </c>
      <c r="G89" s="9">
        <v>0.63194444444444442</v>
      </c>
      <c r="H89" s="9">
        <v>0.64027777777777772</v>
      </c>
      <c r="I89" s="10">
        <f t="shared" si="10"/>
        <v>8.3333333333333037E-3</v>
      </c>
      <c r="J89" s="11">
        <v>4</v>
      </c>
      <c r="K89" s="11">
        <v>9.34</v>
      </c>
      <c r="L89" s="16">
        <f t="shared" si="11"/>
        <v>11.675000000000042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/>
      <c r="Z89" s="11"/>
      <c r="AA89" s="11"/>
      <c r="AB89" s="11"/>
      <c r="AC89" s="11"/>
      <c r="AD89" s="11"/>
      <c r="AE89" s="11">
        <v>12</v>
      </c>
      <c r="AF89" s="11"/>
      <c r="AG89" s="11"/>
      <c r="AH89" s="11"/>
      <c r="AI89" s="11"/>
      <c r="AJ89" s="11"/>
      <c r="AK89" s="11"/>
      <c r="AL89" s="11"/>
      <c r="AM89" s="14"/>
    </row>
    <row r="90" spans="2:39" ht="25.05" customHeight="1">
      <c r="B90" s="13"/>
      <c r="C90" s="29"/>
      <c r="D90" s="30"/>
      <c r="E90" s="19" t="s">
        <v>551</v>
      </c>
      <c r="F90" s="8" t="s">
        <v>42</v>
      </c>
      <c r="G90" s="9">
        <v>0.63263888888888886</v>
      </c>
      <c r="H90" s="9">
        <v>0.64097222222222228</v>
      </c>
      <c r="I90" s="10">
        <f t="shared" si="10"/>
        <v>8.3333333333334147E-3</v>
      </c>
      <c r="J90" s="11">
        <v>4</v>
      </c>
      <c r="K90" s="11">
        <v>48.1</v>
      </c>
      <c r="L90" s="16">
        <f t="shared" si="11"/>
        <v>60.12499999999941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/>
      <c r="AA90" s="11"/>
      <c r="AB90" s="11"/>
      <c r="AC90" s="11"/>
      <c r="AD90" s="11">
        <v>12</v>
      </c>
      <c r="AE90" s="11"/>
      <c r="AF90" s="11"/>
      <c r="AG90" s="11"/>
      <c r="AH90" s="11"/>
      <c r="AI90" s="11"/>
      <c r="AJ90" s="11"/>
      <c r="AK90" s="11"/>
      <c r="AL90" s="11"/>
      <c r="AM90" s="14"/>
    </row>
    <row r="91" spans="2:39" ht="25.05" customHeight="1">
      <c r="B91" s="13"/>
      <c r="C91" s="29"/>
      <c r="D91" s="30"/>
      <c r="E91" s="19" t="s">
        <v>552</v>
      </c>
      <c r="F91" s="8" t="s">
        <v>42</v>
      </c>
      <c r="G91" s="9">
        <v>0.64861111111111114</v>
      </c>
      <c r="H91" s="9">
        <v>0.65763888888888888</v>
      </c>
      <c r="I91" s="10">
        <f t="shared" si="8"/>
        <v>9.0277777777777457E-3</v>
      </c>
      <c r="J91" s="11">
        <v>4</v>
      </c>
      <c r="K91" s="11">
        <v>48.6</v>
      </c>
      <c r="L91" s="16">
        <f t="shared" si="9"/>
        <v>56.076923076923272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/>
      <c r="Y91" s="11"/>
      <c r="Z91" s="11"/>
      <c r="AA91" s="11"/>
      <c r="AB91" s="11"/>
      <c r="AC91" s="11"/>
      <c r="AD91" s="11"/>
      <c r="AE91" s="11">
        <v>13</v>
      </c>
      <c r="AF91" s="11"/>
      <c r="AG91" s="11"/>
      <c r="AH91" s="11"/>
      <c r="AI91" s="11"/>
      <c r="AJ91" s="11"/>
      <c r="AK91" s="11"/>
      <c r="AL91" s="11"/>
      <c r="AM91" s="14"/>
    </row>
    <row r="92" spans="2:39" ht="25.05" customHeight="1">
      <c r="B92" s="13"/>
      <c r="C92" s="29"/>
      <c r="D92" s="30"/>
      <c r="E92" s="19" t="s">
        <v>553</v>
      </c>
      <c r="F92" s="8" t="s">
        <v>42</v>
      </c>
      <c r="G92" s="9">
        <v>0.3972222222222222</v>
      </c>
      <c r="H92" s="9">
        <v>0.41388888888888886</v>
      </c>
      <c r="I92" s="10">
        <f t="shared" si="8"/>
        <v>1.6666666666666663E-2</v>
      </c>
      <c r="J92" s="11">
        <v>4</v>
      </c>
      <c r="K92" s="11">
        <v>89.66</v>
      </c>
      <c r="L92" s="16">
        <f t="shared" si="9"/>
        <v>56.037500000000016</v>
      </c>
      <c r="M92" s="11"/>
      <c r="N92" s="11"/>
      <c r="O92" s="11"/>
      <c r="P92" s="11"/>
      <c r="Q92" s="11"/>
      <c r="R92" s="12"/>
      <c r="S92" s="12"/>
      <c r="T92" s="11"/>
      <c r="U92" s="11"/>
      <c r="V92" s="12">
        <v>2</v>
      </c>
      <c r="W92" s="12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4"/>
    </row>
    <row r="93" spans="2:39" ht="25.05" customHeight="1">
      <c r="B93" s="13"/>
      <c r="C93" s="29"/>
      <c r="D93" s="30"/>
      <c r="E93" s="19" t="s">
        <v>554</v>
      </c>
      <c r="F93" s="8" t="s">
        <v>42</v>
      </c>
      <c r="G93" s="9">
        <v>0.43888888888888888</v>
      </c>
      <c r="H93" s="9">
        <v>0.47013888888888888</v>
      </c>
      <c r="I93" s="10">
        <f t="shared" si="8"/>
        <v>3.125E-2</v>
      </c>
      <c r="J93" s="11">
        <v>4</v>
      </c>
      <c r="K93" s="11">
        <v>60.71</v>
      </c>
      <c r="L93" s="16">
        <f t="shared" si="9"/>
        <v>20.236666666666668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2</v>
      </c>
      <c r="W93" s="12"/>
      <c r="X93" s="11"/>
      <c r="Y93" s="11"/>
      <c r="Z93" s="11"/>
      <c r="AA93" s="11"/>
      <c r="AB93" s="11"/>
      <c r="AC93" s="11"/>
      <c r="AD93" s="11"/>
      <c r="AE93" s="11"/>
      <c r="AF93" s="11">
        <v>45</v>
      </c>
      <c r="AG93" s="11"/>
      <c r="AH93" s="11"/>
      <c r="AI93" s="11"/>
      <c r="AJ93" s="11"/>
      <c r="AK93" s="11"/>
      <c r="AL93" s="11"/>
      <c r="AM93" s="14"/>
    </row>
    <row r="94" spans="2:39" ht="25.05" customHeight="1">
      <c r="B94" s="13"/>
      <c r="C94" s="29"/>
      <c r="D94" s="30"/>
      <c r="E94" s="19" t="s">
        <v>555</v>
      </c>
      <c r="F94" s="8" t="s">
        <v>42</v>
      </c>
      <c r="G94" s="9">
        <v>0.43888888888888888</v>
      </c>
      <c r="H94" s="9">
        <v>0.47013888888888888</v>
      </c>
      <c r="I94" s="10">
        <f t="shared" si="8"/>
        <v>3.125E-2</v>
      </c>
      <c r="J94" s="11">
        <v>4</v>
      </c>
      <c r="K94" s="11">
        <v>60.71</v>
      </c>
      <c r="L94" s="16">
        <f>IFERROR(((K94/(J94*I94)/24)),"0")</f>
        <v>20.236666666666668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2</v>
      </c>
      <c r="W94" s="12"/>
      <c r="X94" s="11"/>
      <c r="Y94" s="11"/>
      <c r="Z94" s="11"/>
      <c r="AA94" s="11"/>
      <c r="AB94" s="11"/>
      <c r="AC94" s="11"/>
      <c r="AD94" s="11"/>
      <c r="AE94" s="11"/>
      <c r="AF94" s="11">
        <v>45</v>
      </c>
      <c r="AG94" s="11"/>
      <c r="AH94" s="11"/>
      <c r="AI94" s="11"/>
      <c r="AJ94" s="11"/>
      <c r="AK94" s="11"/>
      <c r="AL94" s="11"/>
      <c r="AM94" s="14"/>
    </row>
    <row r="95" spans="2:39" s="200" customFormat="1" ht="25.05" customHeight="1">
      <c r="B95" s="189"/>
      <c r="C95" s="190"/>
      <c r="D95" s="191"/>
      <c r="E95" s="192" t="s">
        <v>421</v>
      </c>
      <c r="F95" s="193" t="s">
        <v>42</v>
      </c>
      <c r="G95" s="194">
        <v>0.63263888888888886</v>
      </c>
      <c r="H95" s="194">
        <v>0.64444444444444449</v>
      </c>
      <c r="I95" s="195">
        <f t="shared" si="8"/>
        <v>1.1805555555555625E-2</v>
      </c>
      <c r="J95" s="196">
        <v>4</v>
      </c>
      <c r="K95" s="196">
        <v>33.79</v>
      </c>
      <c r="L95" s="197">
        <f t="shared" si="9"/>
        <v>29.814705882352765</v>
      </c>
      <c r="M95" s="196"/>
      <c r="N95" s="196"/>
      <c r="O95" s="196"/>
      <c r="P95" s="196"/>
      <c r="Q95" s="196"/>
      <c r="R95" s="198"/>
      <c r="S95" s="198"/>
      <c r="T95" s="196"/>
      <c r="U95" s="196"/>
      <c r="V95" s="198">
        <v>2</v>
      </c>
      <c r="W95" s="198"/>
      <c r="X95" s="198"/>
      <c r="Y95" s="198"/>
      <c r="Z95" s="198"/>
      <c r="AA95" s="196"/>
      <c r="AB95" s="196"/>
      <c r="AC95" s="196"/>
      <c r="AD95" s="196">
        <v>17</v>
      </c>
      <c r="AE95" s="196"/>
      <c r="AF95" s="196"/>
      <c r="AG95" s="196"/>
      <c r="AH95" s="196"/>
      <c r="AI95" s="196"/>
      <c r="AJ95" s="196"/>
      <c r="AK95" s="196"/>
      <c r="AL95" s="196"/>
      <c r="AM95" s="199"/>
    </row>
    <row r="96" spans="2:39" ht="25.05" customHeight="1">
      <c r="B96" s="13"/>
      <c r="C96" s="29"/>
      <c r="D96" s="30"/>
      <c r="E96" s="24" t="s">
        <v>556</v>
      </c>
      <c r="F96" s="188" t="s">
        <v>42</v>
      </c>
      <c r="G96" s="25">
        <v>0.55902777777777779</v>
      </c>
      <c r="H96" s="25">
        <v>0.5625</v>
      </c>
      <c r="I96" s="26">
        <f t="shared" si="8"/>
        <v>3.4722222222222099E-3</v>
      </c>
      <c r="J96" s="27">
        <v>4</v>
      </c>
      <c r="K96" s="27">
        <v>5.7</v>
      </c>
      <c r="L96" s="16">
        <f t="shared" si="9"/>
        <v>17.100000000000062</v>
      </c>
      <c r="M96" s="11"/>
      <c r="N96" s="11"/>
      <c r="O96" s="11"/>
      <c r="P96" s="11"/>
      <c r="Q96" s="11"/>
      <c r="R96" s="12"/>
      <c r="S96" s="12"/>
      <c r="T96" s="11"/>
      <c r="U96" s="11"/>
      <c r="V96" s="12">
        <v>2</v>
      </c>
      <c r="W96" s="12"/>
      <c r="X96" s="12"/>
      <c r="Y96" s="12"/>
      <c r="Z96" s="12"/>
      <c r="AA96" s="11"/>
      <c r="AB96" s="11"/>
      <c r="AC96" s="11"/>
      <c r="AD96" s="11">
        <v>17</v>
      </c>
      <c r="AE96" s="11"/>
      <c r="AF96" s="11"/>
      <c r="AG96" s="11"/>
      <c r="AH96" s="11"/>
      <c r="AI96" s="11"/>
      <c r="AJ96" s="11"/>
      <c r="AK96" s="11"/>
      <c r="AL96" s="11"/>
      <c r="AM96" s="14"/>
    </row>
    <row r="97" spans="2:39" ht="25.05" customHeight="1">
      <c r="B97" s="74"/>
      <c r="C97" s="75"/>
      <c r="D97" s="76"/>
      <c r="E97" s="19" t="s">
        <v>369</v>
      </c>
      <c r="F97" s="8" t="s">
        <v>42</v>
      </c>
      <c r="G97" s="53">
        <v>0.7583333333333333</v>
      </c>
      <c r="H97" s="53">
        <v>0.76597222222222228</v>
      </c>
      <c r="I97" s="10">
        <f t="shared" ref="I97:I116" si="12">H97-G97</f>
        <v>7.6388888888889728E-3</v>
      </c>
      <c r="J97" s="54">
        <v>4</v>
      </c>
      <c r="K97" s="54">
        <v>76.97</v>
      </c>
      <c r="L97" s="16">
        <f t="shared" ref="L97:L116" si="13">IFERROR(((K97/(J97*I97)/24)),"0")</f>
        <v>104.95909090908975</v>
      </c>
      <c r="M97" s="54"/>
      <c r="N97" s="54"/>
      <c r="O97" s="54"/>
      <c r="P97" s="54"/>
      <c r="Q97" s="54"/>
      <c r="R97" s="80"/>
      <c r="S97" s="80"/>
      <c r="T97" s="54"/>
      <c r="U97" s="54"/>
      <c r="V97" s="80"/>
      <c r="W97" s="80">
        <v>3</v>
      </c>
      <c r="X97" s="80"/>
      <c r="Y97" s="80"/>
      <c r="Z97" s="80"/>
      <c r="AA97" s="54"/>
      <c r="AB97" s="54"/>
      <c r="AC97" s="54">
        <v>11</v>
      </c>
      <c r="AD97" s="54"/>
      <c r="AE97" s="54"/>
      <c r="AF97" s="54"/>
      <c r="AG97" s="54"/>
      <c r="AH97" s="54"/>
      <c r="AI97" s="54"/>
      <c r="AJ97" s="54"/>
      <c r="AK97" s="54"/>
      <c r="AL97" s="54"/>
      <c r="AM97" s="81"/>
    </row>
    <row r="98" spans="2:39" ht="25.05" customHeight="1">
      <c r="B98" s="74"/>
      <c r="C98" s="75"/>
      <c r="D98" s="76"/>
      <c r="E98" s="19" t="s">
        <v>370</v>
      </c>
      <c r="F98" s="8" t="s">
        <v>42</v>
      </c>
      <c r="G98" s="53">
        <v>0.80277777777777781</v>
      </c>
      <c r="H98" s="53">
        <v>0.80972222222222223</v>
      </c>
      <c r="I98" s="10">
        <f t="shared" si="12"/>
        <v>6.9444444444444198E-3</v>
      </c>
      <c r="J98" s="54">
        <v>4</v>
      </c>
      <c r="K98" s="54">
        <v>76.55</v>
      </c>
      <c r="L98" s="16">
        <f t="shared" si="13"/>
        <v>114.8250000000004</v>
      </c>
      <c r="M98" s="54"/>
      <c r="N98" s="54"/>
      <c r="O98" s="54"/>
      <c r="P98" s="54"/>
      <c r="Q98" s="54"/>
      <c r="R98" s="80"/>
      <c r="S98" s="80"/>
      <c r="T98" s="54"/>
      <c r="U98" s="54"/>
      <c r="V98" s="80"/>
      <c r="W98" s="80">
        <v>3</v>
      </c>
      <c r="X98" s="80"/>
      <c r="Y98" s="80"/>
      <c r="Z98" s="80"/>
      <c r="AA98" s="54"/>
      <c r="AB98" s="54"/>
      <c r="AC98" s="54"/>
      <c r="AD98" s="54"/>
      <c r="AE98" s="54">
        <v>10</v>
      </c>
      <c r="AF98" s="54"/>
      <c r="AG98" s="54"/>
      <c r="AH98" s="54"/>
      <c r="AI98" s="54"/>
      <c r="AJ98" s="54"/>
      <c r="AK98" s="54"/>
      <c r="AL98" s="54"/>
      <c r="AM98" s="81"/>
    </row>
    <row r="99" spans="2:39" ht="25.05" customHeight="1">
      <c r="B99" s="74"/>
      <c r="C99" s="75"/>
      <c r="D99" s="76"/>
      <c r="E99" s="19" t="s">
        <v>371</v>
      </c>
      <c r="F99" s="8" t="s">
        <v>42</v>
      </c>
      <c r="G99" s="53">
        <v>0.81041666666666667</v>
      </c>
      <c r="H99" s="53">
        <v>0.81597222222222221</v>
      </c>
      <c r="I99" s="10">
        <f t="shared" si="12"/>
        <v>5.5555555555555358E-3</v>
      </c>
      <c r="J99" s="54">
        <v>4</v>
      </c>
      <c r="K99" s="54">
        <v>78.540000000000006</v>
      </c>
      <c r="L99" s="16">
        <f t="shared" si="13"/>
        <v>147.26250000000053</v>
      </c>
      <c r="M99" s="54"/>
      <c r="N99" s="54"/>
      <c r="O99" s="54"/>
      <c r="P99" s="54"/>
      <c r="Q99" s="54"/>
      <c r="R99" s="80"/>
      <c r="S99" s="80"/>
      <c r="T99" s="54"/>
      <c r="U99" s="54"/>
      <c r="V99" s="80"/>
      <c r="W99" s="80">
        <v>3</v>
      </c>
      <c r="X99" s="80"/>
      <c r="Y99" s="80"/>
      <c r="Z99" s="80"/>
      <c r="AA99" s="54"/>
      <c r="AB99" s="54"/>
      <c r="AC99" s="54">
        <v>8</v>
      </c>
      <c r="AD99" s="54"/>
      <c r="AE99" s="54"/>
      <c r="AF99" s="54"/>
      <c r="AG99" s="54"/>
      <c r="AH99" s="54"/>
      <c r="AI99" s="54"/>
      <c r="AJ99" s="54"/>
      <c r="AK99" s="54"/>
      <c r="AL99" s="54"/>
      <c r="AM99" s="81"/>
    </row>
    <row r="100" spans="2:39" ht="25.05" customHeight="1">
      <c r="B100" s="74"/>
      <c r="C100" s="75"/>
      <c r="D100" s="76"/>
      <c r="E100" s="19" t="s">
        <v>372</v>
      </c>
      <c r="F100" s="8" t="s">
        <v>42</v>
      </c>
      <c r="G100" s="53">
        <v>0.83333333333333337</v>
      </c>
      <c r="H100" s="53">
        <v>0.83888888888888891</v>
      </c>
      <c r="I100" s="10">
        <f t="shared" si="12"/>
        <v>5.5555555555555358E-3</v>
      </c>
      <c r="J100" s="54">
        <v>4</v>
      </c>
      <c r="K100" s="54">
        <v>79.099999999999994</v>
      </c>
      <c r="L100" s="16">
        <f t="shared" si="13"/>
        <v>148.31250000000051</v>
      </c>
      <c r="M100" s="54"/>
      <c r="N100" s="54"/>
      <c r="O100" s="54"/>
      <c r="P100" s="54"/>
      <c r="Q100" s="54"/>
      <c r="R100" s="80"/>
      <c r="S100" s="80"/>
      <c r="T100" s="54"/>
      <c r="U100" s="54"/>
      <c r="V100" s="80"/>
      <c r="W100" s="80">
        <v>3</v>
      </c>
      <c r="X100" s="80"/>
      <c r="Y100" s="80"/>
      <c r="Z100" s="80"/>
      <c r="AA100" s="54"/>
      <c r="AB100" s="54"/>
      <c r="AC100" s="54"/>
      <c r="AD100" s="54"/>
      <c r="AE100" s="54">
        <v>8</v>
      </c>
      <c r="AF100" s="54"/>
      <c r="AG100" s="54"/>
      <c r="AH100" s="54"/>
      <c r="AI100" s="54"/>
      <c r="AJ100" s="54"/>
      <c r="AK100" s="54"/>
      <c r="AL100" s="54"/>
      <c r="AM100" s="81"/>
    </row>
    <row r="101" spans="2:39" ht="25.05" customHeight="1">
      <c r="B101" s="74"/>
      <c r="C101" s="75"/>
      <c r="D101" s="76"/>
      <c r="E101" s="19" t="s">
        <v>373</v>
      </c>
      <c r="F101" s="8" t="s">
        <v>42</v>
      </c>
      <c r="G101" s="53">
        <v>0.84305555555555556</v>
      </c>
      <c r="H101" s="53">
        <v>0.84930555555555554</v>
      </c>
      <c r="I101" s="10">
        <f t="shared" si="12"/>
        <v>6.2499999999999778E-3</v>
      </c>
      <c r="J101" s="54">
        <v>4</v>
      </c>
      <c r="K101" s="54">
        <v>73</v>
      </c>
      <c r="L101" s="16">
        <f t="shared" si="13"/>
        <v>121.6666666666671</v>
      </c>
      <c r="M101" s="54"/>
      <c r="N101" s="54"/>
      <c r="O101" s="54"/>
      <c r="P101" s="54"/>
      <c r="Q101" s="54"/>
      <c r="R101" s="80"/>
      <c r="S101" s="80"/>
      <c r="T101" s="54"/>
      <c r="U101" s="54"/>
      <c r="V101" s="80"/>
      <c r="W101" s="80">
        <v>3</v>
      </c>
      <c r="X101" s="80"/>
      <c r="Y101" s="80"/>
      <c r="Z101" s="80"/>
      <c r="AA101" s="54"/>
      <c r="AB101" s="54"/>
      <c r="AC101" s="54">
        <v>9</v>
      </c>
      <c r="AD101" s="54"/>
      <c r="AE101" s="54"/>
      <c r="AF101" s="54"/>
      <c r="AG101" s="54"/>
      <c r="AH101" s="54"/>
      <c r="AI101" s="54"/>
      <c r="AJ101" s="54"/>
      <c r="AK101" s="54"/>
      <c r="AL101" s="54"/>
      <c r="AM101" s="81"/>
    </row>
    <row r="102" spans="2:39" ht="25.05" customHeight="1">
      <c r="B102" s="74"/>
      <c r="C102" s="75"/>
      <c r="D102" s="76"/>
      <c r="E102" s="19"/>
      <c r="F102" s="8" t="s">
        <v>42</v>
      </c>
      <c r="G102" s="53"/>
      <c r="H102" s="53"/>
      <c r="I102" s="10">
        <f t="shared" si="12"/>
        <v>0</v>
      </c>
      <c r="J102" s="54"/>
      <c r="K102" s="54"/>
      <c r="L102" s="16" t="str">
        <f t="shared" si="13"/>
        <v>0</v>
      </c>
      <c r="M102" s="54"/>
      <c r="N102" s="54"/>
      <c r="O102" s="54"/>
      <c r="P102" s="54"/>
      <c r="Q102" s="54"/>
      <c r="R102" s="80"/>
      <c r="S102" s="80"/>
      <c r="T102" s="54"/>
      <c r="U102" s="54"/>
      <c r="V102" s="80"/>
      <c r="W102" s="80"/>
      <c r="X102" s="80"/>
      <c r="Y102" s="80"/>
      <c r="Z102" s="80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81"/>
    </row>
    <row r="103" spans="2:39" ht="25.05" customHeight="1">
      <c r="B103" s="74"/>
      <c r="C103" s="75"/>
      <c r="D103" s="76" t="s">
        <v>557</v>
      </c>
      <c r="E103" s="77" t="s">
        <v>558</v>
      </c>
      <c r="F103" s="8" t="s">
        <v>42</v>
      </c>
      <c r="G103" s="53">
        <v>0.74097222222222225</v>
      </c>
      <c r="H103" s="53">
        <v>0.74375000000000002</v>
      </c>
      <c r="I103" s="10">
        <f t="shared" si="12"/>
        <v>2.7777777777777679E-3</v>
      </c>
      <c r="J103" s="54">
        <v>4</v>
      </c>
      <c r="K103" s="54">
        <v>82.53</v>
      </c>
      <c r="L103" s="16">
        <f t="shared" si="13"/>
        <v>309.48750000000109</v>
      </c>
      <c r="M103" s="54"/>
      <c r="N103" s="54"/>
      <c r="O103" s="54"/>
      <c r="P103" s="54"/>
      <c r="Q103" s="54"/>
      <c r="R103" s="80"/>
      <c r="S103" s="80"/>
      <c r="T103" s="54"/>
      <c r="U103" s="54"/>
      <c r="V103" s="80">
        <v>2</v>
      </c>
      <c r="W103" s="80"/>
      <c r="X103" s="80"/>
      <c r="Y103" s="80"/>
      <c r="Z103" s="80"/>
      <c r="AA103" s="54"/>
      <c r="AB103" s="54"/>
      <c r="AC103" s="54"/>
      <c r="AD103" s="54">
        <v>4</v>
      </c>
      <c r="AE103" s="54"/>
      <c r="AF103" s="54"/>
      <c r="AG103" s="54"/>
      <c r="AH103" s="54"/>
      <c r="AI103" s="54"/>
      <c r="AJ103" s="54"/>
      <c r="AK103" s="54"/>
      <c r="AL103" s="54"/>
      <c r="AM103" s="81"/>
    </row>
    <row r="104" spans="2:39" ht="25.05" customHeight="1">
      <c r="B104" s="74"/>
      <c r="C104" s="75"/>
      <c r="D104" s="76"/>
      <c r="E104" s="77" t="s">
        <v>559</v>
      </c>
      <c r="F104" s="8" t="s">
        <v>42</v>
      </c>
      <c r="G104" s="53">
        <v>0.76249999999999996</v>
      </c>
      <c r="H104" s="53">
        <v>0.76527777777777772</v>
      </c>
      <c r="I104" s="10">
        <f t="shared" si="12"/>
        <v>2.7777777777777679E-3</v>
      </c>
      <c r="J104" s="54">
        <v>4</v>
      </c>
      <c r="K104" s="54">
        <v>63.09</v>
      </c>
      <c r="L104" s="16">
        <f t="shared" si="13"/>
        <v>236.58750000000086</v>
      </c>
      <c r="M104" s="54"/>
      <c r="N104" s="54"/>
      <c r="O104" s="54"/>
      <c r="P104" s="54"/>
      <c r="Q104" s="54"/>
      <c r="R104" s="80"/>
      <c r="S104" s="80"/>
      <c r="T104" s="54"/>
      <c r="U104" s="54"/>
      <c r="V104" s="80">
        <v>2</v>
      </c>
      <c r="W104" s="80"/>
      <c r="X104" s="80"/>
      <c r="Y104" s="80"/>
      <c r="Z104" s="80"/>
      <c r="AA104" s="54"/>
      <c r="AB104" s="54"/>
      <c r="AC104" s="54"/>
      <c r="AD104" s="54">
        <v>4</v>
      </c>
      <c r="AE104" s="54"/>
      <c r="AF104" s="54"/>
      <c r="AG104" s="54"/>
      <c r="AH104" s="54"/>
      <c r="AI104" s="54"/>
      <c r="AJ104" s="54"/>
      <c r="AK104" s="54"/>
      <c r="AL104" s="54"/>
      <c r="AM104" s="81"/>
    </row>
    <row r="105" spans="2:39" ht="25.05" customHeight="1">
      <c r="B105" s="74"/>
      <c r="C105" s="75"/>
      <c r="D105" s="76"/>
      <c r="E105" s="77" t="s">
        <v>560</v>
      </c>
      <c r="F105" s="8" t="s">
        <v>42</v>
      </c>
      <c r="G105" s="53">
        <v>0.77430555555555558</v>
      </c>
      <c r="H105" s="53">
        <v>0.77708333333333335</v>
      </c>
      <c r="I105" s="10">
        <f t="shared" si="12"/>
        <v>2.7777777777777679E-3</v>
      </c>
      <c r="J105" s="54">
        <v>4</v>
      </c>
      <c r="K105" s="54">
        <v>53.72</v>
      </c>
      <c r="L105" s="16">
        <f t="shared" si="13"/>
        <v>201.45000000000073</v>
      </c>
      <c r="M105" s="54"/>
      <c r="N105" s="54"/>
      <c r="O105" s="54"/>
      <c r="P105" s="54"/>
      <c r="Q105" s="54"/>
      <c r="R105" s="80"/>
      <c r="S105" s="80"/>
      <c r="T105" s="54"/>
      <c r="U105" s="54"/>
      <c r="V105" s="80">
        <v>2</v>
      </c>
      <c r="W105" s="80"/>
      <c r="X105" s="80"/>
      <c r="Y105" s="80"/>
      <c r="Z105" s="80"/>
      <c r="AA105" s="54"/>
      <c r="AB105" s="54"/>
      <c r="AC105" s="54"/>
      <c r="AD105" s="54">
        <v>4</v>
      </c>
      <c r="AE105" s="54"/>
      <c r="AF105" s="54"/>
      <c r="AG105" s="54"/>
      <c r="AH105" s="54"/>
      <c r="AI105" s="54"/>
      <c r="AJ105" s="54"/>
      <c r="AK105" s="54"/>
      <c r="AL105" s="54"/>
      <c r="AM105" s="81"/>
    </row>
    <row r="106" spans="2:39" ht="25.05" customHeight="1">
      <c r="B106" s="74"/>
      <c r="C106" s="75"/>
      <c r="D106" s="76"/>
      <c r="E106" s="77" t="s">
        <v>561</v>
      </c>
      <c r="F106" s="8" t="s">
        <v>42</v>
      </c>
      <c r="G106" s="53">
        <v>0.78125</v>
      </c>
      <c r="H106" s="53">
        <v>0.78333333333333333</v>
      </c>
      <c r="I106" s="10">
        <f t="shared" si="12"/>
        <v>2.0833333333333259E-3</v>
      </c>
      <c r="J106" s="54">
        <v>4</v>
      </c>
      <c r="K106" s="54">
        <v>70.959999999999994</v>
      </c>
      <c r="L106" s="16">
        <f t="shared" si="13"/>
        <v>354.80000000000126</v>
      </c>
      <c r="M106" s="54"/>
      <c r="N106" s="54"/>
      <c r="O106" s="54"/>
      <c r="P106" s="54"/>
      <c r="Q106" s="54"/>
      <c r="R106" s="80"/>
      <c r="S106" s="80"/>
      <c r="T106" s="54"/>
      <c r="U106" s="54"/>
      <c r="V106" s="80">
        <v>2</v>
      </c>
      <c r="W106" s="80"/>
      <c r="X106" s="80"/>
      <c r="Y106" s="80"/>
      <c r="Z106" s="80"/>
      <c r="AA106" s="54"/>
      <c r="AB106" s="54"/>
      <c r="AC106" s="54"/>
      <c r="AD106" s="54">
        <v>3</v>
      </c>
      <c r="AE106" s="54"/>
      <c r="AF106" s="54"/>
      <c r="AG106" s="54"/>
      <c r="AH106" s="54"/>
      <c r="AI106" s="54"/>
      <c r="AJ106" s="54"/>
      <c r="AK106" s="54"/>
      <c r="AL106" s="54"/>
      <c r="AM106" s="81"/>
    </row>
    <row r="107" spans="2:39" ht="25.05" customHeight="1">
      <c r="B107" s="74"/>
      <c r="C107" s="75"/>
      <c r="D107" s="76"/>
      <c r="E107" s="77" t="s">
        <v>562</v>
      </c>
      <c r="F107" s="8" t="s">
        <v>42</v>
      </c>
      <c r="G107" s="53">
        <v>0.66180555555555554</v>
      </c>
      <c r="H107" s="53">
        <v>0.66180555555555554</v>
      </c>
      <c r="I107" s="10">
        <f t="shared" si="12"/>
        <v>0</v>
      </c>
      <c r="J107" s="54">
        <v>4</v>
      </c>
      <c r="K107" s="54">
        <v>83.27</v>
      </c>
      <c r="L107" s="16" t="str">
        <f t="shared" si="13"/>
        <v>0</v>
      </c>
      <c r="M107" s="54"/>
      <c r="N107" s="54"/>
      <c r="O107" s="54"/>
      <c r="P107" s="54"/>
      <c r="Q107" s="54"/>
      <c r="R107" s="80"/>
      <c r="S107" s="80"/>
      <c r="T107" s="54"/>
      <c r="U107" s="54"/>
      <c r="V107" s="80"/>
      <c r="W107" s="80">
        <v>2</v>
      </c>
      <c r="X107" s="80"/>
      <c r="Y107" s="80"/>
      <c r="Z107" s="80"/>
      <c r="AA107" s="54"/>
      <c r="AB107" s="54"/>
      <c r="AC107" s="54"/>
      <c r="AD107" s="54"/>
      <c r="AE107" s="54">
        <v>1</v>
      </c>
      <c r="AF107" s="54"/>
      <c r="AG107" s="54"/>
      <c r="AH107" s="54"/>
      <c r="AI107" s="54"/>
      <c r="AJ107" s="54"/>
      <c r="AK107" s="54"/>
      <c r="AL107" s="54"/>
      <c r="AM107" s="81"/>
    </row>
    <row r="108" spans="2:39" ht="25.05" customHeight="1">
      <c r="B108" s="74"/>
      <c r="C108" s="75"/>
      <c r="D108" s="76"/>
      <c r="E108" s="77" t="s">
        <v>563</v>
      </c>
      <c r="F108" s="8" t="s">
        <v>42</v>
      </c>
      <c r="G108" s="53">
        <v>0.69444444444444442</v>
      </c>
      <c r="H108" s="53">
        <v>0.69444444444444442</v>
      </c>
      <c r="I108" s="10">
        <f t="shared" si="12"/>
        <v>0</v>
      </c>
      <c r="J108" s="54">
        <v>4</v>
      </c>
      <c r="K108" s="54">
        <v>70.790000000000006</v>
      </c>
      <c r="L108" s="16" t="str">
        <f t="shared" si="13"/>
        <v>0</v>
      </c>
      <c r="M108" s="54"/>
      <c r="N108" s="54"/>
      <c r="O108" s="54"/>
      <c r="P108" s="54"/>
      <c r="Q108" s="54"/>
      <c r="R108" s="80"/>
      <c r="S108" s="80"/>
      <c r="T108" s="54"/>
      <c r="U108" s="54"/>
      <c r="V108" s="80"/>
      <c r="W108" s="80">
        <v>2</v>
      </c>
      <c r="X108" s="80"/>
      <c r="Y108" s="80"/>
      <c r="Z108" s="80"/>
      <c r="AA108" s="54"/>
      <c r="AB108" s="54"/>
      <c r="AC108" s="54"/>
      <c r="AD108" s="54"/>
      <c r="AE108" s="54">
        <v>1</v>
      </c>
      <c r="AF108" s="54"/>
      <c r="AG108" s="54"/>
      <c r="AH108" s="54"/>
      <c r="AI108" s="54"/>
      <c r="AJ108" s="54"/>
      <c r="AK108" s="54"/>
      <c r="AL108" s="54"/>
      <c r="AM108" s="81"/>
    </row>
    <row r="109" spans="2:39" ht="25.05" customHeight="1">
      <c r="B109" s="74"/>
      <c r="C109" s="75"/>
      <c r="D109" s="76"/>
      <c r="E109" s="77" t="s">
        <v>564</v>
      </c>
      <c r="F109" s="8" t="s">
        <v>42</v>
      </c>
      <c r="G109" s="53">
        <v>0.70347222222222228</v>
      </c>
      <c r="H109" s="53">
        <v>0.70347222222222228</v>
      </c>
      <c r="I109" s="10">
        <f t="shared" si="12"/>
        <v>0</v>
      </c>
      <c r="J109" s="54">
        <v>4</v>
      </c>
      <c r="K109" s="54">
        <v>79.86</v>
      </c>
      <c r="L109" s="16" t="str">
        <f t="shared" si="13"/>
        <v>0</v>
      </c>
      <c r="M109" s="54"/>
      <c r="N109" s="54"/>
      <c r="O109" s="54"/>
      <c r="P109" s="54"/>
      <c r="Q109" s="54"/>
      <c r="R109" s="80"/>
      <c r="S109" s="80"/>
      <c r="T109" s="54"/>
      <c r="U109" s="54"/>
      <c r="V109" s="80"/>
      <c r="W109" s="80">
        <v>2</v>
      </c>
      <c r="X109" s="80"/>
      <c r="Y109" s="80"/>
      <c r="Z109" s="80"/>
      <c r="AA109" s="54"/>
      <c r="AB109" s="54"/>
      <c r="AC109" s="54"/>
      <c r="AD109" s="54"/>
      <c r="AE109" s="54">
        <v>1</v>
      </c>
      <c r="AF109" s="54"/>
      <c r="AG109" s="54"/>
      <c r="AH109" s="54"/>
      <c r="AI109" s="54"/>
      <c r="AJ109" s="54"/>
      <c r="AK109" s="54"/>
      <c r="AL109" s="54"/>
      <c r="AM109" s="81"/>
    </row>
    <row r="110" spans="2:39" ht="25.05" customHeight="1">
      <c r="B110" s="74"/>
      <c r="C110" s="75"/>
      <c r="D110" s="76"/>
      <c r="E110" s="77" t="s">
        <v>565</v>
      </c>
      <c r="F110" s="8" t="s">
        <v>42</v>
      </c>
      <c r="G110" s="53">
        <v>0.7104166666666667</v>
      </c>
      <c r="H110" s="53">
        <v>0.7104166666666667</v>
      </c>
      <c r="I110" s="10">
        <f t="shared" si="12"/>
        <v>0</v>
      </c>
      <c r="J110" s="54">
        <v>4</v>
      </c>
      <c r="K110" s="54">
        <v>82.31</v>
      </c>
      <c r="L110" s="16" t="str">
        <f t="shared" si="13"/>
        <v>0</v>
      </c>
      <c r="M110" s="54"/>
      <c r="N110" s="54"/>
      <c r="O110" s="54"/>
      <c r="P110" s="54"/>
      <c r="Q110" s="54"/>
      <c r="R110" s="80"/>
      <c r="S110" s="80"/>
      <c r="T110" s="54"/>
      <c r="U110" s="54"/>
      <c r="V110" s="80"/>
      <c r="W110" s="80">
        <v>2</v>
      </c>
      <c r="X110" s="80"/>
      <c r="Y110" s="80"/>
      <c r="Z110" s="80"/>
      <c r="AA110" s="54"/>
      <c r="AB110" s="54"/>
      <c r="AC110" s="54"/>
      <c r="AD110" s="54"/>
      <c r="AE110" s="54">
        <v>1</v>
      </c>
      <c r="AF110" s="54"/>
      <c r="AG110" s="54"/>
      <c r="AH110" s="54"/>
      <c r="AI110" s="54"/>
      <c r="AJ110" s="54"/>
      <c r="AK110" s="54"/>
      <c r="AL110" s="54"/>
      <c r="AM110" s="81"/>
    </row>
    <row r="111" spans="2:39" ht="25.05" customHeight="1">
      <c r="B111" s="74"/>
      <c r="C111" s="75"/>
      <c r="D111" s="76"/>
      <c r="E111" s="77" t="s">
        <v>566</v>
      </c>
      <c r="F111" s="8" t="s">
        <v>42</v>
      </c>
      <c r="G111" s="53">
        <v>0.72083333333333333</v>
      </c>
      <c r="H111" s="53">
        <v>0.72083333333333333</v>
      </c>
      <c r="I111" s="10">
        <f t="shared" si="12"/>
        <v>0</v>
      </c>
      <c r="J111" s="54">
        <v>4</v>
      </c>
      <c r="K111" s="54">
        <v>83.19</v>
      </c>
      <c r="L111" s="16" t="str">
        <f t="shared" si="13"/>
        <v>0</v>
      </c>
      <c r="M111" s="54"/>
      <c r="N111" s="54"/>
      <c r="O111" s="54"/>
      <c r="P111" s="54"/>
      <c r="Q111" s="54"/>
      <c r="R111" s="80"/>
      <c r="S111" s="80"/>
      <c r="T111" s="54"/>
      <c r="U111" s="54"/>
      <c r="V111" s="80"/>
      <c r="W111" s="80">
        <v>2</v>
      </c>
      <c r="X111" s="80"/>
      <c r="Y111" s="80"/>
      <c r="Z111" s="80"/>
      <c r="AA111" s="54"/>
      <c r="AB111" s="54"/>
      <c r="AC111" s="54"/>
      <c r="AD111" s="54"/>
      <c r="AE111" s="54">
        <v>1</v>
      </c>
      <c r="AF111" s="54"/>
      <c r="AG111" s="54"/>
      <c r="AH111" s="54"/>
      <c r="AI111" s="54"/>
      <c r="AJ111" s="54"/>
      <c r="AK111" s="54"/>
      <c r="AL111" s="54"/>
      <c r="AM111" s="81"/>
    </row>
    <row r="112" spans="2:39" ht="25.05" customHeight="1">
      <c r="B112" s="74"/>
      <c r="C112" s="75"/>
      <c r="D112" s="76"/>
      <c r="E112" s="77" t="s">
        <v>567</v>
      </c>
      <c r="F112" s="8" t="s">
        <v>42</v>
      </c>
      <c r="G112" s="53">
        <v>0.72847222222222219</v>
      </c>
      <c r="H112" s="53">
        <v>0.72847222222222219</v>
      </c>
      <c r="I112" s="10">
        <f t="shared" si="12"/>
        <v>0</v>
      </c>
      <c r="J112" s="54">
        <v>4</v>
      </c>
      <c r="K112" s="54">
        <v>14.97</v>
      </c>
      <c r="L112" s="16" t="str">
        <f t="shared" si="13"/>
        <v>0</v>
      </c>
      <c r="M112" s="54"/>
      <c r="N112" s="54"/>
      <c r="O112" s="54"/>
      <c r="P112" s="54"/>
      <c r="Q112" s="54"/>
      <c r="R112" s="80"/>
      <c r="S112" s="80"/>
      <c r="T112" s="54"/>
      <c r="U112" s="54"/>
      <c r="V112" s="80">
        <v>2</v>
      </c>
      <c r="W112" s="80"/>
      <c r="X112" s="80"/>
      <c r="Y112" s="80"/>
      <c r="Z112" s="80"/>
      <c r="AA112" s="54"/>
      <c r="AB112" s="54"/>
      <c r="AC112" s="54"/>
      <c r="AD112" s="54"/>
      <c r="AE112" s="54">
        <v>1</v>
      </c>
      <c r="AF112" s="54"/>
      <c r="AG112" s="54"/>
      <c r="AH112" s="54"/>
      <c r="AI112" s="54"/>
      <c r="AJ112" s="54"/>
      <c r="AK112" s="54"/>
      <c r="AL112" s="54"/>
      <c r="AM112" s="81"/>
    </row>
    <row r="113" spans="1:39" ht="25.05" customHeight="1">
      <c r="B113" s="74"/>
      <c r="C113" s="75"/>
      <c r="D113" s="76"/>
      <c r="E113" s="77" t="s">
        <v>568</v>
      </c>
      <c r="F113" s="8" t="s">
        <v>42</v>
      </c>
      <c r="G113" s="53">
        <v>0.72986111111111107</v>
      </c>
      <c r="H113" s="53">
        <v>0.72986111111111107</v>
      </c>
      <c r="I113" s="10">
        <f t="shared" si="12"/>
        <v>0</v>
      </c>
      <c r="J113" s="54">
        <v>4</v>
      </c>
      <c r="K113" s="54">
        <v>15.16</v>
      </c>
      <c r="L113" s="16" t="str">
        <f t="shared" si="13"/>
        <v>0</v>
      </c>
      <c r="M113" s="54"/>
      <c r="N113" s="54"/>
      <c r="O113" s="54"/>
      <c r="P113" s="54"/>
      <c r="Q113" s="54"/>
      <c r="R113" s="80"/>
      <c r="S113" s="80"/>
      <c r="T113" s="54"/>
      <c r="U113" s="54"/>
      <c r="V113" s="80">
        <v>2</v>
      </c>
      <c r="W113" s="80"/>
      <c r="X113" s="80"/>
      <c r="Y113" s="80"/>
      <c r="Z113" s="80"/>
      <c r="AA113" s="54"/>
      <c r="AB113" s="54"/>
      <c r="AC113" s="54"/>
      <c r="AD113" s="54"/>
      <c r="AE113" s="54">
        <v>1</v>
      </c>
      <c r="AF113" s="54"/>
      <c r="AG113" s="54"/>
      <c r="AH113" s="54"/>
      <c r="AI113" s="54"/>
      <c r="AJ113" s="54"/>
      <c r="AK113" s="54"/>
      <c r="AL113" s="54"/>
      <c r="AM113" s="81"/>
    </row>
    <row r="114" spans="1:39" ht="25.05" customHeight="1">
      <c r="B114" s="74"/>
      <c r="C114" s="75"/>
      <c r="D114" s="76"/>
      <c r="E114" s="77" t="s">
        <v>569</v>
      </c>
      <c r="F114" s="8" t="s">
        <v>42</v>
      </c>
      <c r="G114" s="53">
        <v>0.73055555555555551</v>
      </c>
      <c r="H114" s="53">
        <v>0.73055555555555551</v>
      </c>
      <c r="I114" s="10">
        <f t="shared" si="12"/>
        <v>0</v>
      </c>
      <c r="J114" s="54">
        <v>4</v>
      </c>
      <c r="K114" s="54">
        <v>15.58</v>
      </c>
      <c r="L114" s="16" t="str">
        <f t="shared" si="13"/>
        <v>0</v>
      </c>
      <c r="M114" s="54"/>
      <c r="N114" s="54"/>
      <c r="O114" s="54"/>
      <c r="P114" s="54"/>
      <c r="Q114" s="54"/>
      <c r="R114" s="80"/>
      <c r="S114" s="80"/>
      <c r="T114" s="54"/>
      <c r="U114" s="54"/>
      <c r="V114" s="80">
        <v>2</v>
      </c>
      <c r="W114" s="80"/>
      <c r="X114" s="80"/>
      <c r="Y114" s="80"/>
      <c r="Z114" s="80"/>
      <c r="AA114" s="54"/>
      <c r="AB114" s="54"/>
      <c r="AC114" s="54"/>
      <c r="AD114" s="54"/>
      <c r="AE114" s="54">
        <v>1</v>
      </c>
      <c r="AF114" s="54"/>
      <c r="AG114" s="54"/>
      <c r="AH114" s="54"/>
      <c r="AI114" s="54"/>
      <c r="AJ114" s="54"/>
      <c r="AK114" s="54"/>
      <c r="AL114" s="54"/>
      <c r="AM114" s="81"/>
    </row>
    <row r="115" spans="1:39" ht="25.05" customHeight="1">
      <c r="B115" s="74"/>
      <c r="C115" s="75"/>
      <c r="D115" s="76"/>
      <c r="E115" s="77" t="s">
        <v>570</v>
      </c>
      <c r="F115" s="8" t="s">
        <v>42</v>
      </c>
      <c r="G115" s="53">
        <v>0.73263888888888884</v>
      </c>
      <c r="H115" s="53">
        <v>0.73263888888888884</v>
      </c>
      <c r="I115" s="10">
        <f t="shared" si="12"/>
        <v>0</v>
      </c>
      <c r="J115" s="54">
        <v>4</v>
      </c>
      <c r="K115" s="54">
        <v>15.66</v>
      </c>
      <c r="L115" s="16" t="str">
        <f t="shared" si="13"/>
        <v>0</v>
      </c>
      <c r="M115" s="54"/>
      <c r="N115" s="54"/>
      <c r="O115" s="54"/>
      <c r="P115" s="54"/>
      <c r="Q115" s="54"/>
      <c r="R115" s="80"/>
      <c r="S115" s="80"/>
      <c r="T115" s="54"/>
      <c r="U115" s="54"/>
      <c r="V115" s="80">
        <v>2</v>
      </c>
      <c r="W115" s="80"/>
      <c r="X115" s="80"/>
      <c r="Y115" s="80"/>
      <c r="Z115" s="80"/>
      <c r="AA115" s="54"/>
      <c r="AB115" s="54"/>
      <c r="AC115" s="54"/>
      <c r="AD115" s="54"/>
      <c r="AE115" s="54">
        <v>1</v>
      </c>
      <c r="AF115" s="54"/>
      <c r="AG115" s="54"/>
      <c r="AH115" s="54"/>
      <c r="AI115" s="54"/>
      <c r="AJ115" s="54"/>
      <c r="AK115" s="54"/>
      <c r="AL115" s="54"/>
      <c r="AM115" s="81"/>
    </row>
    <row r="116" spans="1:39" ht="25.05" customHeight="1">
      <c r="B116" s="74"/>
      <c r="C116" s="75"/>
      <c r="D116" s="76"/>
      <c r="E116" s="77" t="s">
        <v>571</v>
      </c>
      <c r="F116" s="8" t="s">
        <v>42</v>
      </c>
      <c r="G116" s="53">
        <v>0.73333333333333328</v>
      </c>
      <c r="H116" s="53">
        <v>0.73333333333333328</v>
      </c>
      <c r="I116" s="10">
        <f t="shared" si="12"/>
        <v>0</v>
      </c>
      <c r="J116" s="54">
        <v>4</v>
      </c>
      <c r="K116" s="54">
        <v>15.79</v>
      </c>
      <c r="L116" s="16" t="str">
        <f t="shared" si="13"/>
        <v>0</v>
      </c>
      <c r="M116" s="54"/>
      <c r="N116" s="54"/>
      <c r="O116" s="54"/>
      <c r="P116" s="54"/>
      <c r="Q116" s="54"/>
      <c r="R116" s="80"/>
      <c r="S116" s="80"/>
      <c r="T116" s="54"/>
      <c r="U116" s="54"/>
      <c r="V116" s="80">
        <v>2</v>
      </c>
      <c r="W116" s="80"/>
      <c r="X116" s="80"/>
      <c r="Y116" s="80"/>
      <c r="Z116" s="80"/>
      <c r="AA116" s="54"/>
      <c r="AB116" s="54"/>
      <c r="AC116" s="54"/>
      <c r="AD116" s="54"/>
      <c r="AE116" s="54">
        <v>1</v>
      </c>
      <c r="AF116" s="54"/>
      <c r="AG116" s="54"/>
      <c r="AH116" s="54"/>
      <c r="AI116" s="54"/>
      <c r="AJ116" s="54"/>
      <c r="AK116" s="54"/>
      <c r="AL116" s="54"/>
      <c r="AM116" s="81"/>
    </row>
    <row r="117" spans="1:39" ht="25.05" customHeight="1">
      <c r="B117" s="74"/>
      <c r="C117" s="75"/>
      <c r="D117" s="76"/>
      <c r="E117" s="77"/>
      <c r="F117" s="78"/>
      <c r="G117" s="53"/>
      <c r="H117" s="53"/>
      <c r="I117" s="79"/>
      <c r="J117" s="54"/>
      <c r="K117" s="54"/>
      <c r="L117" s="16"/>
      <c r="M117" s="54"/>
      <c r="N117" s="54"/>
      <c r="O117" s="54"/>
      <c r="P117" s="54"/>
      <c r="Q117" s="54"/>
      <c r="R117" s="80"/>
      <c r="S117" s="80"/>
      <c r="T117" s="54"/>
      <c r="U117" s="54"/>
      <c r="V117" s="80"/>
      <c r="W117" s="80"/>
      <c r="X117" s="80"/>
      <c r="Y117" s="80"/>
      <c r="Z117" s="80"/>
      <c r="AA117" s="54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81"/>
    </row>
    <row r="118" spans="1:39" ht="25.05" customHeight="1">
      <c r="B118" s="74"/>
      <c r="C118" s="75"/>
      <c r="D118" s="76"/>
      <c r="E118" s="77"/>
      <c r="F118" s="78"/>
      <c r="G118" s="53"/>
      <c r="H118" s="53"/>
      <c r="I118" s="79"/>
      <c r="J118" s="54"/>
      <c r="K118" s="54"/>
      <c r="L118" s="16"/>
      <c r="M118" s="54"/>
      <c r="N118" s="54"/>
      <c r="O118" s="54"/>
      <c r="P118" s="54"/>
      <c r="Q118" s="54"/>
      <c r="R118" s="80"/>
      <c r="S118" s="80"/>
      <c r="T118" s="54"/>
      <c r="U118" s="54"/>
      <c r="V118" s="80"/>
      <c r="W118" s="80"/>
      <c r="X118" s="80"/>
      <c r="Y118" s="80"/>
      <c r="Z118" s="80"/>
      <c r="AA118" s="54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81"/>
    </row>
    <row r="119" spans="1:39" ht="25.05" customHeight="1">
      <c r="B119" s="74"/>
      <c r="C119" s="75"/>
      <c r="D119" s="76"/>
      <c r="E119" s="77"/>
      <c r="F119" s="78"/>
      <c r="G119" s="53"/>
      <c r="H119" s="53"/>
      <c r="I119" s="79"/>
      <c r="J119" s="54"/>
      <c r="K119" s="54"/>
      <c r="L119" s="16"/>
      <c r="M119" s="54"/>
      <c r="N119" s="54"/>
      <c r="O119" s="54"/>
      <c r="P119" s="54"/>
      <c r="Q119" s="54"/>
      <c r="R119" s="80"/>
      <c r="S119" s="80"/>
      <c r="T119" s="54"/>
      <c r="U119" s="54"/>
      <c r="V119" s="80"/>
      <c r="W119" s="80"/>
      <c r="X119" s="80"/>
      <c r="Y119" s="80"/>
      <c r="Z119" s="80"/>
      <c r="AA119" s="54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81"/>
    </row>
    <row r="120" spans="1:39" ht="25.05" customHeight="1">
      <c r="B120" s="74"/>
      <c r="C120" s="75"/>
      <c r="D120" s="76"/>
      <c r="E120" s="77"/>
      <c r="F120" s="78"/>
      <c r="G120" s="53"/>
      <c r="H120" s="53"/>
      <c r="I120" s="79"/>
      <c r="J120" s="54"/>
      <c r="K120" s="54"/>
      <c r="L120" s="16"/>
      <c r="M120" s="54"/>
      <c r="N120" s="54"/>
      <c r="O120" s="54"/>
      <c r="P120" s="54"/>
      <c r="Q120" s="54"/>
      <c r="R120" s="80"/>
      <c r="S120" s="80"/>
      <c r="T120" s="54"/>
      <c r="U120" s="54"/>
      <c r="V120" s="80"/>
      <c r="W120" s="80"/>
      <c r="X120" s="80"/>
      <c r="Y120" s="80"/>
      <c r="Z120" s="80"/>
      <c r="AA120" s="54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81"/>
    </row>
    <row r="121" spans="1:39" ht="25.05" customHeight="1">
      <c r="B121" s="74"/>
      <c r="C121" s="75"/>
      <c r="D121" s="76"/>
      <c r="E121" s="77"/>
      <c r="F121" s="78"/>
      <c r="G121" s="53"/>
      <c r="H121" s="53"/>
      <c r="I121" s="79"/>
      <c r="J121" s="54"/>
      <c r="K121" s="54"/>
      <c r="L121" s="16"/>
      <c r="M121" s="54"/>
      <c r="N121" s="54"/>
      <c r="O121" s="54"/>
      <c r="P121" s="54"/>
      <c r="Q121" s="54"/>
      <c r="R121" s="80"/>
      <c r="S121" s="80"/>
      <c r="T121" s="54"/>
      <c r="U121" s="54"/>
      <c r="V121" s="80"/>
      <c r="W121" s="80"/>
      <c r="X121" s="80"/>
      <c r="Y121" s="80"/>
      <c r="Z121" s="80"/>
      <c r="AA121" s="54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81"/>
    </row>
    <row r="122" spans="1:39" ht="25.05" customHeight="1">
      <c r="B122" s="74"/>
      <c r="C122" s="75"/>
      <c r="D122" s="76"/>
      <c r="E122" s="77"/>
      <c r="F122" s="78"/>
      <c r="G122" s="53"/>
      <c r="H122" s="53"/>
      <c r="I122" s="79"/>
      <c r="J122" s="54"/>
      <c r="K122" s="54"/>
      <c r="L122" s="16"/>
      <c r="M122" s="54"/>
      <c r="N122" s="54"/>
      <c r="O122" s="54"/>
      <c r="P122" s="54"/>
      <c r="Q122" s="54"/>
      <c r="R122" s="80"/>
      <c r="S122" s="80"/>
      <c r="T122" s="54"/>
      <c r="U122" s="54"/>
      <c r="V122" s="80"/>
      <c r="W122" s="80"/>
      <c r="X122" s="80"/>
      <c r="Y122" s="80"/>
      <c r="Z122" s="80"/>
      <c r="AA122" s="54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81"/>
    </row>
    <row r="123" spans="1:39" ht="25.05" customHeight="1">
      <c r="B123" s="74"/>
      <c r="C123" s="75"/>
      <c r="D123" s="76"/>
      <c r="E123" s="77"/>
      <c r="F123" s="78"/>
      <c r="G123" s="53"/>
      <c r="H123" s="53"/>
      <c r="I123" s="79"/>
      <c r="J123" s="54"/>
      <c r="K123" s="54"/>
      <c r="L123" s="16"/>
      <c r="M123" s="54"/>
      <c r="N123" s="54"/>
      <c r="O123" s="54"/>
      <c r="P123" s="54"/>
      <c r="Q123" s="54"/>
      <c r="R123" s="80"/>
      <c r="S123" s="80"/>
      <c r="T123" s="54"/>
      <c r="U123" s="54"/>
      <c r="V123" s="80"/>
      <c r="W123" s="80"/>
      <c r="X123" s="80"/>
      <c r="Y123" s="80"/>
      <c r="Z123" s="80"/>
      <c r="AA123" s="54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81"/>
    </row>
    <row r="124" spans="1:39" ht="25.05" customHeight="1">
      <c r="B124" s="74"/>
      <c r="C124" s="75"/>
      <c r="D124" s="76"/>
      <c r="E124" s="77"/>
      <c r="F124" s="78"/>
      <c r="G124" s="53"/>
      <c r="H124" s="53"/>
      <c r="I124" s="79"/>
      <c r="J124" s="54"/>
      <c r="K124" s="54"/>
      <c r="L124" s="16"/>
      <c r="M124" s="54"/>
      <c r="N124" s="54"/>
      <c r="O124" s="54"/>
      <c r="P124" s="54"/>
      <c r="Q124" s="54"/>
      <c r="R124" s="80"/>
      <c r="S124" s="80"/>
      <c r="T124" s="54"/>
      <c r="U124" s="54"/>
      <c r="V124" s="80"/>
      <c r="W124" s="80"/>
      <c r="X124" s="80"/>
      <c r="Y124" s="80"/>
      <c r="Z124" s="80"/>
      <c r="AA124" s="54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81"/>
    </row>
    <row r="125" spans="1:39" ht="25.05" customHeight="1">
      <c r="B125" s="74"/>
      <c r="C125" s="75"/>
      <c r="D125" s="76"/>
      <c r="E125" s="77"/>
      <c r="F125" s="78"/>
      <c r="G125" s="53"/>
      <c r="H125" s="53"/>
      <c r="I125" s="79"/>
      <c r="J125" s="54"/>
      <c r="K125" s="54"/>
      <c r="L125" s="16"/>
      <c r="M125" s="54"/>
      <c r="N125" s="54"/>
      <c r="O125" s="54"/>
      <c r="P125" s="54"/>
      <c r="Q125" s="54"/>
      <c r="R125" s="80"/>
      <c r="S125" s="80"/>
      <c r="T125" s="54"/>
      <c r="U125" s="54"/>
      <c r="V125" s="80"/>
      <c r="W125" s="80"/>
      <c r="X125" s="80"/>
      <c r="Y125" s="80"/>
      <c r="Z125" s="80"/>
      <c r="AA125" s="54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81"/>
    </row>
    <row r="126" spans="1:39" ht="25.05" customHeight="1">
      <c r="B126" s="74"/>
      <c r="C126" s="75"/>
      <c r="D126" s="76"/>
      <c r="E126" s="77"/>
      <c r="F126" s="78"/>
      <c r="G126" s="53"/>
      <c r="H126" s="53"/>
      <c r="I126" s="79"/>
      <c r="J126" s="54"/>
      <c r="K126" s="54"/>
      <c r="L126" s="16"/>
      <c r="M126" s="54"/>
      <c r="N126" s="54"/>
      <c r="O126" s="54"/>
      <c r="P126" s="54"/>
      <c r="Q126" s="54"/>
      <c r="R126" s="80"/>
      <c r="S126" s="80"/>
      <c r="T126" s="54"/>
      <c r="U126" s="54"/>
      <c r="V126" s="80"/>
      <c r="W126" s="80"/>
      <c r="X126" s="80"/>
      <c r="Y126" s="80"/>
      <c r="Z126" s="80"/>
      <c r="AA126" s="54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81"/>
    </row>
    <row r="127" spans="1:39" s="28" customFormat="1" ht="25.5" customHeight="1" thickBot="1">
      <c r="A127" s="2"/>
      <c r="B127" s="32"/>
      <c r="C127" s="33"/>
      <c r="D127" s="34"/>
      <c r="E127" s="35"/>
      <c r="F127" s="35"/>
      <c r="G127" s="36"/>
      <c r="H127" s="36"/>
      <c r="I127" s="37"/>
      <c r="J127" s="38"/>
      <c r="K127" s="38">
        <f t="shared" ref="K127:AD127" si="14">SUM(K33:K96)</f>
        <v>3427.5299999999997</v>
      </c>
      <c r="L127" s="39">
        <f t="shared" si="14"/>
        <v>17633.918453080914</v>
      </c>
      <c r="M127" s="38">
        <f t="shared" si="14"/>
        <v>0</v>
      </c>
      <c r="N127" s="38">
        <f t="shared" si="14"/>
        <v>0</v>
      </c>
      <c r="O127" s="38">
        <f t="shared" si="14"/>
        <v>0</v>
      </c>
      <c r="P127" s="38">
        <f t="shared" si="14"/>
        <v>0</v>
      </c>
      <c r="Q127" s="38">
        <f t="shared" si="14"/>
        <v>0</v>
      </c>
      <c r="R127" s="38">
        <f t="shared" si="14"/>
        <v>0</v>
      </c>
      <c r="S127" s="38">
        <f t="shared" si="14"/>
        <v>0</v>
      </c>
      <c r="T127" s="38">
        <f t="shared" si="14"/>
        <v>0</v>
      </c>
      <c r="U127" s="38">
        <f t="shared" si="14"/>
        <v>0</v>
      </c>
      <c r="V127" s="38">
        <f t="shared" si="14"/>
        <v>93</v>
      </c>
      <c r="W127" s="38">
        <f t="shared" si="14"/>
        <v>40</v>
      </c>
      <c r="X127" s="179">
        <f t="shared" si="14"/>
        <v>0</v>
      </c>
      <c r="Y127" s="179">
        <f t="shared" si="14"/>
        <v>0</v>
      </c>
      <c r="Z127" s="179">
        <f t="shared" si="14"/>
        <v>0</v>
      </c>
      <c r="AA127" s="38">
        <f t="shared" si="14"/>
        <v>0</v>
      </c>
      <c r="AB127" s="38">
        <f t="shared" si="14"/>
        <v>101</v>
      </c>
      <c r="AC127" s="38">
        <f t="shared" si="14"/>
        <v>11</v>
      </c>
      <c r="AD127" s="38">
        <f t="shared" si="14"/>
        <v>130</v>
      </c>
      <c r="AE127" s="38"/>
      <c r="AF127" s="38">
        <f t="shared" ref="AF127:AM127" si="15">SUM(AF33:AF96)</f>
        <v>90</v>
      </c>
      <c r="AG127" s="38">
        <f t="shared" si="15"/>
        <v>0</v>
      </c>
      <c r="AH127" s="38">
        <f t="shared" si="15"/>
        <v>106.32333333333334</v>
      </c>
      <c r="AI127" s="38">
        <f t="shared" si="15"/>
        <v>106.32333333333334</v>
      </c>
      <c r="AJ127" s="38">
        <f t="shared" si="15"/>
        <v>106.32333333333334</v>
      </c>
      <c r="AK127" s="38">
        <f t="shared" si="15"/>
        <v>0</v>
      </c>
      <c r="AL127" s="38">
        <f t="shared" si="15"/>
        <v>0</v>
      </c>
      <c r="AM127" s="38">
        <f t="shared" si="15"/>
        <v>0</v>
      </c>
    </row>
    <row r="128" spans="1:39" ht="38.1" customHeight="1" thickBot="1">
      <c r="B128" s="40" t="s">
        <v>45</v>
      </c>
      <c r="C128" s="41"/>
      <c r="D128" s="41"/>
      <c r="E128" s="41"/>
      <c r="F128" s="41"/>
      <c r="G128" s="41"/>
      <c r="H128" s="41"/>
      <c r="I128" s="41"/>
      <c r="J128" s="41"/>
      <c r="K128" s="42">
        <f>K25+K32+K127</f>
        <v>6583.25</v>
      </c>
      <c r="L128" s="42">
        <f>L25+L32+L127</f>
        <v>18761.324139894103</v>
      </c>
      <c r="M128" s="43">
        <f t="shared" ref="M128:AM128" si="16">(M25+M32+M127)/(480-15-30)</f>
        <v>0.13333333333333333</v>
      </c>
      <c r="N128" s="43">
        <f t="shared" si="16"/>
        <v>0</v>
      </c>
      <c r="O128" s="43">
        <f t="shared" si="16"/>
        <v>1.1954022988505748</v>
      </c>
      <c r="P128" s="43">
        <f t="shared" si="16"/>
        <v>0</v>
      </c>
      <c r="Q128" s="43">
        <f t="shared" si="16"/>
        <v>0</v>
      </c>
      <c r="R128" s="43">
        <f t="shared" si="16"/>
        <v>0.12643678160919541</v>
      </c>
      <c r="S128" s="43">
        <f t="shared" si="16"/>
        <v>1.4942528735632183</v>
      </c>
      <c r="T128" s="43">
        <f t="shared" si="16"/>
        <v>0.27586206896551724</v>
      </c>
      <c r="U128" s="43">
        <f t="shared" si="16"/>
        <v>0</v>
      </c>
      <c r="V128" s="43">
        <f t="shared" si="16"/>
        <v>0.21379310344827587</v>
      </c>
      <c r="W128" s="43">
        <f t="shared" si="16"/>
        <v>9.1954022988505746E-2</v>
      </c>
      <c r="X128" s="43">
        <f t="shared" si="16"/>
        <v>0</v>
      </c>
      <c r="Y128" s="43">
        <f t="shared" si="16"/>
        <v>0</v>
      </c>
      <c r="Z128" s="43">
        <f t="shared" si="16"/>
        <v>0</v>
      </c>
      <c r="AA128" s="43">
        <f t="shared" si="16"/>
        <v>0</v>
      </c>
      <c r="AB128" s="43">
        <f t="shared" si="16"/>
        <v>0.23218390804597702</v>
      </c>
      <c r="AC128" s="43">
        <f t="shared" si="16"/>
        <v>2.528735632183908E-2</v>
      </c>
      <c r="AD128" s="43">
        <f t="shared" si="16"/>
        <v>0.2988505747126437</v>
      </c>
      <c r="AE128" s="43">
        <f t="shared" si="16"/>
        <v>0</v>
      </c>
      <c r="AF128" s="43">
        <f t="shared" si="16"/>
        <v>0.20689655172413793</v>
      </c>
      <c r="AG128" s="43">
        <f t="shared" si="16"/>
        <v>0</v>
      </c>
      <c r="AH128" s="43">
        <f t="shared" si="16"/>
        <v>0.24442145593869732</v>
      </c>
      <c r="AI128" s="43">
        <f t="shared" si="16"/>
        <v>0.24442145593869732</v>
      </c>
      <c r="AJ128" s="43">
        <f t="shared" si="16"/>
        <v>0.24442145593869732</v>
      </c>
      <c r="AK128" s="43">
        <f t="shared" si="16"/>
        <v>0</v>
      </c>
      <c r="AL128" s="43">
        <f t="shared" si="16"/>
        <v>0</v>
      </c>
      <c r="AM128" s="43">
        <f t="shared" si="16"/>
        <v>0</v>
      </c>
    </row>
    <row r="129" spans="2:37" ht="25.05" customHeight="1">
      <c r="B129" s="44"/>
      <c r="C129" s="44"/>
      <c r="D129" s="44"/>
      <c r="E129" s="45"/>
      <c r="F129" s="45"/>
      <c r="G129" s="45"/>
      <c r="H129" s="45"/>
      <c r="I129" s="46"/>
      <c r="J129" s="46"/>
      <c r="K129" s="45"/>
      <c r="L129" s="47"/>
      <c r="M129" s="47"/>
      <c r="N129" s="47"/>
      <c r="O129" s="47"/>
      <c r="P129" s="47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</row>
    <row r="130" spans="2:37" ht="25.05" customHeight="1">
      <c r="B130" s="44"/>
      <c r="C130" s="44"/>
      <c r="D130" s="44"/>
      <c r="E130" s="45"/>
      <c r="F130" s="45"/>
      <c r="G130" s="45"/>
      <c r="H130" s="45"/>
      <c r="I130" s="48" t="s">
        <v>46</v>
      </c>
      <c r="J130" s="46"/>
      <c r="K130" s="45"/>
      <c r="L130" s="47"/>
      <c r="M130" s="47"/>
      <c r="N130" s="47"/>
      <c r="O130" s="47"/>
      <c r="P130" s="47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</row>
    <row r="131" spans="2:37" ht="25.05" customHeight="1">
      <c r="B131" s="44"/>
      <c r="C131" s="44"/>
      <c r="D131" s="44"/>
      <c r="E131" s="45"/>
      <c r="F131" s="45"/>
      <c r="G131" s="45"/>
      <c r="H131" s="45"/>
      <c r="I131" s="49" t="s">
        <v>47</v>
      </c>
      <c r="J131" s="9">
        <v>0</v>
      </c>
      <c r="K131" s="11">
        <v>10</v>
      </c>
      <c r="L131" s="11" t="s">
        <v>48</v>
      </c>
      <c r="M131" s="47"/>
      <c r="N131" s="14">
        <v>2</v>
      </c>
      <c r="O131" s="14"/>
      <c r="P131" s="14"/>
      <c r="Q131" s="50" t="s">
        <v>49</v>
      </c>
      <c r="R131" s="51"/>
      <c r="S131" s="45"/>
      <c r="T131" s="45"/>
      <c r="U131" s="45"/>
      <c r="V131" s="45"/>
      <c r="W131" s="45"/>
      <c r="X131" s="45"/>
      <c r="Y131" s="45"/>
      <c r="Z131" s="45"/>
      <c r="AA131" s="45"/>
      <c r="AC131" s="45"/>
      <c r="AD131" s="45"/>
      <c r="AE131" s="45"/>
      <c r="AF131" s="45"/>
      <c r="AG131" s="45"/>
      <c r="AH131" s="45"/>
      <c r="AI131" s="45"/>
    </row>
    <row r="132" spans="2:37" ht="25.05" customHeight="1">
      <c r="B132" s="44"/>
      <c r="C132" s="44"/>
      <c r="D132" s="44"/>
      <c r="E132" s="45"/>
      <c r="F132" s="45"/>
      <c r="G132" s="45"/>
      <c r="H132" s="45"/>
      <c r="I132" s="49" t="s">
        <v>50</v>
      </c>
      <c r="J132" s="9">
        <v>0</v>
      </c>
      <c r="K132" s="11">
        <v>3</v>
      </c>
      <c r="L132" s="11" t="s">
        <v>48</v>
      </c>
      <c r="M132" s="47"/>
      <c r="N132" s="14">
        <v>4</v>
      </c>
      <c r="O132" s="14"/>
      <c r="P132" s="14"/>
      <c r="Q132" s="50" t="s">
        <v>51</v>
      </c>
      <c r="R132" s="51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  <c r="AI132" s="45"/>
    </row>
    <row r="133" spans="2:37" ht="25.05" customHeight="1">
      <c r="B133" s="44"/>
      <c r="C133" s="44"/>
      <c r="D133" s="44"/>
      <c r="E133" s="45"/>
      <c r="F133" s="45"/>
      <c r="G133" s="45"/>
      <c r="H133" s="45"/>
      <c r="I133" s="49" t="s">
        <v>52</v>
      </c>
      <c r="J133" s="9">
        <v>0</v>
      </c>
      <c r="K133" s="11">
        <v>18</v>
      </c>
      <c r="L133" s="11" t="s">
        <v>48</v>
      </c>
      <c r="M133" s="47"/>
      <c r="N133" s="14">
        <v>1</v>
      </c>
      <c r="O133" s="14"/>
      <c r="P133" s="14"/>
      <c r="Q133" s="50" t="s">
        <v>53</v>
      </c>
      <c r="R133" s="51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</row>
    <row r="134" spans="2:37" ht="25.05" customHeight="1">
      <c r="B134" s="44"/>
      <c r="C134" s="44"/>
      <c r="D134" s="44"/>
      <c r="E134" s="45"/>
      <c r="F134" s="45"/>
      <c r="G134" s="45"/>
      <c r="H134" s="45"/>
      <c r="I134" s="52" t="s">
        <v>54</v>
      </c>
      <c r="J134" s="53">
        <v>0</v>
      </c>
      <c r="K134" s="11">
        <v>5</v>
      </c>
      <c r="L134" s="54" t="s">
        <v>48</v>
      </c>
      <c r="M134" s="47"/>
      <c r="N134" s="14">
        <v>3</v>
      </c>
      <c r="O134" s="14"/>
      <c r="P134" s="14"/>
      <c r="Q134" s="50" t="s">
        <v>55</v>
      </c>
      <c r="R134" s="51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</row>
    <row r="135" spans="2:37" ht="25.05" customHeight="1">
      <c r="B135" s="44"/>
      <c r="C135" s="44"/>
      <c r="D135" s="44"/>
      <c r="E135" s="45"/>
      <c r="F135" s="45"/>
      <c r="G135" s="45"/>
      <c r="H135" s="45"/>
      <c r="I135" s="49" t="s">
        <v>56</v>
      </c>
      <c r="J135" s="9">
        <v>0</v>
      </c>
      <c r="K135" s="11">
        <v>36</v>
      </c>
      <c r="L135" s="11" t="s">
        <v>48</v>
      </c>
      <c r="M135" s="47"/>
      <c r="N135"/>
      <c r="O135"/>
      <c r="P135"/>
      <c r="Q13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</row>
    <row r="136" spans="2:37" ht="25.05" customHeight="1">
      <c r="B136" s="44"/>
      <c r="C136" s="44"/>
      <c r="D136" s="44"/>
      <c r="E136" s="45"/>
      <c r="F136" s="45"/>
      <c r="G136" s="45"/>
      <c r="H136" s="45"/>
      <c r="M136" s="47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</row>
    <row r="137" spans="2:37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M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0273A-908C-4FC4-99F8-30057BA2C65C}">
  <sheetPr>
    <pageSetUpPr fitToPage="1"/>
  </sheetPr>
  <dimension ref="A1:AN76"/>
  <sheetViews>
    <sheetView zoomScale="40" zoomScaleNormal="4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2" width="16.21875" style="2" customWidth="1"/>
    <col min="33" max="33" width="17.77734375" style="2" customWidth="1"/>
    <col min="34" max="39" width="16.21875" style="2" customWidth="1"/>
    <col min="40" max="40" width="14.44140625" style="2" customWidth="1"/>
    <col min="41" max="16384" width="10.21875" style="2"/>
  </cols>
  <sheetData>
    <row r="1" spans="1:40" ht="18.75" customHeight="1">
      <c r="A1" s="2" t="s">
        <v>0</v>
      </c>
    </row>
    <row r="2" spans="1:40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2"/>
    </row>
    <row r="3" spans="1:40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572</v>
      </c>
      <c r="AC3" s="1" t="s">
        <v>29</v>
      </c>
      <c r="AD3" s="1" t="s">
        <v>30</v>
      </c>
      <c r="AE3" s="1" t="s">
        <v>31</v>
      </c>
      <c r="AF3" s="1" t="s">
        <v>416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</row>
    <row r="4" spans="1:40" ht="25.05" customHeight="1">
      <c r="B4" s="13">
        <v>46107</v>
      </c>
      <c r="C4" s="60" t="s">
        <v>40</v>
      </c>
      <c r="D4" s="178" t="s">
        <v>448</v>
      </c>
      <c r="E4" s="7" t="s">
        <v>41</v>
      </c>
      <c r="F4" s="8" t="s">
        <v>42</v>
      </c>
      <c r="G4" s="9">
        <v>0.79166666666666663</v>
      </c>
      <c r="H4" s="9">
        <v>0.79861111111111116</v>
      </c>
      <c r="I4" s="10">
        <f t="shared" ref="I4:I22" si="0">H4-G4</f>
        <v>6.9444444444445308E-3</v>
      </c>
      <c r="J4" s="11">
        <v>8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</row>
    <row r="5" spans="1:40" ht="25.05" customHeight="1">
      <c r="B5" s="13"/>
      <c r="C5" s="14"/>
      <c r="D5" s="30" t="s">
        <v>504</v>
      </c>
      <c r="E5" s="15" t="s">
        <v>573</v>
      </c>
      <c r="F5" s="55" t="s">
        <v>221</v>
      </c>
      <c r="G5" s="9">
        <v>0.84722222222222221</v>
      </c>
      <c r="H5" s="9">
        <v>0.85416666666666663</v>
      </c>
      <c r="I5" s="10">
        <f t="shared" si="0"/>
        <v>6.9444444444444198E-3</v>
      </c>
      <c r="J5" s="11">
        <v>1</v>
      </c>
      <c r="K5" s="11">
        <v>11.39</v>
      </c>
      <c r="L5" s="16">
        <f t="shared" ref="L5:L22" si="1">IFERROR(((K5/(J5*I5)/24)),"0")</f>
        <v>68.340000000000245</v>
      </c>
      <c r="M5" s="11">
        <v>10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</row>
    <row r="6" spans="1:40" ht="25.5" customHeight="1">
      <c r="B6" s="13"/>
      <c r="C6" s="14"/>
      <c r="D6" s="6"/>
      <c r="E6" s="15" t="s">
        <v>574</v>
      </c>
      <c r="F6" s="88" t="s">
        <v>42</v>
      </c>
      <c r="G6" s="9">
        <v>0.8305555555555556</v>
      </c>
      <c r="H6" s="9">
        <v>0.88888888888888884</v>
      </c>
      <c r="I6" s="10">
        <f t="shared" si="0"/>
        <v>5.8333333333333237E-2</v>
      </c>
      <c r="J6" s="11">
        <v>1</v>
      </c>
      <c r="K6" s="11">
        <v>58.61</v>
      </c>
      <c r="L6" s="16">
        <f t="shared" si="1"/>
        <v>41.864285714285785</v>
      </c>
      <c r="M6" s="11"/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</row>
    <row r="7" spans="1:40" ht="25.05" customHeight="1">
      <c r="B7" s="13"/>
      <c r="C7" s="14"/>
      <c r="D7" s="6"/>
      <c r="E7" s="15" t="s">
        <v>575</v>
      </c>
      <c r="F7" s="55" t="s">
        <v>576</v>
      </c>
      <c r="G7" s="9">
        <v>0.9194444444444444</v>
      </c>
      <c r="H7" s="9">
        <v>0.99305555555555558</v>
      </c>
      <c r="I7" s="10">
        <f t="shared" si="0"/>
        <v>7.3611111111111183E-2</v>
      </c>
      <c r="J7" s="11">
        <v>5</v>
      </c>
      <c r="K7" s="11">
        <v>14.02</v>
      </c>
      <c r="L7" s="16">
        <f t="shared" si="1"/>
        <v>1.5871698113207531</v>
      </c>
      <c r="M7" s="11"/>
      <c r="N7" s="11"/>
      <c r="O7" s="11"/>
      <c r="P7" s="11"/>
      <c r="Q7" s="11"/>
      <c r="R7" s="12"/>
      <c r="S7" s="12">
        <v>106</v>
      </c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</row>
    <row r="8" spans="1:40" ht="25.05" customHeight="1">
      <c r="B8" s="13"/>
      <c r="C8" s="14"/>
      <c r="D8" s="6"/>
      <c r="E8" s="15" t="s">
        <v>577</v>
      </c>
      <c r="F8" s="55" t="s">
        <v>578</v>
      </c>
      <c r="G8" s="9">
        <v>9.7222222222222224E-2</v>
      </c>
      <c r="H8" s="9">
        <v>0.20833333333333334</v>
      </c>
      <c r="I8" s="10">
        <f t="shared" si="0"/>
        <v>0.11111111111111112</v>
      </c>
      <c r="J8" s="11">
        <v>10</v>
      </c>
      <c r="K8" s="11">
        <v>359.64</v>
      </c>
      <c r="L8" s="16">
        <f t="shared" si="1"/>
        <v>13.486499999999999</v>
      </c>
      <c r="M8" s="11"/>
      <c r="N8" s="11"/>
      <c r="O8" s="11">
        <v>160</v>
      </c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  <row r="9" spans="1:40" ht="25.05" customHeight="1">
      <c r="B9" s="13"/>
      <c r="C9" s="14"/>
      <c r="D9" s="30" t="s">
        <v>579</v>
      </c>
      <c r="E9" s="159" t="s">
        <v>580</v>
      </c>
      <c r="F9" s="55" t="s">
        <v>581</v>
      </c>
      <c r="G9" s="9">
        <v>0.8305555555555556</v>
      </c>
      <c r="H9" s="9">
        <v>0.89583333333333337</v>
      </c>
      <c r="I9" s="10">
        <f t="shared" si="0"/>
        <v>6.5277777777777768E-2</v>
      </c>
      <c r="J9" s="11">
        <v>1</v>
      </c>
      <c r="K9" s="11">
        <v>15.45</v>
      </c>
      <c r="L9" s="16">
        <f t="shared" si="1"/>
        <v>9.8617021276595747</v>
      </c>
      <c r="M9" s="11"/>
      <c r="N9" s="11"/>
      <c r="O9" s="11"/>
      <c r="P9" s="11"/>
      <c r="Q9" s="11"/>
      <c r="R9" s="12"/>
      <c r="S9" s="12">
        <v>94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</row>
    <row r="10" spans="1:40" ht="25.05" customHeight="1">
      <c r="B10" s="13"/>
      <c r="C10" s="14"/>
      <c r="D10" s="6"/>
      <c r="E10" s="17" t="s">
        <v>582</v>
      </c>
      <c r="F10" s="55" t="s">
        <v>232</v>
      </c>
      <c r="G10" s="9">
        <v>0.82499999999999996</v>
      </c>
      <c r="H10" s="9">
        <v>0.8305555555555556</v>
      </c>
      <c r="I10" s="10">
        <f t="shared" si="0"/>
        <v>5.5555555555556468E-3</v>
      </c>
      <c r="J10" s="11">
        <v>1</v>
      </c>
      <c r="K10" s="11">
        <v>7.2</v>
      </c>
      <c r="L10" s="16">
        <f t="shared" si="1"/>
        <v>53.999999999999112</v>
      </c>
      <c r="M10" s="11">
        <v>8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</row>
    <row r="11" spans="1:40" ht="25.05" customHeight="1">
      <c r="B11" s="13"/>
      <c r="C11" s="14"/>
      <c r="D11" s="6"/>
      <c r="E11" s="17" t="s">
        <v>583</v>
      </c>
      <c r="F11" s="55" t="s">
        <v>232</v>
      </c>
      <c r="G11" s="9">
        <v>0.86111111111111116</v>
      </c>
      <c r="H11" s="9">
        <v>0.87291666666666667</v>
      </c>
      <c r="I11" s="10">
        <f t="shared" si="0"/>
        <v>1.1805555555555514E-2</v>
      </c>
      <c r="J11" s="11">
        <v>1</v>
      </c>
      <c r="K11" s="11">
        <v>7.2</v>
      </c>
      <c r="L11" s="16">
        <f t="shared" si="1"/>
        <v>25.411764705882444</v>
      </c>
      <c r="M11" s="11">
        <v>17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</row>
    <row r="12" spans="1:40" ht="25.05" customHeight="1">
      <c r="B12" s="13"/>
      <c r="C12" s="14"/>
      <c r="D12" s="6"/>
      <c r="E12" s="58" t="s">
        <v>584</v>
      </c>
      <c r="F12" s="55" t="s">
        <v>59</v>
      </c>
      <c r="G12" s="9">
        <v>0.82499999999999996</v>
      </c>
      <c r="H12" s="9">
        <v>0.8305555555555556</v>
      </c>
      <c r="I12" s="10">
        <f t="shared" si="0"/>
        <v>5.5555555555556468E-3</v>
      </c>
      <c r="J12" s="11">
        <v>1</v>
      </c>
      <c r="K12" s="184">
        <v>12.55</v>
      </c>
      <c r="L12" s="16">
        <f t="shared" si="1"/>
        <v>94.124999999998465</v>
      </c>
      <c r="M12" s="11">
        <v>8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  <row r="13" spans="1:40" ht="25.05" customHeight="1">
      <c r="B13" s="13"/>
      <c r="C13" s="14"/>
      <c r="D13" s="30" t="s">
        <v>301</v>
      </c>
      <c r="E13" s="15" t="s">
        <v>585</v>
      </c>
      <c r="F13" s="55" t="s">
        <v>232</v>
      </c>
      <c r="G13" s="9">
        <v>0.87708333333333333</v>
      </c>
      <c r="H13" s="9">
        <v>0.88888888888888884</v>
      </c>
      <c r="I13" s="10">
        <f t="shared" si="0"/>
        <v>1.1805555555555514E-2</v>
      </c>
      <c r="J13" s="11">
        <v>1</v>
      </c>
      <c r="K13" s="11">
        <v>3.8</v>
      </c>
      <c r="L13" s="16">
        <f t="shared" si="1"/>
        <v>13.411764705882399</v>
      </c>
      <c r="M13" s="11">
        <v>17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</row>
    <row r="14" spans="1:40" ht="25.05" customHeight="1">
      <c r="B14" s="13"/>
      <c r="C14" s="14"/>
      <c r="D14" s="6"/>
      <c r="E14" s="15" t="s">
        <v>586</v>
      </c>
      <c r="F14" s="55" t="s">
        <v>64</v>
      </c>
      <c r="G14" s="9">
        <v>0.88888888888888884</v>
      </c>
      <c r="H14" s="9">
        <v>0.90069444444444446</v>
      </c>
      <c r="I14" s="10">
        <f t="shared" si="0"/>
        <v>1.1805555555555625E-2</v>
      </c>
      <c r="J14" s="11">
        <v>1</v>
      </c>
      <c r="K14" s="11">
        <v>27.4</v>
      </c>
      <c r="L14" s="16">
        <f t="shared" si="1"/>
        <v>96.705882352940606</v>
      </c>
      <c r="M14" s="11">
        <v>17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</row>
    <row r="15" spans="1:40" ht="25.05" customHeight="1">
      <c r="B15" s="13"/>
      <c r="C15" s="14"/>
      <c r="D15" s="6"/>
      <c r="E15" s="15" t="s">
        <v>587</v>
      </c>
      <c r="F15" s="88" t="s">
        <v>42</v>
      </c>
      <c r="G15" s="9">
        <v>0.8125</v>
      </c>
      <c r="H15" s="9">
        <v>0.82847222222222228</v>
      </c>
      <c r="I15" s="10">
        <f t="shared" si="0"/>
        <v>1.5972222222222276E-2</v>
      </c>
      <c r="J15" s="11">
        <v>2</v>
      </c>
      <c r="K15" s="11">
        <v>149.4</v>
      </c>
      <c r="L15" s="16">
        <f t="shared" si="1"/>
        <v>194.86956521739066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</row>
    <row r="16" spans="1:40" ht="25.05" customHeight="1">
      <c r="B16" s="13"/>
      <c r="C16" s="14"/>
      <c r="D16" s="6"/>
      <c r="E16" s="15" t="s">
        <v>588</v>
      </c>
      <c r="F16" s="55" t="s">
        <v>453</v>
      </c>
      <c r="G16" s="9">
        <v>0.83194444444444449</v>
      </c>
      <c r="H16" s="9">
        <v>46108.03125</v>
      </c>
      <c r="I16" s="10">
        <f t="shared" si="0"/>
        <v>46107.199305555558</v>
      </c>
      <c r="J16" s="11">
        <v>6</v>
      </c>
      <c r="K16" s="11">
        <v>156.91999999999999</v>
      </c>
      <c r="L16" s="16">
        <f t="shared" si="1"/>
        <v>2.3634535140609137E-5</v>
      </c>
      <c r="M16" s="11"/>
      <c r="N16" s="11"/>
      <c r="O16" s="11"/>
      <c r="P16" s="11"/>
      <c r="Q16" s="11"/>
      <c r="R16" s="12"/>
      <c r="S16" s="12">
        <v>287</v>
      </c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</row>
    <row r="17" spans="1:40" ht="25.05" customHeight="1">
      <c r="B17" s="13"/>
      <c r="C17" s="14"/>
      <c r="D17" s="6"/>
      <c r="E17" s="129" t="s">
        <v>589</v>
      </c>
      <c r="F17" s="55" t="s">
        <v>232</v>
      </c>
      <c r="G17" s="9">
        <v>0.99652777777777779</v>
      </c>
      <c r="H17" s="9">
        <v>46108.010416666664</v>
      </c>
      <c r="I17" s="10">
        <f t="shared" si="0"/>
        <v>46107.013888888883</v>
      </c>
      <c r="J17" s="11">
        <v>1</v>
      </c>
      <c r="K17" s="11">
        <v>2</v>
      </c>
      <c r="L17" s="16">
        <f t="shared" si="1"/>
        <v>1.8073895120198935E-6</v>
      </c>
      <c r="M17" s="11">
        <v>20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</row>
    <row r="18" spans="1:40" ht="25.5" customHeight="1">
      <c r="B18" s="13"/>
      <c r="C18" s="14"/>
      <c r="D18" s="6"/>
      <c r="E18" s="113" t="s">
        <v>590</v>
      </c>
      <c r="F18" s="55" t="s">
        <v>64</v>
      </c>
      <c r="G18" s="9">
        <v>0.90208333333333335</v>
      </c>
      <c r="H18" s="9">
        <v>0.91666666666666663</v>
      </c>
      <c r="I18" s="10">
        <f t="shared" si="0"/>
        <v>1.4583333333333282E-2</v>
      </c>
      <c r="J18" s="11">
        <v>8</v>
      </c>
      <c r="K18" s="11">
        <v>32</v>
      </c>
      <c r="L18" s="16">
        <f t="shared" si="1"/>
        <v>11.428571428571468</v>
      </c>
      <c r="M18" s="11">
        <v>21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  <row r="19" spans="1:40" ht="25.5" customHeight="1">
      <c r="B19" s="13"/>
      <c r="C19" s="14"/>
      <c r="D19" s="6"/>
      <c r="E19" s="15" t="s">
        <v>456</v>
      </c>
      <c r="F19" s="88" t="s">
        <v>42</v>
      </c>
      <c r="G19" s="9">
        <v>9.5138888888888884E-2</v>
      </c>
      <c r="H19" s="9">
        <v>0.12222222222222222</v>
      </c>
      <c r="I19" s="10">
        <f t="shared" si="0"/>
        <v>2.7083333333333334E-2</v>
      </c>
      <c r="J19" s="11">
        <v>3</v>
      </c>
      <c r="K19" s="11">
        <v>72</v>
      </c>
      <c r="L19" s="16">
        <f t="shared" si="1"/>
        <v>36.92307692307692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  <row r="20" spans="1:40" ht="25.05" customHeight="1">
      <c r="B20" s="13"/>
      <c r="C20" s="14"/>
      <c r="D20" s="6"/>
      <c r="E20" s="15" t="s">
        <v>591</v>
      </c>
      <c r="F20" s="55" t="s">
        <v>63</v>
      </c>
      <c r="G20" s="9">
        <v>0.125</v>
      </c>
      <c r="H20" s="9">
        <v>0.16319444444444445</v>
      </c>
      <c r="I20" s="10">
        <f t="shared" si="0"/>
        <v>3.8194444444444448E-2</v>
      </c>
      <c r="J20" s="11">
        <v>3</v>
      </c>
      <c r="K20" s="11">
        <v>38</v>
      </c>
      <c r="L20" s="16">
        <f t="shared" si="1"/>
        <v>13.818181818181818</v>
      </c>
      <c r="M20" s="11"/>
      <c r="N20" s="11"/>
      <c r="O20" s="11"/>
      <c r="P20" s="11"/>
      <c r="Q20" s="11"/>
      <c r="R20" s="12"/>
      <c r="S20" s="12">
        <v>55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</row>
    <row r="21" spans="1:40" ht="25.05" customHeight="1">
      <c r="B21" s="13"/>
      <c r="C21" s="14"/>
      <c r="D21" s="6"/>
      <c r="E21" s="15"/>
      <c r="F21" s="55"/>
      <c r="G21" s="9"/>
      <c r="H21" s="9"/>
      <c r="I21" s="10">
        <f t="shared" si="0"/>
        <v>0</v>
      </c>
      <c r="J21" s="11"/>
      <c r="K21" s="11"/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  <row r="22" spans="1:40" ht="25.05" customHeight="1">
      <c r="B22" s="13"/>
      <c r="C22" s="14"/>
      <c r="D22" s="6"/>
      <c r="E22" s="15"/>
      <c r="F22" s="55"/>
      <c r="G22" s="9"/>
      <c r="H22" s="9"/>
      <c r="I22" s="10">
        <f t="shared" si="0"/>
        <v>0</v>
      </c>
      <c r="J22" s="11"/>
      <c r="K22" s="11"/>
      <c r="L22" s="16" t="str">
        <f t="shared" si="1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</row>
    <row r="23" spans="1:40" s="28" customFormat="1" ht="25.05" customHeight="1">
      <c r="A23" s="2"/>
      <c r="B23" s="21"/>
      <c r="C23" s="22"/>
      <c r="D23" s="23"/>
      <c r="E23" s="24"/>
      <c r="F23" s="24"/>
      <c r="G23" s="25"/>
      <c r="H23" s="25"/>
      <c r="I23" s="26"/>
      <c r="J23" s="27"/>
      <c r="K23" s="27">
        <f t="shared" ref="K23:AE23" si="2">SUM(K4:K21)</f>
        <v>967.57999999999993</v>
      </c>
      <c r="L23" s="39">
        <f t="shared" si="2"/>
        <v>675.83349024711492</v>
      </c>
      <c r="M23" s="27">
        <f t="shared" si="2"/>
        <v>118</v>
      </c>
      <c r="N23" s="27">
        <f t="shared" si="2"/>
        <v>0</v>
      </c>
      <c r="O23" s="27">
        <f t="shared" si="2"/>
        <v>160</v>
      </c>
      <c r="P23" s="27">
        <f t="shared" si="2"/>
        <v>0</v>
      </c>
      <c r="Q23" s="27">
        <f t="shared" si="2"/>
        <v>0</v>
      </c>
      <c r="R23" s="27">
        <f t="shared" si="2"/>
        <v>0</v>
      </c>
      <c r="S23" s="27">
        <f t="shared" si="2"/>
        <v>542</v>
      </c>
      <c r="T23" s="27">
        <f t="shared" si="2"/>
        <v>0</v>
      </c>
      <c r="U23" s="27">
        <f t="shared" si="2"/>
        <v>0</v>
      </c>
      <c r="V23" s="27">
        <f t="shared" si="2"/>
        <v>0</v>
      </c>
      <c r="W23" s="27">
        <f t="shared" si="2"/>
        <v>0</v>
      </c>
      <c r="X23" s="27">
        <f t="shared" si="2"/>
        <v>0</v>
      </c>
      <c r="Y23" s="27">
        <f t="shared" si="2"/>
        <v>0</v>
      </c>
      <c r="Z23" s="27">
        <f t="shared" si="2"/>
        <v>0</v>
      </c>
      <c r="AA23" s="27">
        <f t="shared" si="2"/>
        <v>0</v>
      </c>
      <c r="AB23" s="27">
        <f>SUM(AB4:AB21)</f>
        <v>0</v>
      </c>
      <c r="AC23" s="27">
        <f t="shared" si="2"/>
        <v>0</v>
      </c>
      <c r="AD23" s="27">
        <f t="shared" si="2"/>
        <v>0</v>
      </c>
      <c r="AE23" s="27">
        <f t="shared" si="2"/>
        <v>0</v>
      </c>
      <c r="AF23" s="27"/>
      <c r="AG23" s="27">
        <f t="shared" ref="AG23:AN23" si="3">SUM(AG4:AG21)</f>
        <v>0</v>
      </c>
      <c r="AH23" s="27">
        <f t="shared" si="3"/>
        <v>0</v>
      </c>
      <c r="AI23" s="27">
        <f t="shared" si="3"/>
        <v>0</v>
      </c>
      <c r="AJ23" s="27">
        <f t="shared" si="3"/>
        <v>0</v>
      </c>
      <c r="AK23" s="27">
        <f t="shared" si="3"/>
        <v>0</v>
      </c>
      <c r="AL23" s="27">
        <f t="shared" si="3"/>
        <v>0</v>
      </c>
      <c r="AM23" s="27">
        <f t="shared" si="3"/>
        <v>0</v>
      </c>
      <c r="AN23" s="27">
        <f t="shared" si="3"/>
        <v>0</v>
      </c>
    </row>
    <row r="24" spans="1:40" ht="25.05" customHeight="1">
      <c r="B24" s="13"/>
      <c r="C24" s="14" t="s">
        <v>43</v>
      </c>
      <c r="D24" s="6"/>
      <c r="E24" s="7" t="s">
        <v>41</v>
      </c>
      <c r="F24" s="8" t="s">
        <v>42</v>
      </c>
      <c r="G24" s="9"/>
      <c r="H24" s="9"/>
      <c r="I24" s="10">
        <f>H24-G24</f>
        <v>0</v>
      </c>
      <c r="J24" s="11"/>
      <c r="K24" s="11"/>
      <c r="L24" s="16" t="str">
        <f>IFERROR(((K24/(J24*I24)/24)),"0")</f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</row>
    <row r="25" spans="1:40" ht="25.05" customHeight="1">
      <c r="B25" s="13"/>
      <c r="C25" s="14"/>
      <c r="D25" s="18"/>
      <c r="E25" s="6"/>
      <c r="F25" s="14"/>
      <c r="G25" s="9"/>
      <c r="H25" s="9"/>
      <c r="I25" s="10"/>
      <c r="J25" s="11"/>
      <c r="K25" s="11"/>
      <c r="L25" s="16"/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</row>
    <row r="26" spans="1:40" s="28" customFormat="1" ht="25.05" customHeight="1">
      <c r="A26" s="2"/>
      <c r="B26" s="21"/>
      <c r="C26" s="22"/>
      <c r="D26" s="23"/>
      <c r="E26" s="24"/>
      <c r="F26" s="22"/>
      <c r="G26" s="25"/>
      <c r="H26" s="25"/>
      <c r="I26" s="26"/>
      <c r="J26" s="27"/>
      <c r="K26" s="27">
        <f t="shared" ref="K26:AK26" si="4">SUM(K24:K25)</f>
        <v>0</v>
      </c>
      <c r="L26" s="27">
        <f t="shared" si="4"/>
        <v>0</v>
      </c>
      <c r="M26" s="27">
        <f t="shared" si="4"/>
        <v>0</v>
      </c>
      <c r="N26" s="27">
        <f t="shared" si="4"/>
        <v>0</v>
      </c>
      <c r="O26" s="27">
        <f t="shared" si="4"/>
        <v>0</v>
      </c>
      <c r="P26" s="27">
        <f t="shared" si="4"/>
        <v>0</v>
      </c>
      <c r="Q26" s="27">
        <f t="shared" si="4"/>
        <v>0</v>
      </c>
      <c r="R26" s="27">
        <f t="shared" si="4"/>
        <v>0</v>
      </c>
      <c r="S26" s="27">
        <f t="shared" si="4"/>
        <v>0</v>
      </c>
      <c r="T26" s="27">
        <f t="shared" si="4"/>
        <v>0</v>
      </c>
      <c r="U26" s="27">
        <f t="shared" si="4"/>
        <v>0</v>
      </c>
      <c r="V26" s="27">
        <f t="shared" si="4"/>
        <v>0</v>
      </c>
      <c r="W26" s="27">
        <f t="shared" si="4"/>
        <v>0</v>
      </c>
      <c r="X26" s="27">
        <f t="shared" si="4"/>
        <v>0</v>
      </c>
      <c r="Y26" s="27">
        <f t="shared" si="4"/>
        <v>0</v>
      </c>
      <c r="Z26" s="27">
        <f t="shared" si="4"/>
        <v>0</v>
      </c>
      <c r="AA26" s="27">
        <f t="shared" si="4"/>
        <v>0</v>
      </c>
      <c r="AB26" s="27">
        <f>SUM(AB24:AB25)</f>
        <v>0</v>
      </c>
      <c r="AC26" s="27">
        <f t="shared" si="4"/>
        <v>0</v>
      </c>
      <c r="AD26" s="27">
        <f t="shared" si="4"/>
        <v>0</v>
      </c>
      <c r="AE26" s="27">
        <f t="shared" si="4"/>
        <v>0</v>
      </c>
      <c r="AF26" s="27"/>
      <c r="AG26" s="27">
        <f t="shared" si="4"/>
        <v>0</v>
      </c>
      <c r="AH26" s="27">
        <f t="shared" si="4"/>
        <v>0</v>
      </c>
      <c r="AI26" s="27">
        <f t="shared" si="4"/>
        <v>0</v>
      </c>
      <c r="AJ26" s="27">
        <f t="shared" si="4"/>
        <v>0</v>
      </c>
      <c r="AK26" s="27">
        <f t="shared" si="4"/>
        <v>0</v>
      </c>
      <c r="AL26" s="27">
        <f>SUM(AL24:AL25)</f>
        <v>0</v>
      </c>
      <c r="AM26" s="27">
        <f>SUM(AM24:AM25)</f>
        <v>0</v>
      </c>
      <c r="AN26" s="27">
        <f>SUM(AN24:AN25)</f>
        <v>0</v>
      </c>
    </row>
    <row r="27" spans="1:40" ht="25.05" customHeight="1">
      <c r="B27" s="5">
        <v>46107</v>
      </c>
      <c r="C27" s="29" t="s">
        <v>44</v>
      </c>
      <c r="D27" s="178" t="s">
        <v>448</v>
      </c>
      <c r="E27" s="7" t="s">
        <v>41</v>
      </c>
      <c r="F27" s="8" t="s">
        <v>42</v>
      </c>
      <c r="G27" s="9">
        <v>0.79166666666666663</v>
      </c>
      <c r="H27" s="9">
        <v>0.83333333333333337</v>
      </c>
      <c r="I27" s="10">
        <f t="shared" ref="I27:I48" si="5">H27-G27</f>
        <v>4.1666666666666741E-2</v>
      </c>
      <c r="J27" s="11">
        <v>6</v>
      </c>
      <c r="K27" s="62" t="s">
        <v>42</v>
      </c>
      <c r="L27" s="64" t="s">
        <v>42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4"/>
    </row>
    <row r="28" spans="1:40" ht="25.05" customHeight="1">
      <c r="B28" s="13"/>
      <c r="C28" s="29"/>
      <c r="D28" s="183" t="s">
        <v>475</v>
      </c>
      <c r="E28" s="19" t="s">
        <v>256</v>
      </c>
      <c r="F28" s="8" t="s">
        <v>42</v>
      </c>
      <c r="G28" s="9">
        <v>0.10277777777777777</v>
      </c>
      <c r="H28" s="9">
        <v>0.13402777777777777</v>
      </c>
      <c r="I28" s="10">
        <f t="shared" si="5"/>
        <v>3.125E-2</v>
      </c>
      <c r="J28" s="11">
        <v>5</v>
      </c>
      <c r="K28" s="11">
        <v>84.8</v>
      </c>
      <c r="L28" s="16">
        <f t="shared" ref="L28:L48" si="6">IFERROR(((K28/(J28*I28)/24)),"0")</f>
        <v>22.613333333333333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>
        <v>45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4"/>
    </row>
    <row r="29" spans="1:40" ht="25.05" customHeight="1">
      <c r="B29" s="13"/>
      <c r="C29" s="29"/>
      <c r="D29" s="30"/>
      <c r="E29" s="19" t="s">
        <v>257</v>
      </c>
      <c r="F29" s="8" t="s">
        <v>42</v>
      </c>
      <c r="G29" s="9">
        <v>0.11388888888888889</v>
      </c>
      <c r="H29" s="9">
        <v>0.1451388888888889</v>
      </c>
      <c r="I29" s="10">
        <f t="shared" si="5"/>
        <v>3.1250000000000014E-2</v>
      </c>
      <c r="J29" s="11">
        <v>5</v>
      </c>
      <c r="K29" s="11">
        <v>84.8</v>
      </c>
      <c r="L29" s="16">
        <f t="shared" si="6"/>
        <v>22.613333333333326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>
        <v>2</v>
      </c>
      <c r="X29" s="11"/>
      <c r="Y29" s="11">
        <v>45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4"/>
    </row>
    <row r="30" spans="1:40" ht="25.05" customHeight="1">
      <c r="B30" s="13"/>
      <c r="C30" s="29"/>
      <c r="D30" s="30"/>
      <c r="E30" s="19" t="s">
        <v>258</v>
      </c>
      <c r="F30" s="8" t="s">
        <v>42</v>
      </c>
      <c r="G30" s="9">
        <v>0.12291666666666666</v>
      </c>
      <c r="H30" s="9">
        <v>0.15416666666666667</v>
      </c>
      <c r="I30" s="10">
        <f t="shared" si="5"/>
        <v>3.1250000000000014E-2</v>
      </c>
      <c r="J30" s="11">
        <v>5</v>
      </c>
      <c r="K30" s="11">
        <v>8.48</v>
      </c>
      <c r="L30" s="16">
        <f t="shared" si="6"/>
        <v>2.2613333333333325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/>
      <c r="Y30" s="11"/>
      <c r="Z30" s="11">
        <v>45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4"/>
    </row>
    <row r="31" spans="1:40" ht="25.05" customHeight="1">
      <c r="B31" s="13"/>
      <c r="C31" s="29"/>
      <c r="D31" s="30"/>
      <c r="E31" s="19" t="s">
        <v>259</v>
      </c>
      <c r="F31" s="8" t="s">
        <v>42</v>
      </c>
      <c r="G31" s="9">
        <v>0.12291666666666666</v>
      </c>
      <c r="H31" s="9">
        <v>0.15416666666666667</v>
      </c>
      <c r="I31" s="10">
        <f t="shared" si="5"/>
        <v>3.1250000000000014E-2</v>
      </c>
      <c r="J31" s="11">
        <v>5</v>
      </c>
      <c r="K31" s="11">
        <v>76.319999999999993</v>
      </c>
      <c r="L31" s="16">
        <f t="shared" si="6"/>
        <v>20.351999999999993</v>
      </c>
      <c r="M31" s="11"/>
      <c r="N31" s="11"/>
      <c r="O31" s="11"/>
      <c r="P31" s="11"/>
      <c r="Q31" s="11"/>
      <c r="R31" s="12"/>
      <c r="S31" s="12"/>
      <c r="T31" s="11"/>
      <c r="U31" s="11"/>
      <c r="V31" s="12">
        <v>2</v>
      </c>
      <c r="W31" s="12"/>
      <c r="X31" s="11"/>
      <c r="Y31" s="11"/>
      <c r="Z31" s="11">
        <v>45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4"/>
    </row>
    <row r="32" spans="1:40" ht="25.05" customHeight="1">
      <c r="B32" s="13"/>
      <c r="C32" s="29"/>
      <c r="D32" s="30"/>
      <c r="E32" s="19" t="s">
        <v>260</v>
      </c>
      <c r="F32" s="8" t="s">
        <v>42</v>
      </c>
      <c r="G32" s="9">
        <v>0.13263888888888889</v>
      </c>
      <c r="H32" s="9">
        <v>0.16388888888888889</v>
      </c>
      <c r="I32" s="10">
        <f t="shared" si="5"/>
        <v>3.125E-2</v>
      </c>
      <c r="J32" s="11">
        <v>5</v>
      </c>
      <c r="K32" s="11">
        <v>84.8</v>
      </c>
      <c r="L32" s="16">
        <f t="shared" si="6"/>
        <v>22.613333333333333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2</v>
      </c>
      <c r="X32" s="11"/>
      <c r="Y32" s="11"/>
      <c r="Z32" s="11"/>
      <c r="AA32" s="11">
        <v>45</v>
      </c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4"/>
    </row>
    <row r="33" spans="2:40" ht="25.05" customHeight="1">
      <c r="B33" s="13"/>
      <c r="C33" s="29"/>
      <c r="D33" s="30"/>
      <c r="E33" s="19" t="s">
        <v>261</v>
      </c>
      <c r="F33" s="8" t="s">
        <v>42</v>
      </c>
      <c r="G33" s="9">
        <v>0.13819444444444445</v>
      </c>
      <c r="H33" s="9">
        <v>0.16944444444444445</v>
      </c>
      <c r="I33" s="10">
        <f t="shared" si="5"/>
        <v>3.125E-2</v>
      </c>
      <c r="J33" s="11">
        <v>5</v>
      </c>
      <c r="K33" s="11">
        <v>16.96</v>
      </c>
      <c r="L33" s="16">
        <f t="shared" si="6"/>
        <v>4.5226666666666668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</v>
      </c>
      <c r="W33" s="12"/>
      <c r="X33" s="11"/>
      <c r="Y33" s="11"/>
      <c r="Z33" s="11"/>
      <c r="AA33" s="11"/>
      <c r="AB33" s="11">
        <v>45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4"/>
    </row>
    <row r="34" spans="2:40" ht="25.05" customHeight="1">
      <c r="B34" s="13"/>
      <c r="C34" s="29"/>
      <c r="D34" s="30"/>
      <c r="E34" s="19"/>
      <c r="F34" s="8" t="s">
        <v>42</v>
      </c>
      <c r="G34" s="9"/>
      <c r="H34" s="9"/>
      <c r="I34" s="10">
        <f t="shared" si="5"/>
        <v>0</v>
      </c>
      <c r="J34" s="11"/>
      <c r="K34" s="11"/>
      <c r="L34" s="16" t="str">
        <f t="shared" si="6"/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4"/>
    </row>
    <row r="35" spans="2:40" ht="25.05" customHeight="1">
      <c r="B35" s="13"/>
      <c r="C35" s="29"/>
      <c r="D35" s="30" t="s">
        <v>504</v>
      </c>
      <c r="E35" s="19" t="s">
        <v>592</v>
      </c>
      <c r="F35" s="8" t="s">
        <v>42</v>
      </c>
      <c r="G35" s="9">
        <v>0.88194444444444442</v>
      </c>
      <c r="H35" s="9">
        <v>0.88541666666666663</v>
      </c>
      <c r="I35" s="10">
        <f t="shared" si="5"/>
        <v>3.4722222222222099E-3</v>
      </c>
      <c r="J35" s="11">
        <v>1</v>
      </c>
      <c r="K35" s="11">
        <v>31.87</v>
      </c>
      <c r="L35" s="16">
        <f t="shared" si="6"/>
        <v>382.44000000000136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5</v>
      </c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4"/>
    </row>
    <row r="36" spans="2:40" ht="25.05" customHeight="1">
      <c r="B36" s="13"/>
      <c r="C36" s="29"/>
      <c r="D36" s="30"/>
      <c r="E36" s="19" t="s">
        <v>593</v>
      </c>
      <c r="F36" s="8" t="s">
        <v>42</v>
      </c>
      <c r="G36" s="9">
        <v>0.9145833333333333</v>
      </c>
      <c r="H36" s="9">
        <v>0.94791666666666663</v>
      </c>
      <c r="I36" s="10">
        <f t="shared" si="5"/>
        <v>3.3333333333333326E-2</v>
      </c>
      <c r="J36" s="11">
        <v>1</v>
      </c>
      <c r="K36" s="11">
        <v>58.61</v>
      </c>
      <c r="L36" s="16">
        <f t="shared" si="6"/>
        <v>73.262500000000017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/>
      <c r="AB36" s="11"/>
      <c r="AC36" s="11">
        <v>48</v>
      </c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4"/>
    </row>
    <row r="37" spans="2:40" ht="25.05" customHeight="1">
      <c r="B37" s="13"/>
      <c r="C37" s="29"/>
      <c r="D37" s="30"/>
      <c r="E37" s="19" t="s">
        <v>594</v>
      </c>
      <c r="F37" s="8" t="s">
        <v>42</v>
      </c>
      <c r="G37" s="9">
        <v>0.89166666666666672</v>
      </c>
      <c r="H37" s="9">
        <v>0.90555555555555556</v>
      </c>
      <c r="I37" s="10">
        <f t="shared" si="5"/>
        <v>1.388888888888884E-2</v>
      </c>
      <c r="J37" s="11">
        <v>3</v>
      </c>
      <c r="K37" s="11">
        <v>155.16</v>
      </c>
      <c r="L37" s="16">
        <f t="shared" si="6"/>
        <v>155.16000000000057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2</v>
      </c>
      <c r="X37" s="11"/>
      <c r="Y37" s="11"/>
      <c r="Z37" s="11"/>
      <c r="AA37" s="11"/>
      <c r="AB37" s="11"/>
      <c r="AC37" s="11"/>
      <c r="AD37" s="11">
        <v>20</v>
      </c>
      <c r="AE37" s="11"/>
      <c r="AF37" s="11"/>
      <c r="AG37" s="11"/>
      <c r="AH37" s="11"/>
      <c r="AI37" s="11"/>
      <c r="AJ37" s="11"/>
      <c r="AK37" s="11"/>
      <c r="AL37" s="11"/>
      <c r="AM37" s="11"/>
      <c r="AN37" s="14"/>
    </row>
    <row r="38" spans="2:40" ht="25.05" customHeight="1">
      <c r="B38" s="13"/>
      <c r="C38" s="29"/>
      <c r="D38" s="30"/>
      <c r="E38" s="19" t="s">
        <v>595</v>
      </c>
      <c r="F38" s="8" t="s">
        <v>42</v>
      </c>
      <c r="G38" s="9">
        <v>0.92152777777777772</v>
      </c>
      <c r="H38" s="9">
        <v>0.93541666666666667</v>
      </c>
      <c r="I38" s="10">
        <f t="shared" si="5"/>
        <v>1.3888888888888951E-2</v>
      </c>
      <c r="J38" s="11">
        <v>3</v>
      </c>
      <c r="K38" s="11">
        <v>153.59</v>
      </c>
      <c r="L38" s="16">
        <f t="shared" si="6"/>
        <v>153.58999999999932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/>
      <c r="Z38" s="11"/>
      <c r="AA38" s="11"/>
      <c r="AB38" s="11"/>
      <c r="AC38" s="11"/>
      <c r="AD38" s="11">
        <v>20</v>
      </c>
      <c r="AE38" s="11"/>
      <c r="AF38" s="11"/>
      <c r="AG38" s="11"/>
      <c r="AH38" s="11"/>
      <c r="AI38" s="11"/>
      <c r="AJ38" s="11"/>
      <c r="AK38" s="11"/>
      <c r="AL38" s="11"/>
      <c r="AM38" s="11"/>
      <c r="AN38" s="14"/>
    </row>
    <row r="39" spans="2:40" ht="25.05" customHeight="1">
      <c r="B39" s="13"/>
      <c r="C39" s="29"/>
      <c r="D39" s="30"/>
      <c r="E39" s="19" t="s">
        <v>596</v>
      </c>
      <c r="F39" s="8" t="s">
        <v>42</v>
      </c>
      <c r="G39" s="9">
        <v>0.94305555555555554</v>
      </c>
      <c r="H39" s="9">
        <v>0.95277777777777772</v>
      </c>
      <c r="I39" s="10">
        <f t="shared" si="5"/>
        <v>9.7222222222221877E-3</v>
      </c>
      <c r="J39" s="11">
        <v>3</v>
      </c>
      <c r="K39" s="11">
        <v>128.03</v>
      </c>
      <c r="L39" s="16">
        <f t="shared" si="6"/>
        <v>182.90000000000066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/>
      <c r="X39" s="11"/>
      <c r="Y39" s="11"/>
      <c r="Z39" s="11"/>
      <c r="AA39" s="11"/>
      <c r="AB39" s="11"/>
      <c r="AC39" s="11"/>
      <c r="AD39" s="11">
        <v>14</v>
      </c>
      <c r="AE39" s="11"/>
      <c r="AF39" s="11"/>
      <c r="AG39" s="11"/>
      <c r="AH39" s="11"/>
      <c r="AI39" s="11"/>
      <c r="AJ39" s="11"/>
      <c r="AK39" s="11"/>
      <c r="AL39" s="11"/>
      <c r="AM39" s="11"/>
      <c r="AN39" s="14"/>
    </row>
    <row r="40" spans="2:40" ht="25.05" customHeight="1">
      <c r="B40" s="13"/>
      <c r="C40" s="29"/>
      <c r="D40" s="30"/>
      <c r="E40" s="19" t="s">
        <v>597</v>
      </c>
      <c r="F40" s="8" t="s">
        <v>42</v>
      </c>
      <c r="G40" s="9">
        <v>0.97916666666666663</v>
      </c>
      <c r="H40" s="9">
        <v>0.99305555555555558</v>
      </c>
      <c r="I40" s="10">
        <f t="shared" si="5"/>
        <v>1.3888888888888951E-2</v>
      </c>
      <c r="J40" s="11">
        <v>4</v>
      </c>
      <c r="K40" s="11">
        <v>180.2</v>
      </c>
      <c r="L40" s="16">
        <f t="shared" si="6"/>
        <v>135.14999999999938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>
        <v>20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4"/>
    </row>
    <row r="41" spans="2:40" ht="25.05" customHeight="1">
      <c r="B41" s="13"/>
      <c r="C41" s="29"/>
      <c r="D41" s="30"/>
      <c r="E41" s="19" t="s">
        <v>598</v>
      </c>
      <c r="F41" s="8" t="s">
        <v>42</v>
      </c>
      <c r="G41" s="9">
        <v>0.98055555555555551</v>
      </c>
      <c r="H41" s="9">
        <v>0.99444444444444446</v>
      </c>
      <c r="I41" s="10">
        <f t="shared" si="5"/>
        <v>1.3888888888888951E-2</v>
      </c>
      <c r="J41" s="11">
        <v>4</v>
      </c>
      <c r="K41" s="11">
        <v>202.81</v>
      </c>
      <c r="L41" s="16">
        <f t="shared" si="6"/>
        <v>152.10749999999933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/>
      <c r="AA41" s="11"/>
      <c r="AB41" s="11"/>
      <c r="AC41" s="11"/>
      <c r="AD41" s="11"/>
      <c r="AE41" s="11">
        <v>20</v>
      </c>
      <c r="AF41" s="11"/>
      <c r="AG41" s="11"/>
      <c r="AH41" s="11"/>
      <c r="AI41" s="11"/>
      <c r="AJ41" s="11"/>
      <c r="AK41" s="11"/>
      <c r="AL41" s="11"/>
      <c r="AM41" s="11"/>
      <c r="AN41" s="14"/>
    </row>
    <row r="42" spans="2:40" ht="25.05" customHeight="1">
      <c r="B42" s="13"/>
      <c r="C42" s="29"/>
      <c r="D42" s="30"/>
      <c r="E42" s="15" t="s">
        <v>599</v>
      </c>
      <c r="F42" s="8" t="s">
        <v>42</v>
      </c>
      <c r="G42" s="9">
        <v>0.125</v>
      </c>
      <c r="H42" s="9">
        <v>0.18055555555555555</v>
      </c>
      <c r="I42" s="10">
        <f t="shared" si="5"/>
        <v>5.5555555555555552E-2</v>
      </c>
      <c r="J42" s="11">
        <v>8</v>
      </c>
      <c r="K42" s="11">
        <v>254.44</v>
      </c>
      <c r="L42" s="16">
        <f t="shared" si="6"/>
        <v>23.853750000000002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4"/>
    </row>
    <row r="43" spans="2:40" ht="25.05" customHeight="1">
      <c r="B43" s="13"/>
      <c r="C43" s="29"/>
      <c r="D43" s="30"/>
      <c r="E43" s="19"/>
      <c r="F43" s="8" t="s">
        <v>42</v>
      </c>
      <c r="G43" s="9"/>
      <c r="H43" s="9"/>
      <c r="I43" s="10">
        <f t="shared" si="5"/>
        <v>0</v>
      </c>
      <c r="J43" s="11"/>
      <c r="K43" s="11"/>
      <c r="L43" s="16" t="str">
        <f t="shared" si="6"/>
        <v>0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4"/>
    </row>
    <row r="44" spans="2:40" ht="25.05" customHeight="1">
      <c r="B44" s="13"/>
      <c r="C44" s="29"/>
      <c r="D44" s="30" t="s">
        <v>301</v>
      </c>
      <c r="E44" s="19" t="s">
        <v>600</v>
      </c>
      <c r="F44" s="8" t="s">
        <v>42</v>
      </c>
      <c r="G44" s="9">
        <v>6.6666666666666666E-2</v>
      </c>
      <c r="H44" s="9">
        <v>8.3333333333333329E-2</v>
      </c>
      <c r="I44" s="10">
        <f t="shared" si="5"/>
        <v>1.6666666666666663E-2</v>
      </c>
      <c r="J44" s="11">
        <v>4</v>
      </c>
      <c r="K44" s="11">
        <v>23.06</v>
      </c>
      <c r="L44" s="16">
        <f t="shared" si="6"/>
        <v>14.412500000000001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/>
      <c r="AD44" s="11"/>
      <c r="AE44" s="11"/>
      <c r="AF44" s="11">
        <v>24</v>
      </c>
      <c r="AG44" s="11"/>
      <c r="AH44" s="11"/>
      <c r="AI44" s="11"/>
      <c r="AJ44" s="11"/>
      <c r="AK44" s="11"/>
      <c r="AL44" s="11"/>
      <c r="AM44" s="11"/>
      <c r="AN44" s="14"/>
    </row>
    <row r="45" spans="2:40" ht="25.05" customHeight="1">
      <c r="B45" s="13"/>
      <c r="C45" s="29"/>
      <c r="D45" s="30"/>
      <c r="E45" s="19" t="s">
        <v>267</v>
      </c>
      <c r="F45" s="8" t="s">
        <v>42</v>
      </c>
      <c r="G45" s="9">
        <v>6.805555555555555E-2</v>
      </c>
      <c r="H45" s="9">
        <v>9.0277777777777776E-2</v>
      </c>
      <c r="I45" s="10">
        <f t="shared" si="5"/>
        <v>2.2222222222222227E-2</v>
      </c>
      <c r="J45" s="11">
        <v>4</v>
      </c>
      <c r="K45" s="11">
        <v>90.18</v>
      </c>
      <c r="L45" s="16">
        <f t="shared" si="6"/>
        <v>42.271874999999994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/>
      <c r="AC45" s="11"/>
      <c r="AD45" s="11"/>
      <c r="AE45" s="11">
        <v>32</v>
      </c>
      <c r="AF45" s="11"/>
      <c r="AG45" s="11"/>
      <c r="AH45" s="11"/>
      <c r="AI45" s="11"/>
      <c r="AJ45" s="11"/>
      <c r="AK45" s="11"/>
      <c r="AL45" s="11"/>
      <c r="AM45" s="11"/>
      <c r="AN45" s="14"/>
    </row>
    <row r="46" spans="2:40" ht="25.05" customHeight="1">
      <c r="B46" s="13"/>
      <c r="C46" s="29"/>
      <c r="D46" s="30"/>
      <c r="E46" s="19" t="s">
        <v>268</v>
      </c>
      <c r="F46" s="8" t="s">
        <v>42</v>
      </c>
      <c r="G46" s="9">
        <v>9.0277777777777776E-2</v>
      </c>
      <c r="H46" s="9">
        <v>0.11527777777777778</v>
      </c>
      <c r="I46" s="10">
        <f t="shared" si="5"/>
        <v>2.5000000000000008E-2</v>
      </c>
      <c r="J46" s="11">
        <v>4</v>
      </c>
      <c r="K46" s="11">
        <v>80.55</v>
      </c>
      <c r="L46" s="16">
        <f t="shared" si="6"/>
        <v>33.562499999999986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/>
      <c r="AA46" s="11"/>
      <c r="AB46" s="11"/>
      <c r="AC46" s="11"/>
      <c r="AD46" s="11"/>
      <c r="AE46" s="11"/>
      <c r="AF46" s="11">
        <v>36</v>
      </c>
      <c r="AG46" s="11"/>
      <c r="AH46" s="11"/>
      <c r="AI46" s="11"/>
      <c r="AJ46" s="11"/>
      <c r="AK46" s="11"/>
      <c r="AL46" s="11"/>
      <c r="AM46" s="11"/>
      <c r="AN46" s="14"/>
    </row>
    <row r="47" spans="2:40" ht="25.05" customHeight="1">
      <c r="B47" s="13"/>
      <c r="C47" s="29"/>
      <c r="D47" s="30"/>
      <c r="E47" s="19" t="s">
        <v>601</v>
      </c>
      <c r="F47" s="8" t="s">
        <v>42</v>
      </c>
      <c r="G47" s="9">
        <v>0.88541666666666663</v>
      </c>
      <c r="H47" s="9">
        <v>0.92847222222222225</v>
      </c>
      <c r="I47" s="10">
        <f t="shared" si="5"/>
        <v>4.3055555555555625E-2</v>
      </c>
      <c r="J47" s="11">
        <v>4</v>
      </c>
      <c r="K47" s="11">
        <v>79.260000000000005</v>
      </c>
      <c r="L47" s="16">
        <f t="shared" si="6"/>
        <v>19.175806451612875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5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>
        <v>15.5</v>
      </c>
      <c r="AJ47" s="11">
        <v>15.5</v>
      </c>
      <c r="AK47" s="11">
        <v>15.5</v>
      </c>
      <c r="AL47" s="11">
        <v>15.5</v>
      </c>
      <c r="AM47" s="11"/>
      <c r="AN47" s="14"/>
    </row>
    <row r="48" spans="2:40" ht="25.05" customHeight="1">
      <c r="B48" s="13"/>
      <c r="C48" s="29"/>
      <c r="D48" s="30"/>
      <c r="E48" s="19" t="s">
        <v>602</v>
      </c>
      <c r="F48" s="8" t="s">
        <v>42</v>
      </c>
      <c r="G48" s="9">
        <v>0.93125000000000002</v>
      </c>
      <c r="H48" s="9">
        <v>0.96736111111111112</v>
      </c>
      <c r="I48" s="10">
        <f t="shared" si="5"/>
        <v>3.6111111111111094E-2</v>
      </c>
      <c r="J48" s="11">
        <v>4</v>
      </c>
      <c r="K48" s="11">
        <v>78.44</v>
      </c>
      <c r="L48" s="16">
        <f t="shared" si="6"/>
        <v>22.626923076923088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5</v>
      </c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>
        <v>13</v>
      </c>
      <c r="AJ48" s="11">
        <v>13</v>
      </c>
      <c r="AK48" s="11">
        <v>13</v>
      </c>
      <c r="AL48" s="11">
        <v>13</v>
      </c>
      <c r="AM48" s="11"/>
      <c r="AN48" s="14"/>
    </row>
    <row r="49" spans="2:40" ht="25.05" customHeight="1">
      <c r="B49" s="13"/>
      <c r="C49" s="29"/>
      <c r="D49" s="30"/>
      <c r="E49" s="19"/>
      <c r="F49" s="8" t="s">
        <v>42</v>
      </c>
      <c r="G49" s="9"/>
      <c r="H49" s="9"/>
      <c r="I49" s="10">
        <f t="shared" ref="I49:I64" si="7">H49-G49</f>
        <v>0</v>
      </c>
      <c r="J49" s="11"/>
      <c r="K49" s="11"/>
      <c r="L49" s="16" t="str">
        <f t="shared" ref="L49:L64" si="8">IFERROR(((K49/(J49*I49)/24)),"0")</f>
        <v>0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4"/>
    </row>
    <row r="50" spans="2:40" ht="25.05" customHeight="1">
      <c r="B50" s="13"/>
      <c r="C50" s="29"/>
      <c r="D50" s="30" t="s">
        <v>579</v>
      </c>
      <c r="E50" s="176" t="s">
        <v>603</v>
      </c>
      <c r="F50" s="8" t="s">
        <v>42</v>
      </c>
      <c r="G50" s="9">
        <v>0.95486111111111116</v>
      </c>
      <c r="H50" s="9">
        <v>0.97222222222222221</v>
      </c>
      <c r="I50" s="10">
        <f t="shared" si="7"/>
        <v>1.7361111111111049E-2</v>
      </c>
      <c r="J50" s="11">
        <v>2</v>
      </c>
      <c r="K50" s="11">
        <v>12.11</v>
      </c>
      <c r="L50" s="16">
        <f t="shared" si="8"/>
        <v>14.532000000000052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/>
      <c r="AB50" s="11"/>
      <c r="AC50" s="11"/>
      <c r="AD50" s="11">
        <v>25</v>
      </c>
      <c r="AE50" s="11"/>
      <c r="AF50" s="11"/>
      <c r="AG50" s="11"/>
      <c r="AH50" s="11"/>
      <c r="AI50" s="11"/>
      <c r="AJ50" s="11"/>
      <c r="AK50" s="11"/>
      <c r="AL50" s="11"/>
      <c r="AM50" s="11"/>
      <c r="AN50" s="14"/>
    </row>
    <row r="51" spans="2:40" ht="25.05" customHeight="1">
      <c r="B51" s="13"/>
      <c r="C51" s="29"/>
      <c r="D51" s="30"/>
      <c r="E51" s="19" t="s">
        <v>604</v>
      </c>
      <c r="F51" s="8" t="s">
        <v>42</v>
      </c>
      <c r="G51" s="9">
        <v>0.9194444444444444</v>
      </c>
      <c r="H51" s="9">
        <v>0.93263888888888891</v>
      </c>
      <c r="I51" s="10">
        <f t="shared" si="7"/>
        <v>1.3194444444444509E-2</v>
      </c>
      <c r="J51" s="11">
        <v>3</v>
      </c>
      <c r="K51" s="11">
        <v>82.34</v>
      </c>
      <c r="L51" s="16">
        <f t="shared" si="8"/>
        <v>86.673684210525892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/>
      <c r="AB51" s="11"/>
      <c r="AC51" s="11"/>
      <c r="AD51" s="11"/>
      <c r="AE51" s="11"/>
      <c r="AF51" s="11">
        <v>19</v>
      </c>
      <c r="AG51" s="11"/>
      <c r="AH51" s="11"/>
      <c r="AI51" s="11"/>
      <c r="AJ51" s="11"/>
      <c r="AK51" s="11"/>
      <c r="AL51" s="11"/>
      <c r="AM51" s="11"/>
      <c r="AN51" s="14"/>
    </row>
    <row r="52" spans="2:40" ht="25.05" customHeight="1">
      <c r="B52" s="13"/>
      <c r="C52" s="29"/>
      <c r="D52" s="30"/>
      <c r="E52" s="19" t="s">
        <v>605</v>
      </c>
      <c r="F52" s="8" t="s">
        <v>42</v>
      </c>
      <c r="G52" s="9">
        <v>0.92083333333333328</v>
      </c>
      <c r="H52" s="9">
        <v>0.93472222222222223</v>
      </c>
      <c r="I52" s="10">
        <f t="shared" si="7"/>
        <v>1.3888888888888951E-2</v>
      </c>
      <c r="J52" s="11">
        <v>3</v>
      </c>
      <c r="K52" s="11">
        <v>82.34</v>
      </c>
      <c r="L52" s="16">
        <f t="shared" si="8"/>
        <v>82.339999999999634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/>
      <c r="AB52" s="11"/>
      <c r="AC52" s="11"/>
      <c r="AD52" s="11"/>
      <c r="AE52" s="11">
        <v>20</v>
      </c>
      <c r="AF52" s="11"/>
      <c r="AG52" s="11"/>
      <c r="AH52" s="11"/>
      <c r="AI52" s="11"/>
      <c r="AJ52" s="11"/>
      <c r="AK52" s="11"/>
      <c r="AL52" s="11"/>
      <c r="AM52" s="11"/>
      <c r="AN52" s="14"/>
    </row>
    <row r="53" spans="2:40" ht="25.05" customHeight="1">
      <c r="B53" s="13"/>
      <c r="C53" s="29"/>
      <c r="D53" s="17"/>
      <c r="E53" s="19" t="s">
        <v>606</v>
      </c>
      <c r="F53" s="8" t="s">
        <v>42</v>
      </c>
      <c r="G53" s="9">
        <v>0.93611111111111112</v>
      </c>
      <c r="H53" s="9">
        <v>0.95</v>
      </c>
      <c r="I53" s="10">
        <f t="shared" si="7"/>
        <v>1.388888888888884E-2</v>
      </c>
      <c r="J53" s="11">
        <v>3</v>
      </c>
      <c r="K53" s="11">
        <v>81.849999999999994</v>
      </c>
      <c r="L53" s="16">
        <f t="shared" si="8"/>
        <v>81.850000000000293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/>
      <c r="AB53" s="11"/>
      <c r="AC53" s="11"/>
      <c r="AD53" s="11"/>
      <c r="AE53" s="11"/>
      <c r="AF53" s="11">
        <v>20</v>
      </c>
      <c r="AG53" s="11"/>
      <c r="AH53" s="11"/>
      <c r="AI53" s="11"/>
      <c r="AJ53" s="11"/>
      <c r="AK53" s="11"/>
      <c r="AL53" s="11"/>
      <c r="AM53" s="11"/>
      <c r="AN53" s="14"/>
    </row>
    <row r="54" spans="2:40" ht="25.05" customHeight="1">
      <c r="B54" s="13"/>
      <c r="C54" s="29"/>
      <c r="D54" s="30"/>
      <c r="E54" s="19" t="s">
        <v>607</v>
      </c>
      <c r="F54" s="8" t="s">
        <v>42</v>
      </c>
      <c r="G54" s="9">
        <v>0.94097222222222221</v>
      </c>
      <c r="H54" s="9">
        <v>0.95416666666666672</v>
      </c>
      <c r="I54" s="10">
        <f t="shared" si="7"/>
        <v>1.3194444444444509E-2</v>
      </c>
      <c r="J54" s="11">
        <v>3</v>
      </c>
      <c r="K54" s="11">
        <v>81.849999999999994</v>
      </c>
      <c r="L54" s="16">
        <f t="shared" si="8"/>
        <v>86.157894736841683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/>
      <c r="AB54" s="11"/>
      <c r="AC54" s="11"/>
      <c r="AD54" s="11"/>
      <c r="AE54" s="11">
        <v>19</v>
      </c>
      <c r="AF54" s="11"/>
      <c r="AG54" s="11"/>
      <c r="AH54" s="11"/>
      <c r="AI54" s="11"/>
      <c r="AJ54" s="11"/>
      <c r="AK54" s="11"/>
      <c r="AL54" s="11"/>
      <c r="AM54" s="11"/>
      <c r="AN54" s="14"/>
    </row>
    <row r="55" spans="2:40" ht="25.05" customHeight="1">
      <c r="B55" s="13"/>
      <c r="C55" s="29"/>
      <c r="D55" s="30"/>
      <c r="E55" s="19" t="s">
        <v>608</v>
      </c>
      <c r="F55" s="8" t="s">
        <v>42</v>
      </c>
      <c r="G55" s="9">
        <v>0.9555555555555556</v>
      </c>
      <c r="H55" s="9">
        <v>0.96875</v>
      </c>
      <c r="I55" s="10">
        <f t="shared" si="7"/>
        <v>1.3194444444444398E-2</v>
      </c>
      <c r="J55" s="11">
        <v>3</v>
      </c>
      <c r="K55" s="11">
        <v>82.19</v>
      </c>
      <c r="L55" s="16">
        <f t="shared" si="8"/>
        <v>86.515789473684507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/>
      <c r="AB55" s="11"/>
      <c r="AC55" s="11"/>
      <c r="AD55" s="11"/>
      <c r="AE55" s="11"/>
      <c r="AF55" s="11">
        <v>19</v>
      </c>
      <c r="AG55" s="11"/>
      <c r="AH55" s="11"/>
      <c r="AI55" s="11"/>
      <c r="AJ55" s="11"/>
      <c r="AK55" s="11"/>
      <c r="AL55" s="11"/>
      <c r="AM55" s="11"/>
      <c r="AN55" s="14"/>
    </row>
    <row r="56" spans="2:40" ht="25.05" customHeight="1">
      <c r="B56" s="13"/>
      <c r="C56" s="29"/>
      <c r="D56" s="30"/>
      <c r="E56" s="19" t="s">
        <v>609</v>
      </c>
      <c r="F56" s="8" t="s">
        <v>42</v>
      </c>
      <c r="G56" s="9">
        <v>0.88611111111111107</v>
      </c>
      <c r="H56" s="9">
        <v>0.90277777777777779</v>
      </c>
      <c r="I56" s="10">
        <f t="shared" si="7"/>
        <v>1.6666666666666718E-2</v>
      </c>
      <c r="J56" s="11">
        <v>3</v>
      </c>
      <c r="K56" s="11">
        <v>141.32</v>
      </c>
      <c r="L56" s="16">
        <f t="shared" si="8"/>
        <v>117.7666666666663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/>
      <c r="AD56" s="11"/>
      <c r="AE56" s="11"/>
      <c r="AF56" s="11">
        <v>24</v>
      </c>
      <c r="AG56" s="11"/>
      <c r="AH56" s="11"/>
      <c r="AI56" s="11"/>
      <c r="AJ56" s="11"/>
      <c r="AK56" s="11"/>
      <c r="AL56" s="11"/>
      <c r="AM56" s="11"/>
      <c r="AN56" s="14"/>
    </row>
    <row r="57" spans="2:40" ht="25.05" customHeight="1">
      <c r="B57" s="13"/>
      <c r="C57" s="29"/>
      <c r="D57" s="30"/>
      <c r="E57" s="19" t="s">
        <v>610</v>
      </c>
      <c r="F57" s="8" t="s">
        <v>42</v>
      </c>
      <c r="G57" s="9">
        <v>0.88611111111111107</v>
      </c>
      <c r="H57" s="9">
        <v>0.90277777777777779</v>
      </c>
      <c r="I57" s="10">
        <f t="shared" si="7"/>
        <v>1.6666666666666718E-2</v>
      </c>
      <c r="J57" s="11">
        <v>3</v>
      </c>
      <c r="K57" s="11">
        <v>143</v>
      </c>
      <c r="L57" s="16">
        <f t="shared" si="8"/>
        <v>119.16666666666629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/>
      <c r="Z57" s="11"/>
      <c r="AA57" s="11"/>
      <c r="AB57" s="11"/>
      <c r="AC57" s="11"/>
      <c r="AD57" s="11"/>
      <c r="AE57" s="11">
        <v>24</v>
      </c>
      <c r="AF57" s="11"/>
      <c r="AG57" s="11"/>
      <c r="AH57" s="11"/>
      <c r="AI57" s="11"/>
      <c r="AJ57" s="11"/>
      <c r="AK57" s="11"/>
      <c r="AL57" s="11"/>
      <c r="AM57" s="11"/>
      <c r="AN57" s="14"/>
    </row>
    <row r="58" spans="2:40" ht="25.05" customHeight="1">
      <c r="B58" s="13"/>
      <c r="C58" s="29"/>
      <c r="D58" s="30"/>
      <c r="E58" s="19" t="s">
        <v>611</v>
      </c>
      <c r="F58" s="8" t="s">
        <v>42</v>
      </c>
      <c r="G58" s="9">
        <v>0.91388888888888886</v>
      </c>
      <c r="H58" s="9">
        <v>0.92708333333333337</v>
      </c>
      <c r="I58" s="10">
        <f t="shared" si="7"/>
        <v>1.3194444444444509E-2</v>
      </c>
      <c r="J58" s="11">
        <v>3</v>
      </c>
      <c r="K58" s="11">
        <v>71.5</v>
      </c>
      <c r="L58" s="16">
        <f t="shared" si="8"/>
        <v>75.26315789473648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/>
      <c r="Y58" s="11"/>
      <c r="Z58" s="11"/>
      <c r="AA58" s="11"/>
      <c r="AB58" s="11"/>
      <c r="AC58" s="11"/>
      <c r="AD58" s="11"/>
      <c r="AE58" s="11">
        <v>19</v>
      </c>
      <c r="AF58" s="11"/>
      <c r="AG58" s="11"/>
      <c r="AH58" s="11"/>
      <c r="AI58" s="11"/>
      <c r="AJ58" s="11"/>
      <c r="AK58" s="11"/>
      <c r="AL58" s="11"/>
      <c r="AM58" s="11"/>
      <c r="AN58" s="14"/>
    </row>
    <row r="59" spans="2:40" ht="25.05" customHeight="1">
      <c r="B59" s="13"/>
      <c r="C59" s="29"/>
      <c r="D59" s="30"/>
      <c r="E59" s="19" t="s">
        <v>612</v>
      </c>
      <c r="F59" s="8" t="s">
        <v>42</v>
      </c>
      <c r="G59" s="9">
        <v>0.88055555555555554</v>
      </c>
      <c r="H59" s="9">
        <v>0.89722222222222225</v>
      </c>
      <c r="I59" s="10">
        <f t="shared" si="7"/>
        <v>1.6666666666666718E-2</v>
      </c>
      <c r="J59" s="11">
        <v>3</v>
      </c>
      <c r="K59" s="11">
        <v>71.489999999999995</v>
      </c>
      <c r="L59" s="16">
        <f t="shared" si="8"/>
        <v>59.574999999999811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>
        <v>12</v>
      </c>
      <c r="Z59" s="11">
        <v>12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4"/>
    </row>
    <row r="60" spans="2:40" ht="25.05" customHeight="1">
      <c r="B60" s="13"/>
      <c r="C60" s="29"/>
      <c r="D60" s="30"/>
      <c r="E60" s="19" t="s">
        <v>613</v>
      </c>
      <c r="F60" s="8" t="s">
        <v>42</v>
      </c>
      <c r="G60" s="9">
        <v>0.8979166666666667</v>
      </c>
      <c r="H60" s="9">
        <v>0.91319444444444442</v>
      </c>
      <c r="I60" s="10">
        <f t="shared" si="7"/>
        <v>1.5277777777777724E-2</v>
      </c>
      <c r="J60" s="11">
        <v>3</v>
      </c>
      <c r="K60" s="11">
        <v>71.489999999999995</v>
      </c>
      <c r="L60" s="16">
        <f t="shared" si="8"/>
        <v>64.990909090909312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>
        <v>11</v>
      </c>
      <c r="Z60" s="11">
        <v>11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4"/>
    </row>
    <row r="61" spans="2:40" ht="25.05" customHeight="1">
      <c r="B61" s="13"/>
      <c r="C61" s="29"/>
      <c r="D61" s="30"/>
      <c r="E61" s="19" t="s">
        <v>614</v>
      </c>
      <c r="F61" s="8" t="s">
        <v>42</v>
      </c>
      <c r="G61" s="9">
        <v>0.91388888888888886</v>
      </c>
      <c r="H61" s="9">
        <v>0.92847222222222225</v>
      </c>
      <c r="I61" s="10">
        <f t="shared" si="7"/>
        <v>1.4583333333333393E-2</v>
      </c>
      <c r="J61" s="11">
        <v>3</v>
      </c>
      <c r="K61" s="11">
        <v>71.489999999999995</v>
      </c>
      <c r="L61" s="16">
        <f t="shared" si="8"/>
        <v>68.085714285714005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>
        <v>10.5</v>
      </c>
      <c r="Z61" s="11">
        <v>10.5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4"/>
    </row>
    <row r="62" spans="2:40" ht="25.05" customHeight="1">
      <c r="B62" s="13"/>
      <c r="C62" s="29"/>
      <c r="D62" s="30"/>
      <c r="E62" s="19" t="s">
        <v>615</v>
      </c>
      <c r="F62" s="8" t="s">
        <v>42</v>
      </c>
      <c r="G62" s="9">
        <v>0.9291666666666667</v>
      </c>
      <c r="H62" s="9">
        <v>0.94305555555555554</v>
      </c>
      <c r="I62" s="10">
        <f t="shared" si="7"/>
        <v>1.388888888888884E-2</v>
      </c>
      <c r="J62" s="11">
        <v>3</v>
      </c>
      <c r="K62" s="11">
        <v>71.489999999999995</v>
      </c>
      <c r="L62" s="16">
        <f t="shared" si="8"/>
        <v>71.490000000000251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>
        <v>10</v>
      </c>
      <c r="Z62" s="11">
        <v>10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4"/>
    </row>
    <row r="63" spans="2:40" ht="25.05" customHeight="1">
      <c r="B63" s="13"/>
      <c r="C63" s="29"/>
      <c r="D63" s="30"/>
      <c r="E63" s="19" t="s">
        <v>616</v>
      </c>
      <c r="F63" s="8" t="s">
        <v>42</v>
      </c>
      <c r="G63" s="9">
        <v>0.94513888888888886</v>
      </c>
      <c r="H63" s="9">
        <v>0.96250000000000002</v>
      </c>
      <c r="I63" s="10">
        <f t="shared" si="7"/>
        <v>1.736111111111116E-2</v>
      </c>
      <c r="J63" s="11">
        <v>3</v>
      </c>
      <c r="K63" s="11">
        <v>71.489999999999995</v>
      </c>
      <c r="L63" s="16">
        <f t="shared" si="8"/>
        <v>57.191999999999837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/>
      <c r="Y63" s="11">
        <v>12.5</v>
      </c>
      <c r="Z63" s="11">
        <v>12.5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4"/>
    </row>
    <row r="64" spans="2:40" ht="25.05" customHeight="1">
      <c r="B64" s="13"/>
      <c r="C64" s="29"/>
      <c r="D64" s="124" t="s">
        <v>617</v>
      </c>
      <c r="E64" s="19"/>
      <c r="F64" s="8" t="s">
        <v>42</v>
      </c>
      <c r="G64" s="9"/>
      <c r="H64" s="9"/>
      <c r="I64" s="10">
        <f t="shared" si="7"/>
        <v>0</v>
      </c>
      <c r="J64" s="11"/>
      <c r="K64" s="11"/>
      <c r="L64" s="16" t="str">
        <f t="shared" si="8"/>
        <v>0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4"/>
    </row>
    <row r="65" spans="1:40" ht="25.05" customHeight="1">
      <c r="B65" s="13"/>
      <c r="C65" s="29"/>
      <c r="D65" s="30"/>
      <c r="E65" s="19"/>
      <c r="F65" s="8" t="s">
        <v>42</v>
      </c>
      <c r="G65" s="9"/>
      <c r="H65" s="9"/>
      <c r="I65" s="10">
        <v>4</v>
      </c>
      <c r="J65" s="11"/>
      <c r="K65" s="11"/>
      <c r="L65" s="16" t="str">
        <f t="shared" ref="L65" si="9">IFERROR(((K65/(J65*I65)/24)),"0")</f>
        <v>0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4"/>
    </row>
    <row r="66" spans="1:40" s="28" customFormat="1" ht="25.5" customHeight="1">
      <c r="A66" s="2"/>
      <c r="B66" s="32"/>
      <c r="C66" s="33"/>
      <c r="D66" s="34"/>
      <c r="E66" s="35"/>
      <c r="F66" s="35"/>
      <c r="G66" s="36"/>
      <c r="H66" s="36"/>
      <c r="I66" s="37"/>
      <c r="J66" s="38"/>
      <c r="K66" s="38">
        <f t="shared" ref="K66:AN66" si="10">SUM(K27:K65)</f>
        <v>3008.3099999999986</v>
      </c>
      <c r="L66" s="39">
        <f t="shared" si="10"/>
        <v>2557.0888375542809</v>
      </c>
      <c r="M66" s="38">
        <f t="shared" si="10"/>
        <v>0</v>
      </c>
      <c r="N66" s="38">
        <f t="shared" si="10"/>
        <v>0</v>
      </c>
      <c r="O66" s="38">
        <f t="shared" si="10"/>
        <v>0</v>
      </c>
      <c r="P66" s="38">
        <f t="shared" si="10"/>
        <v>0</v>
      </c>
      <c r="Q66" s="38">
        <f t="shared" si="10"/>
        <v>0</v>
      </c>
      <c r="R66" s="38">
        <f t="shared" si="10"/>
        <v>0</v>
      </c>
      <c r="S66" s="38">
        <f t="shared" si="10"/>
        <v>0</v>
      </c>
      <c r="T66" s="38">
        <f t="shared" si="10"/>
        <v>0</v>
      </c>
      <c r="U66" s="38">
        <f t="shared" si="10"/>
        <v>0</v>
      </c>
      <c r="V66" s="38">
        <f t="shared" si="10"/>
        <v>29</v>
      </c>
      <c r="W66" s="38">
        <f t="shared" si="10"/>
        <v>30</v>
      </c>
      <c r="X66" s="38">
        <f t="shared" si="10"/>
        <v>45</v>
      </c>
      <c r="Y66" s="38">
        <f t="shared" si="10"/>
        <v>101</v>
      </c>
      <c r="Z66" s="38">
        <f t="shared" si="10"/>
        <v>146</v>
      </c>
      <c r="AA66" s="38">
        <f t="shared" si="10"/>
        <v>45</v>
      </c>
      <c r="AB66" s="38">
        <f t="shared" si="10"/>
        <v>45</v>
      </c>
      <c r="AC66" s="38">
        <f t="shared" si="10"/>
        <v>68</v>
      </c>
      <c r="AD66" s="38">
        <f t="shared" si="10"/>
        <v>79</v>
      </c>
      <c r="AE66" s="38">
        <f t="shared" si="10"/>
        <v>134</v>
      </c>
      <c r="AF66" s="38">
        <f t="shared" si="10"/>
        <v>142</v>
      </c>
      <c r="AG66" s="38">
        <f t="shared" si="10"/>
        <v>0</v>
      </c>
      <c r="AH66" s="38">
        <f t="shared" si="10"/>
        <v>0</v>
      </c>
      <c r="AI66" s="38">
        <f t="shared" si="10"/>
        <v>28.5</v>
      </c>
      <c r="AJ66" s="38">
        <f t="shared" si="10"/>
        <v>28.5</v>
      </c>
      <c r="AK66" s="38">
        <f t="shared" si="10"/>
        <v>28.5</v>
      </c>
      <c r="AL66" s="38">
        <f t="shared" si="10"/>
        <v>28.5</v>
      </c>
      <c r="AM66" s="38">
        <f t="shared" si="10"/>
        <v>0</v>
      </c>
      <c r="AN66" s="38">
        <f t="shared" si="10"/>
        <v>0</v>
      </c>
    </row>
    <row r="67" spans="1:40" ht="38.1" customHeight="1">
      <c r="B67" s="40" t="s">
        <v>45</v>
      </c>
      <c r="C67" s="41"/>
      <c r="D67" s="41"/>
      <c r="E67" s="41"/>
      <c r="F67" s="41"/>
      <c r="G67" s="41"/>
      <c r="H67" s="41"/>
      <c r="I67" s="41"/>
      <c r="J67" s="41"/>
      <c r="K67" s="42">
        <f>K23+K26+K66</f>
        <v>3975.8899999999985</v>
      </c>
      <c r="L67" s="42">
        <f>L23+L26+L66</f>
        <v>3232.922327801396</v>
      </c>
      <c r="M67" s="43">
        <f t="shared" ref="M67:AN67" si="11">(M23+M26+M66)/(480-15-30)</f>
        <v>0.27126436781609198</v>
      </c>
      <c r="N67" s="43">
        <f t="shared" si="11"/>
        <v>0</v>
      </c>
      <c r="O67" s="43">
        <f t="shared" si="11"/>
        <v>0.36781609195402298</v>
      </c>
      <c r="P67" s="43">
        <f t="shared" si="11"/>
        <v>0</v>
      </c>
      <c r="Q67" s="43">
        <f t="shared" si="11"/>
        <v>0</v>
      </c>
      <c r="R67" s="43">
        <f t="shared" si="11"/>
        <v>0</v>
      </c>
      <c r="S67" s="43">
        <f t="shared" si="11"/>
        <v>1.2459770114942528</v>
      </c>
      <c r="T67" s="43">
        <f t="shared" si="11"/>
        <v>0</v>
      </c>
      <c r="U67" s="43">
        <f t="shared" si="11"/>
        <v>0</v>
      </c>
      <c r="V67" s="43">
        <f t="shared" si="11"/>
        <v>6.6666666666666666E-2</v>
      </c>
      <c r="W67" s="43">
        <f t="shared" si="11"/>
        <v>6.8965517241379309E-2</v>
      </c>
      <c r="X67" s="43">
        <f t="shared" si="11"/>
        <v>0.10344827586206896</v>
      </c>
      <c r="Y67" s="43">
        <f t="shared" si="11"/>
        <v>0.23218390804597702</v>
      </c>
      <c r="Z67" s="43">
        <f t="shared" si="11"/>
        <v>0.335632183908046</v>
      </c>
      <c r="AA67" s="43">
        <f t="shared" si="11"/>
        <v>0.10344827586206896</v>
      </c>
      <c r="AB67" s="43">
        <f t="shared" si="11"/>
        <v>0.10344827586206896</v>
      </c>
      <c r="AC67" s="43">
        <f t="shared" si="11"/>
        <v>0.15632183908045977</v>
      </c>
      <c r="AD67" s="43">
        <f t="shared" si="11"/>
        <v>0.18160919540229886</v>
      </c>
      <c r="AE67" s="43">
        <f t="shared" si="11"/>
        <v>0.30804597701149428</v>
      </c>
      <c r="AF67" s="43">
        <f t="shared" si="11"/>
        <v>0.32643678160919543</v>
      </c>
      <c r="AG67" s="43">
        <f t="shared" si="11"/>
        <v>0</v>
      </c>
      <c r="AH67" s="43">
        <f t="shared" si="11"/>
        <v>0</v>
      </c>
      <c r="AI67" s="43">
        <f t="shared" si="11"/>
        <v>6.5517241379310351E-2</v>
      </c>
      <c r="AJ67" s="43">
        <f t="shared" si="11"/>
        <v>6.5517241379310351E-2</v>
      </c>
      <c r="AK67" s="43">
        <f t="shared" si="11"/>
        <v>6.5517241379310351E-2</v>
      </c>
      <c r="AL67" s="43">
        <f t="shared" si="11"/>
        <v>6.5517241379310351E-2</v>
      </c>
      <c r="AM67" s="43">
        <f t="shared" si="11"/>
        <v>0</v>
      </c>
      <c r="AN67" s="43">
        <f t="shared" si="11"/>
        <v>0</v>
      </c>
    </row>
    <row r="68" spans="1:40" ht="25.05" customHeight="1">
      <c r="B68" s="44"/>
      <c r="C68" s="44"/>
      <c r="D68" s="44"/>
      <c r="E68" s="45"/>
      <c r="F68" s="45"/>
      <c r="G68" s="45"/>
      <c r="H68" s="45"/>
      <c r="I68" s="46"/>
      <c r="J68" s="46"/>
      <c r="K68" s="45"/>
      <c r="L68" s="47"/>
      <c r="M68" s="47"/>
      <c r="N68" s="47"/>
      <c r="O68" s="47"/>
      <c r="P68" s="47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  <c r="AJ68" s="45"/>
      <c r="AK68" s="45"/>
      <c r="AL68" s="45"/>
    </row>
    <row r="69" spans="1:40" ht="25.05" customHeight="1">
      <c r="B69" s="44"/>
      <c r="C69" s="44"/>
      <c r="D69" s="44"/>
      <c r="E69" s="45"/>
      <c r="F69" s="45"/>
      <c r="G69" s="45"/>
      <c r="H69" s="45"/>
      <c r="I69" s="48" t="s">
        <v>46</v>
      </c>
      <c r="J69" s="46"/>
      <c r="K69" s="45"/>
      <c r="L69" s="47"/>
      <c r="M69" s="47"/>
      <c r="N69" s="47"/>
      <c r="O69" s="47"/>
      <c r="P69" s="47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  <c r="AJ69" s="45"/>
      <c r="AK69" s="45"/>
      <c r="AL69" s="45"/>
    </row>
    <row r="70" spans="1:40" ht="25.05" customHeight="1">
      <c r="B70" s="44"/>
      <c r="C70" s="44"/>
      <c r="D70" s="44"/>
      <c r="E70" s="45"/>
      <c r="F70" s="45"/>
      <c r="G70" s="45"/>
      <c r="H70" s="45"/>
      <c r="I70" s="49" t="s">
        <v>47</v>
      </c>
      <c r="J70" s="9">
        <v>0</v>
      </c>
      <c r="K70" s="11">
        <v>8</v>
      </c>
      <c r="L70" s="11" t="s">
        <v>48</v>
      </c>
      <c r="M70" s="47"/>
      <c r="N70" s="14">
        <v>3</v>
      </c>
      <c r="O70" s="14"/>
      <c r="P70" s="14"/>
      <c r="Q70" s="50" t="s">
        <v>49</v>
      </c>
      <c r="R70" s="51"/>
      <c r="S70" s="45"/>
      <c r="T70" s="45"/>
      <c r="U70" s="45"/>
      <c r="V70" s="45"/>
      <c r="W70" s="45"/>
      <c r="X70" s="45"/>
      <c r="Y70" s="45"/>
      <c r="Z70" s="45"/>
      <c r="AA70" s="45"/>
      <c r="AB70" s="45"/>
      <c r="AD70" s="45"/>
      <c r="AE70" s="45"/>
      <c r="AF70" s="45"/>
      <c r="AG70" s="45"/>
      <c r="AH70" s="45"/>
      <c r="AI70" s="45"/>
      <c r="AJ70" s="45"/>
    </row>
    <row r="71" spans="1:40" ht="25.05" customHeight="1">
      <c r="B71" s="44"/>
      <c r="C71" s="44"/>
      <c r="D71" s="44"/>
      <c r="E71" s="45"/>
      <c r="F71" s="45"/>
      <c r="G71" s="45"/>
      <c r="H71" s="45"/>
      <c r="I71" s="49" t="s">
        <v>50</v>
      </c>
      <c r="J71" s="9">
        <v>0</v>
      </c>
      <c r="K71" s="11">
        <v>0</v>
      </c>
      <c r="L71" s="11" t="s">
        <v>48</v>
      </c>
      <c r="M71" s="47"/>
      <c r="N71" s="14">
        <v>0</v>
      </c>
      <c r="O71" s="14"/>
      <c r="P71" s="14"/>
      <c r="Q71" s="50" t="s">
        <v>51</v>
      </c>
      <c r="R71" s="51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</row>
    <row r="72" spans="1:40" ht="25.05" customHeight="1">
      <c r="B72" s="44"/>
      <c r="C72" s="44"/>
      <c r="D72" s="44"/>
      <c r="E72" s="45"/>
      <c r="F72" s="45"/>
      <c r="G72" s="45"/>
      <c r="H72" s="45"/>
      <c r="I72" s="49" t="s">
        <v>52</v>
      </c>
      <c r="J72" s="9">
        <v>0</v>
      </c>
      <c r="K72" s="11">
        <v>17</v>
      </c>
      <c r="L72" s="11" t="s">
        <v>48</v>
      </c>
      <c r="M72" s="47"/>
      <c r="N72" s="14">
        <v>1</v>
      </c>
      <c r="O72" s="14"/>
      <c r="P72" s="14"/>
      <c r="Q72" s="50" t="s">
        <v>53</v>
      </c>
      <c r="R72" s="51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</row>
    <row r="73" spans="1:40" ht="25.05" customHeight="1">
      <c r="B73" s="44"/>
      <c r="C73" s="44"/>
      <c r="D73" s="44"/>
      <c r="E73" s="45"/>
      <c r="F73" s="45"/>
      <c r="G73" s="45"/>
      <c r="H73" s="45"/>
      <c r="I73" s="52" t="s">
        <v>54</v>
      </c>
      <c r="J73" s="53">
        <v>0</v>
      </c>
      <c r="K73" s="11">
        <v>2</v>
      </c>
      <c r="L73" s="54" t="s">
        <v>48</v>
      </c>
      <c r="M73" s="47"/>
      <c r="N73" s="14">
        <v>2</v>
      </c>
      <c r="O73" s="14"/>
      <c r="P73" s="14"/>
      <c r="Q73" s="50" t="s">
        <v>55</v>
      </c>
      <c r="R73" s="51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</row>
    <row r="74" spans="1:40" ht="25.05" customHeight="1">
      <c r="B74" s="44"/>
      <c r="C74" s="44"/>
      <c r="D74" s="44"/>
      <c r="E74" s="45"/>
      <c r="F74" s="45"/>
      <c r="G74" s="45"/>
      <c r="H74" s="45"/>
      <c r="I74" s="49" t="s">
        <v>56</v>
      </c>
      <c r="J74" s="9">
        <v>0</v>
      </c>
      <c r="K74" s="11">
        <v>27</v>
      </c>
      <c r="L74" s="11" t="s">
        <v>48</v>
      </c>
      <c r="M74" s="47"/>
      <c r="N74"/>
      <c r="O74"/>
      <c r="P74"/>
      <c r="Q74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</row>
    <row r="75" spans="1:40" ht="25.05" customHeight="1">
      <c r="B75" s="44"/>
      <c r="C75" s="44"/>
      <c r="D75" s="44"/>
      <c r="E75" s="45"/>
      <c r="F75" s="45"/>
      <c r="G75" s="45"/>
      <c r="H75" s="45"/>
      <c r="M75" s="47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</row>
    <row r="76" spans="1:40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N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CCA2A-688A-4140-8BB7-21A2E856CADA}">
  <sheetPr>
    <pageSetUpPr fitToPage="1"/>
  </sheetPr>
  <dimension ref="A1:AM110"/>
  <sheetViews>
    <sheetView zoomScale="55" zoomScaleNormal="55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L28" sqref="L2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7.4414062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1" width="16.21875" style="2" customWidth="1"/>
    <col min="32" max="32" width="17.77734375" style="2" customWidth="1"/>
    <col min="33" max="38" width="16.21875" style="2" customWidth="1"/>
    <col min="39" max="39" width="14.44140625" style="2" customWidth="1"/>
    <col min="40" max="16384" width="10.21875" style="2"/>
  </cols>
  <sheetData>
    <row r="1" spans="1:39" ht="18.75" customHeight="1">
      <c r="A1" s="2" t="s">
        <v>0</v>
      </c>
    </row>
    <row r="2" spans="1:39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2"/>
    </row>
    <row r="3" spans="1:39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416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</row>
    <row r="4" spans="1:39" ht="25.05" customHeight="1">
      <c r="B4" s="5" t="s">
        <v>618</v>
      </c>
      <c r="C4" s="60" t="s">
        <v>40</v>
      </c>
      <c r="D4" s="6"/>
      <c r="E4" s="7" t="s">
        <v>41</v>
      </c>
      <c r="F4" s="8" t="s">
        <v>42</v>
      </c>
      <c r="G4" s="9">
        <v>0.29166666666666669</v>
      </c>
      <c r="H4" s="9">
        <v>0.3125</v>
      </c>
      <c r="I4" s="10">
        <f t="shared" ref="I4:I28" si="0">H4-G4</f>
        <v>2.0833333333333315E-2</v>
      </c>
      <c r="J4" s="11">
        <v>10</v>
      </c>
      <c r="K4" s="11">
        <v>0</v>
      </c>
      <c r="L4" s="16">
        <f t="shared" ref="L4:L28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25.05" customHeight="1">
      <c r="B5" s="13"/>
      <c r="C5" s="14"/>
      <c r="D5" s="6" t="s">
        <v>301</v>
      </c>
      <c r="E5" s="15" t="s">
        <v>619</v>
      </c>
      <c r="F5" s="130" t="s">
        <v>87</v>
      </c>
      <c r="G5" s="9">
        <v>0.29166666666666669</v>
      </c>
      <c r="H5" s="9">
        <v>0.30555555555555558</v>
      </c>
      <c r="I5" s="10">
        <f t="shared" ref="I5" si="2">H5-G5</f>
        <v>1.3888888888888895E-2</v>
      </c>
      <c r="J5" s="11">
        <v>1</v>
      </c>
      <c r="K5" s="27">
        <v>2.65</v>
      </c>
      <c r="L5" s="16">
        <f t="shared" ref="L5" si="3">IFERROR(((K5/(J5*I5)/24)),"0")</f>
        <v>7.9499999999999957</v>
      </c>
      <c r="M5" s="11">
        <v>20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 ht="25.05" customHeight="1">
      <c r="B6" s="13"/>
      <c r="C6" s="14"/>
      <c r="D6" s="6" t="s">
        <v>439</v>
      </c>
      <c r="E6" s="15" t="s">
        <v>620</v>
      </c>
      <c r="F6" s="130" t="s">
        <v>42</v>
      </c>
      <c r="G6" s="9">
        <v>0.2986111111111111</v>
      </c>
      <c r="H6" s="9">
        <v>0.43055555555555558</v>
      </c>
      <c r="I6" s="10">
        <f t="shared" ref="I6:I27" si="4">H6-G6</f>
        <v>0.13194444444444448</v>
      </c>
      <c r="J6" s="11">
        <v>4</v>
      </c>
      <c r="K6" s="27">
        <v>407</v>
      </c>
      <c r="L6" s="16">
        <f t="shared" ref="L6:L27" si="5">IFERROR(((K6/(J6*I6)/24)),"0")</f>
        <v>32.131578947368418</v>
      </c>
      <c r="M6" s="11"/>
      <c r="N6" s="11"/>
      <c r="O6" s="11">
        <v>190</v>
      </c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ht="25.05" customHeight="1">
      <c r="B7" s="13"/>
      <c r="C7" s="14"/>
      <c r="D7" s="6"/>
      <c r="E7" s="15" t="s">
        <v>80</v>
      </c>
      <c r="F7" s="130" t="s">
        <v>621</v>
      </c>
      <c r="G7" s="9">
        <v>0.29166666666666669</v>
      </c>
      <c r="H7" s="9">
        <v>0.47916666666666669</v>
      </c>
      <c r="I7" s="10">
        <f t="shared" ref="I7:I9" si="6">H7-G7</f>
        <v>0.1875</v>
      </c>
      <c r="J7" s="11">
        <v>3</v>
      </c>
      <c r="K7" s="27">
        <v>138.4</v>
      </c>
      <c r="L7" s="16">
        <f t="shared" ref="L7:L9" si="7">IFERROR(((K7/(J7*I7)/24)),"0")</f>
        <v>10.251851851851852</v>
      </c>
      <c r="M7" s="11"/>
      <c r="N7" s="11"/>
      <c r="O7" s="11"/>
      <c r="P7" s="11"/>
      <c r="Q7" s="11"/>
      <c r="R7" s="12"/>
      <c r="S7" s="12">
        <v>270</v>
      </c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spans="1:39" ht="25.05" customHeight="1">
      <c r="B8" s="13"/>
      <c r="C8" s="14"/>
      <c r="D8" s="6"/>
      <c r="E8" s="15" t="s">
        <v>622</v>
      </c>
      <c r="F8" s="130" t="s">
        <v>42</v>
      </c>
      <c r="G8" s="9">
        <v>0.29166666666666669</v>
      </c>
      <c r="H8" s="9">
        <v>0.375</v>
      </c>
      <c r="I8" s="10">
        <f t="shared" si="6"/>
        <v>8.3333333333333315E-2</v>
      </c>
      <c r="J8" s="11">
        <v>1</v>
      </c>
      <c r="K8" s="27">
        <v>407</v>
      </c>
      <c r="L8" s="16">
        <f t="shared" si="7"/>
        <v>203.50000000000003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39" ht="25.05" customHeight="1">
      <c r="B9" s="13"/>
      <c r="C9" s="14"/>
      <c r="D9" s="6"/>
      <c r="E9" s="15" t="s">
        <v>623</v>
      </c>
      <c r="F9" s="130" t="s">
        <v>42</v>
      </c>
      <c r="G9" s="9">
        <v>0.29166666666666669</v>
      </c>
      <c r="H9" s="9">
        <v>0.33333333333333331</v>
      </c>
      <c r="I9" s="10">
        <f t="shared" si="6"/>
        <v>4.166666666666663E-2</v>
      </c>
      <c r="J9" s="11">
        <v>1</v>
      </c>
      <c r="K9" s="27">
        <v>138.4</v>
      </c>
      <c r="L9" s="16">
        <f t="shared" si="7"/>
        <v>138.40000000000012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39" ht="25.05" customHeight="1">
      <c r="B10" s="13"/>
      <c r="C10" s="14"/>
      <c r="D10" s="6"/>
      <c r="E10" s="15" t="s">
        <v>490</v>
      </c>
      <c r="F10" s="130" t="s">
        <v>42</v>
      </c>
      <c r="G10" s="9">
        <v>0.29166666666666669</v>
      </c>
      <c r="H10" s="9">
        <v>0.3888888888888889</v>
      </c>
      <c r="I10" s="10">
        <f t="shared" ref="I10:I24" si="8">H10-G10</f>
        <v>9.722222222222221E-2</v>
      </c>
      <c r="J10" s="11">
        <v>1</v>
      </c>
      <c r="K10" s="27">
        <v>368.6</v>
      </c>
      <c r="L10" s="16">
        <f t="shared" ref="L10:L21" si="9">IFERROR(((K10/(J10*I10)/24)),"0")</f>
        <v>157.97142857142862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 ht="25.05" customHeight="1">
      <c r="B11" s="13"/>
      <c r="C11" s="14"/>
      <c r="D11" s="30" t="s">
        <v>301</v>
      </c>
      <c r="E11" s="15" t="s">
        <v>624</v>
      </c>
      <c r="F11" s="130" t="s">
        <v>42</v>
      </c>
      <c r="G11" s="9">
        <v>0.39583333333333331</v>
      </c>
      <c r="H11" s="9">
        <v>0.49305555555555558</v>
      </c>
      <c r="I11" s="10">
        <f t="shared" si="8"/>
        <v>9.7222222222222265E-2</v>
      </c>
      <c r="J11" s="11">
        <v>1</v>
      </c>
      <c r="K11" s="27">
        <v>23</v>
      </c>
      <c r="L11" s="16">
        <f t="shared" si="9"/>
        <v>9.8571428571428523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ht="25.05" customHeight="1">
      <c r="B12" s="13"/>
      <c r="C12" s="14"/>
      <c r="D12" s="6"/>
      <c r="E12" s="15" t="s">
        <v>497</v>
      </c>
      <c r="F12" s="130" t="s">
        <v>99</v>
      </c>
      <c r="G12" s="9">
        <v>0.41666666666666669</v>
      </c>
      <c r="H12" s="9">
        <v>0.44444444444444442</v>
      </c>
      <c r="I12" s="10">
        <f t="shared" si="8"/>
        <v>2.7777777777777735E-2</v>
      </c>
      <c r="J12" s="11">
        <v>1</v>
      </c>
      <c r="K12" s="27">
        <v>15</v>
      </c>
      <c r="L12" s="16">
        <f t="shared" si="9"/>
        <v>22.500000000000032</v>
      </c>
      <c r="M12" s="11"/>
      <c r="N12" s="11"/>
      <c r="O12" s="11"/>
      <c r="P12" s="11"/>
      <c r="Q12" s="11"/>
      <c r="R12" s="12">
        <v>40</v>
      </c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ht="25.05" customHeight="1">
      <c r="B13" s="13"/>
      <c r="C13" s="14"/>
      <c r="D13" s="6"/>
      <c r="E13" s="15" t="s">
        <v>625</v>
      </c>
      <c r="F13" s="130" t="s">
        <v>42</v>
      </c>
      <c r="G13" s="9">
        <v>0.43055555555555558</v>
      </c>
      <c r="H13" s="9">
        <v>0.47916666666666669</v>
      </c>
      <c r="I13" s="10">
        <f t="shared" ref="I13:I17" si="10">H13-G13</f>
        <v>4.8611111111111105E-2</v>
      </c>
      <c r="J13" s="11">
        <v>3</v>
      </c>
      <c r="K13" s="27">
        <v>180</v>
      </c>
      <c r="L13" s="16">
        <f t="shared" ref="L13:L17" si="11">IFERROR(((K13/(J13*I13)/24)),"0")</f>
        <v>51.428571428571438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ht="25.05" customHeight="1">
      <c r="B14" s="13"/>
      <c r="C14" s="14"/>
      <c r="D14" s="6" t="s">
        <v>439</v>
      </c>
      <c r="E14" s="15" t="s">
        <v>80</v>
      </c>
      <c r="F14" s="130" t="s">
        <v>621</v>
      </c>
      <c r="G14" s="9">
        <v>0.45833333333333331</v>
      </c>
      <c r="H14" s="9">
        <v>0.5</v>
      </c>
      <c r="I14" s="10">
        <f t="shared" si="10"/>
        <v>4.1666666666666685E-2</v>
      </c>
      <c r="J14" s="11">
        <v>1</v>
      </c>
      <c r="K14" s="27">
        <v>138.4</v>
      </c>
      <c r="L14" s="16">
        <f t="shared" si="11"/>
        <v>138.39999999999995</v>
      </c>
      <c r="M14" s="11"/>
      <c r="N14" s="11"/>
      <c r="O14" s="11">
        <v>60</v>
      </c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ht="25.05" customHeight="1">
      <c r="B15" s="13"/>
      <c r="C15" s="14"/>
      <c r="D15" s="6"/>
      <c r="E15" s="15" t="s">
        <v>104</v>
      </c>
      <c r="F15" s="130" t="s">
        <v>42</v>
      </c>
      <c r="G15" s="9">
        <v>0.49305555555555558</v>
      </c>
      <c r="H15" s="9">
        <v>0.50694444444444442</v>
      </c>
      <c r="I15" s="10">
        <f t="shared" si="10"/>
        <v>1.388888888888884E-2</v>
      </c>
      <c r="J15" s="11">
        <v>10</v>
      </c>
      <c r="K15" s="27" t="s">
        <v>42</v>
      </c>
      <c r="L15" s="16" t="str">
        <f t="shared" si="11"/>
        <v>0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spans="1:39" ht="25.05" customHeight="1">
      <c r="B16" s="13"/>
      <c r="C16" s="14"/>
      <c r="D16" s="6"/>
      <c r="E16" s="15" t="s">
        <v>96</v>
      </c>
      <c r="F16" s="130" t="s">
        <v>42</v>
      </c>
      <c r="G16" s="9">
        <v>0.50694444444444442</v>
      </c>
      <c r="H16" s="9">
        <v>0.54861111111111116</v>
      </c>
      <c r="I16" s="10">
        <f t="shared" si="10"/>
        <v>4.1666666666666741E-2</v>
      </c>
      <c r="J16" s="11">
        <v>12</v>
      </c>
      <c r="K16" s="27" t="s">
        <v>42</v>
      </c>
      <c r="L16" s="16" t="str">
        <f t="shared" si="11"/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ht="25.05" customHeight="1">
      <c r="B17" s="13"/>
      <c r="C17" s="14"/>
      <c r="D17" s="30" t="s">
        <v>301</v>
      </c>
      <c r="E17" s="15" t="s">
        <v>626</v>
      </c>
      <c r="F17" s="130" t="s">
        <v>42</v>
      </c>
      <c r="G17" s="9">
        <v>0.54861111111111116</v>
      </c>
      <c r="H17" s="9">
        <v>0.55902777777777779</v>
      </c>
      <c r="I17" s="10">
        <f t="shared" si="10"/>
        <v>1.041666666666663E-2</v>
      </c>
      <c r="J17" s="11">
        <v>1</v>
      </c>
      <c r="K17" s="27">
        <v>30</v>
      </c>
      <c r="L17" s="16">
        <f t="shared" si="11"/>
        <v>120.00000000000041</v>
      </c>
      <c r="M17" s="11">
        <v>15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spans="1:39" ht="25.05" customHeight="1">
      <c r="B18" s="13"/>
      <c r="C18" s="14"/>
      <c r="D18" s="6"/>
      <c r="E18" s="15" t="s">
        <v>627</v>
      </c>
      <c r="F18" s="130" t="s">
        <v>42</v>
      </c>
      <c r="G18" s="9">
        <v>0.56041666666666667</v>
      </c>
      <c r="H18" s="9">
        <v>0.57638888888888884</v>
      </c>
      <c r="I18" s="10">
        <f t="shared" si="8"/>
        <v>1.5972222222222165E-2</v>
      </c>
      <c r="J18" s="11">
        <v>1</v>
      </c>
      <c r="K18" s="27">
        <v>8</v>
      </c>
      <c r="L18" s="16">
        <f t="shared" si="9"/>
        <v>20.869565217391379</v>
      </c>
      <c r="M18" s="11">
        <v>23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ht="25.05" customHeight="1">
      <c r="B19" s="13"/>
      <c r="C19" s="14"/>
      <c r="D19" s="6"/>
      <c r="E19" s="15" t="s">
        <v>628</v>
      </c>
      <c r="F19" s="130" t="s">
        <v>42</v>
      </c>
      <c r="G19" s="9">
        <v>0.54861111111111116</v>
      </c>
      <c r="H19" s="9">
        <v>0.61111111111111116</v>
      </c>
      <c r="I19" s="10">
        <f t="shared" si="8"/>
        <v>6.25E-2</v>
      </c>
      <c r="J19" s="11">
        <v>3</v>
      </c>
      <c r="K19" s="27">
        <v>95</v>
      </c>
      <c r="L19" s="16">
        <f t="shared" si="9"/>
        <v>21.111111111111111</v>
      </c>
      <c r="M19" s="11"/>
      <c r="N19" s="11"/>
      <c r="O19" s="11"/>
      <c r="P19" s="11"/>
      <c r="Q19" s="11"/>
      <c r="R19" s="12"/>
      <c r="S19" s="12">
        <v>90</v>
      </c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ht="25.05" customHeight="1">
      <c r="B20" s="13"/>
      <c r="C20" s="14"/>
      <c r="D20" s="6"/>
      <c r="E20" s="15" t="s">
        <v>629</v>
      </c>
      <c r="F20" s="130" t="s">
        <v>42</v>
      </c>
      <c r="G20" s="9">
        <v>0.54861111111111116</v>
      </c>
      <c r="H20" s="9">
        <v>0.60416666666666663</v>
      </c>
      <c r="I20" s="10">
        <f t="shared" si="8"/>
        <v>5.5555555555555469E-2</v>
      </c>
      <c r="J20" s="11">
        <v>7</v>
      </c>
      <c r="K20" s="27">
        <v>220.35</v>
      </c>
      <c r="L20" s="16">
        <f t="shared" si="9"/>
        <v>23.608928571428606</v>
      </c>
      <c r="M20" s="11"/>
      <c r="N20" s="11"/>
      <c r="O20" s="11">
        <v>80</v>
      </c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spans="1:39" ht="25.05" customHeight="1">
      <c r="B21" s="13"/>
      <c r="C21" s="14"/>
      <c r="D21" s="6"/>
      <c r="E21" s="15" t="s">
        <v>630</v>
      </c>
      <c r="F21" s="130" t="s">
        <v>42</v>
      </c>
      <c r="G21" s="9">
        <v>0.58333333333333337</v>
      </c>
      <c r="H21" s="9">
        <v>0.60416666666666663</v>
      </c>
      <c r="I21" s="10">
        <f t="shared" si="8"/>
        <v>2.0833333333333259E-2</v>
      </c>
      <c r="J21" s="11">
        <v>1</v>
      </c>
      <c r="K21" s="27">
        <v>90</v>
      </c>
      <c r="L21" s="16">
        <f t="shared" si="9"/>
        <v>180.00000000000065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spans="1:39" ht="25.05" customHeight="1">
      <c r="B22" s="13"/>
      <c r="C22" s="14"/>
      <c r="D22" s="6"/>
      <c r="E22" s="15" t="s">
        <v>631</v>
      </c>
      <c r="F22" s="130" t="s">
        <v>42</v>
      </c>
      <c r="G22" s="9">
        <v>0.625</v>
      </c>
      <c r="H22" s="9">
        <v>0.66666666666666663</v>
      </c>
      <c r="I22" s="10">
        <f t="shared" si="8"/>
        <v>4.166666666666663E-2</v>
      </c>
      <c r="J22" s="11">
        <v>1</v>
      </c>
      <c r="K22" s="27">
        <v>360</v>
      </c>
      <c r="L22" s="16">
        <f t="shared" ref="L22:L25" si="12">IFERROR(((K22/(J22*I22)/24)),"0")</f>
        <v>360.00000000000028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spans="1:39" ht="25.05" customHeight="1">
      <c r="B23" s="13"/>
      <c r="C23" s="14"/>
      <c r="D23" s="6" t="s">
        <v>439</v>
      </c>
      <c r="E23" s="15" t="s">
        <v>620</v>
      </c>
      <c r="F23" s="130" t="s">
        <v>42</v>
      </c>
      <c r="G23" s="9">
        <v>0.66666666666666663</v>
      </c>
      <c r="H23" s="9">
        <v>0.70833333333333337</v>
      </c>
      <c r="I23" s="10">
        <f t="shared" si="8"/>
        <v>4.1666666666666741E-2</v>
      </c>
      <c r="J23" s="11">
        <v>6</v>
      </c>
      <c r="K23" s="27">
        <v>111</v>
      </c>
      <c r="L23" s="16">
        <f t="shared" si="12"/>
        <v>18.499999999999968</v>
      </c>
      <c r="M23" s="11"/>
      <c r="N23" s="11"/>
      <c r="O23" s="11">
        <v>60</v>
      </c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spans="1:39" ht="25.05" customHeight="1">
      <c r="B24" s="13"/>
      <c r="C24" s="14"/>
      <c r="D24" s="6"/>
      <c r="E24" s="15" t="s">
        <v>490</v>
      </c>
      <c r="F24" s="130" t="s">
        <v>42</v>
      </c>
      <c r="G24" s="9">
        <v>0.66666666666666663</v>
      </c>
      <c r="H24" s="9">
        <v>0.68055555555555558</v>
      </c>
      <c r="I24" s="10">
        <f t="shared" si="8"/>
        <v>1.3888888888888951E-2</v>
      </c>
      <c r="J24" s="11">
        <v>1</v>
      </c>
      <c r="K24" s="27">
        <v>108.44</v>
      </c>
      <c r="L24" s="16">
        <f t="shared" si="12"/>
        <v>325.31999999999852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spans="1:39" ht="25.05" customHeight="1">
      <c r="B25" s="13"/>
      <c r="C25" s="14"/>
      <c r="D25" s="6" t="s">
        <v>632</v>
      </c>
      <c r="E25" s="15" t="s">
        <v>498</v>
      </c>
      <c r="F25" s="130" t="s">
        <v>42</v>
      </c>
      <c r="G25" s="9">
        <v>0.65277777777777779</v>
      </c>
      <c r="H25" s="9">
        <v>0.73611111111111116</v>
      </c>
      <c r="I25" s="10">
        <f t="shared" ref="I25" si="13">H25-G25</f>
        <v>8.333333333333337E-2</v>
      </c>
      <c r="J25" s="11">
        <v>5</v>
      </c>
      <c r="K25" s="11">
        <v>206.55</v>
      </c>
      <c r="L25" s="16">
        <f t="shared" si="12"/>
        <v>20.65499999999999</v>
      </c>
      <c r="M25" s="11"/>
      <c r="N25" s="11"/>
      <c r="O25" s="11"/>
      <c r="P25" s="11"/>
      <c r="Q25" s="11"/>
      <c r="R25" s="12"/>
      <c r="S25" s="12">
        <v>120</v>
      </c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spans="1:39" ht="25.05" customHeight="1">
      <c r="B26" s="13"/>
      <c r="C26" s="14"/>
      <c r="D26" s="6"/>
      <c r="E26" s="15" t="s">
        <v>100</v>
      </c>
      <c r="F26" s="130" t="s">
        <v>42</v>
      </c>
      <c r="G26" s="9">
        <v>0.63888888888888884</v>
      </c>
      <c r="H26" s="9">
        <v>0.72916666666666663</v>
      </c>
      <c r="I26" s="10">
        <f t="shared" si="4"/>
        <v>9.027777777777779E-2</v>
      </c>
      <c r="J26" s="11">
        <v>2</v>
      </c>
      <c r="K26" s="11">
        <v>210</v>
      </c>
      <c r="L26" s="16">
        <f t="shared" si="5"/>
        <v>48.461538461538453</v>
      </c>
      <c r="M26" s="11"/>
      <c r="N26" s="11"/>
      <c r="O26" s="11"/>
      <c r="P26" s="11"/>
      <c r="Q26" s="11"/>
      <c r="R26" s="12"/>
      <c r="S26" s="12">
        <v>130</v>
      </c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spans="1:39" ht="25.05" customHeight="1">
      <c r="B27" s="13"/>
      <c r="C27" s="14"/>
      <c r="D27" s="6"/>
      <c r="E27" s="15" t="s">
        <v>96</v>
      </c>
      <c r="F27" s="130" t="s">
        <v>42</v>
      </c>
      <c r="G27" s="9">
        <v>0.72916666666666663</v>
      </c>
      <c r="H27" s="9">
        <v>0.75</v>
      </c>
      <c r="I27" s="10">
        <f t="shared" si="4"/>
        <v>2.083333333333337E-2</v>
      </c>
      <c r="J27" s="11">
        <v>10</v>
      </c>
      <c r="K27" s="11" t="s">
        <v>42</v>
      </c>
      <c r="L27" s="16" t="str">
        <f t="shared" si="5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spans="1:39" ht="25.5" customHeight="1">
      <c r="B28" s="13"/>
      <c r="C28" s="14"/>
      <c r="D28" s="30"/>
      <c r="E28" s="15"/>
      <c r="F28" s="130"/>
      <c r="G28" s="9"/>
      <c r="H28" s="9"/>
      <c r="I28" s="10">
        <f t="shared" si="0"/>
        <v>0</v>
      </c>
      <c r="J28" s="11"/>
      <c r="K28" s="11"/>
      <c r="L28" s="16" t="str">
        <f t="shared" si="1"/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 spans="1:39" s="28" customFormat="1" ht="25.05" customHeight="1">
      <c r="A29" s="2"/>
      <c r="B29" s="21"/>
      <c r="C29" s="22"/>
      <c r="D29" s="23"/>
      <c r="E29" s="24"/>
      <c r="F29" s="24"/>
      <c r="G29" s="25"/>
      <c r="H29" s="25"/>
      <c r="I29" s="26"/>
      <c r="J29" s="27"/>
      <c r="K29" s="27">
        <f t="shared" ref="K29:AD29" si="14">SUM(K4:K28)</f>
        <v>3257.7900000000004</v>
      </c>
      <c r="L29" s="39">
        <f t="shared" si="14"/>
        <v>1910.9167170178325</v>
      </c>
      <c r="M29" s="27">
        <f t="shared" si="14"/>
        <v>58</v>
      </c>
      <c r="N29" s="27">
        <f t="shared" si="14"/>
        <v>0</v>
      </c>
      <c r="O29" s="27">
        <f t="shared" si="14"/>
        <v>390</v>
      </c>
      <c r="P29" s="27">
        <f t="shared" si="14"/>
        <v>0</v>
      </c>
      <c r="Q29" s="27">
        <f t="shared" si="14"/>
        <v>0</v>
      </c>
      <c r="R29" s="27">
        <f t="shared" si="14"/>
        <v>40</v>
      </c>
      <c r="S29" s="27">
        <f t="shared" si="14"/>
        <v>610</v>
      </c>
      <c r="T29" s="27">
        <f t="shared" si="14"/>
        <v>0</v>
      </c>
      <c r="U29" s="27">
        <f t="shared" si="14"/>
        <v>0</v>
      </c>
      <c r="V29" s="27">
        <f t="shared" si="14"/>
        <v>0</v>
      </c>
      <c r="W29" s="27">
        <f t="shared" si="14"/>
        <v>0</v>
      </c>
      <c r="X29" s="27">
        <f t="shared" si="14"/>
        <v>0</v>
      </c>
      <c r="Y29" s="27">
        <f t="shared" si="14"/>
        <v>0</v>
      </c>
      <c r="Z29" s="27">
        <f t="shared" si="14"/>
        <v>0</v>
      </c>
      <c r="AA29" s="27">
        <f t="shared" si="14"/>
        <v>0</v>
      </c>
      <c r="AB29" s="27">
        <f t="shared" si="14"/>
        <v>0</v>
      </c>
      <c r="AC29" s="27">
        <f t="shared" si="14"/>
        <v>0</v>
      </c>
      <c r="AD29" s="27">
        <f t="shared" si="14"/>
        <v>0</v>
      </c>
      <c r="AE29" s="27"/>
      <c r="AF29" s="27">
        <f t="shared" ref="AF29:AM29" si="15">SUM(AF4:AF28)</f>
        <v>0</v>
      </c>
      <c r="AG29" s="27">
        <f t="shared" si="15"/>
        <v>0</v>
      </c>
      <c r="AH29" s="27">
        <f t="shared" si="15"/>
        <v>0</v>
      </c>
      <c r="AI29" s="27">
        <f t="shared" si="15"/>
        <v>0</v>
      </c>
      <c r="AJ29" s="27">
        <f t="shared" si="15"/>
        <v>0</v>
      </c>
      <c r="AK29" s="27">
        <f t="shared" si="15"/>
        <v>0</v>
      </c>
      <c r="AL29" s="27">
        <f t="shared" si="15"/>
        <v>0</v>
      </c>
      <c r="AM29" s="27">
        <f t="shared" si="15"/>
        <v>0</v>
      </c>
    </row>
    <row r="30" spans="1:39" ht="25.05" customHeight="1">
      <c r="B30" s="5" t="s">
        <v>618</v>
      </c>
      <c r="C30" s="14" t="s">
        <v>43</v>
      </c>
      <c r="D30" s="6"/>
      <c r="E30" s="7" t="s">
        <v>41</v>
      </c>
      <c r="F30" s="8" t="s">
        <v>42</v>
      </c>
      <c r="G30" s="9">
        <v>0.29166666666666669</v>
      </c>
      <c r="H30" s="9">
        <v>0.33333333333333331</v>
      </c>
      <c r="I30" s="10">
        <f>H30-G30</f>
        <v>4.166666666666663E-2</v>
      </c>
      <c r="J30" s="11">
        <v>2</v>
      </c>
      <c r="K30" s="11">
        <v>0</v>
      </c>
      <c r="L30" s="16">
        <f>IFERROR(((K30/(J30*I30)/24)),"0")</f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</row>
    <row r="31" spans="1:39" ht="25.05" customHeight="1">
      <c r="B31" s="13"/>
      <c r="C31" s="14"/>
      <c r="D31" s="6" t="s">
        <v>301</v>
      </c>
      <c r="E31" s="7" t="s">
        <v>633</v>
      </c>
      <c r="F31" s="8" t="s">
        <v>42</v>
      </c>
      <c r="G31" s="9">
        <v>0.33333333333333331</v>
      </c>
      <c r="H31" s="9">
        <v>0.5</v>
      </c>
      <c r="I31" s="10">
        <f t="shared" ref="I31:I32" si="16">H31-G31</f>
        <v>0.16666666666666669</v>
      </c>
      <c r="J31" s="11">
        <v>12</v>
      </c>
      <c r="K31" s="11">
        <f>88*3</f>
        <v>264</v>
      </c>
      <c r="L31" s="16">
        <f t="shared" ref="L31:L32" si="17">IFERROR(((K31/(J31*I31)/24)),"0")</f>
        <v>5.5</v>
      </c>
      <c r="M31" s="11"/>
      <c r="N31" s="11"/>
      <c r="O31" s="11"/>
      <c r="P31" s="11"/>
      <c r="Q31" s="11"/>
      <c r="R31" s="12"/>
      <c r="S31" s="12"/>
      <c r="T31" s="11">
        <v>240</v>
      </c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</row>
    <row r="32" spans="1:39" ht="25.05" customHeight="1">
      <c r="B32" s="13"/>
      <c r="C32" s="14"/>
      <c r="D32" s="30"/>
      <c r="E32" s="15" t="s">
        <v>104</v>
      </c>
      <c r="F32" s="8" t="s">
        <v>42</v>
      </c>
      <c r="G32" s="9">
        <v>0.5</v>
      </c>
      <c r="H32" s="9">
        <v>0.54166666666666663</v>
      </c>
      <c r="I32" s="10">
        <f t="shared" si="16"/>
        <v>4.166666666666663E-2</v>
      </c>
      <c r="J32" s="11">
        <v>12</v>
      </c>
      <c r="K32" s="11" t="s">
        <v>42</v>
      </c>
      <c r="L32" s="16" t="str">
        <f t="shared" si="17"/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</row>
    <row r="33" spans="1:39" ht="25.05" customHeight="1">
      <c r="B33" s="13"/>
      <c r="C33" s="14"/>
      <c r="D33" s="6"/>
      <c r="E33" s="7" t="s">
        <v>634</v>
      </c>
      <c r="F33" s="8" t="s">
        <v>42</v>
      </c>
      <c r="G33" s="9">
        <v>0.54166666666666663</v>
      </c>
      <c r="H33" s="9">
        <v>0.66666666666666663</v>
      </c>
      <c r="I33" s="10">
        <f t="shared" ref="I33:I34" si="18">H33-G33</f>
        <v>0.125</v>
      </c>
      <c r="J33" s="11">
        <v>12</v>
      </c>
      <c r="K33" s="11">
        <f>88*2</f>
        <v>176</v>
      </c>
      <c r="L33" s="16">
        <f t="shared" ref="L33:L34" si="19">IFERROR(((K33/(J33*I33)/24)),"0")</f>
        <v>4.8888888888888884</v>
      </c>
      <c r="M33" s="11"/>
      <c r="N33" s="11"/>
      <c r="O33" s="11"/>
      <c r="P33" s="11"/>
      <c r="Q33" s="11"/>
      <c r="R33" s="12"/>
      <c r="S33" s="12"/>
      <c r="T33" s="11">
        <v>180</v>
      </c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</row>
    <row r="34" spans="1:39" ht="25.05" customHeight="1">
      <c r="B34" s="13"/>
      <c r="C34" s="14"/>
      <c r="D34" s="30"/>
      <c r="E34" s="15" t="s">
        <v>96</v>
      </c>
      <c r="F34" s="8" t="s">
        <v>42</v>
      </c>
      <c r="G34" s="9">
        <v>0.66666666666666663</v>
      </c>
      <c r="H34" s="9">
        <v>0.70833333333333337</v>
      </c>
      <c r="I34" s="10">
        <f t="shared" si="18"/>
        <v>4.1666666666666741E-2</v>
      </c>
      <c r="J34" s="11">
        <v>12</v>
      </c>
      <c r="K34" s="11" t="s">
        <v>42</v>
      </c>
      <c r="L34" s="16" t="str">
        <f t="shared" si="19"/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</row>
    <row r="35" spans="1:39" s="28" customFormat="1" ht="25.05" customHeight="1">
      <c r="A35" s="2"/>
      <c r="B35" s="21"/>
      <c r="C35" s="22"/>
      <c r="D35" s="23"/>
      <c r="E35" s="24"/>
      <c r="F35" s="22"/>
      <c r="G35" s="25"/>
      <c r="H35" s="25"/>
      <c r="I35" s="26"/>
      <c r="J35" s="27"/>
      <c r="K35" s="27">
        <f t="shared" ref="K35:AD35" si="20">SUM(K30:K34)</f>
        <v>440</v>
      </c>
      <c r="L35" s="27">
        <f t="shared" si="20"/>
        <v>10.388888888888889</v>
      </c>
      <c r="M35" s="27">
        <f t="shared" si="20"/>
        <v>0</v>
      </c>
      <c r="N35" s="27">
        <f t="shared" si="20"/>
        <v>0</v>
      </c>
      <c r="O35" s="27">
        <f t="shared" si="20"/>
        <v>0</v>
      </c>
      <c r="P35" s="27">
        <f t="shared" si="20"/>
        <v>0</v>
      </c>
      <c r="Q35" s="27">
        <f t="shared" si="20"/>
        <v>0</v>
      </c>
      <c r="R35" s="27">
        <f t="shared" si="20"/>
        <v>0</v>
      </c>
      <c r="S35" s="27">
        <f t="shared" si="20"/>
        <v>0</v>
      </c>
      <c r="T35" s="27">
        <f t="shared" si="20"/>
        <v>420</v>
      </c>
      <c r="U35" s="27">
        <f t="shared" si="20"/>
        <v>0</v>
      </c>
      <c r="V35" s="27">
        <f t="shared" si="20"/>
        <v>0</v>
      </c>
      <c r="W35" s="27">
        <f t="shared" si="20"/>
        <v>0</v>
      </c>
      <c r="X35" s="27">
        <f t="shared" si="20"/>
        <v>0</v>
      </c>
      <c r="Y35" s="27">
        <f t="shared" si="20"/>
        <v>0</v>
      </c>
      <c r="Z35" s="27">
        <f t="shared" si="20"/>
        <v>0</v>
      </c>
      <c r="AA35" s="27">
        <f t="shared" si="20"/>
        <v>0</v>
      </c>
      <c r="AB35" s="27">
        <f t="shared" si="20"/>
        <v>0</v>
      </c>
      <c r="AC35" s="27">
        <f t="shared" si="20"/>
        <v>0</v>
      </c>
      <c r="AD35" s="27">
        <f t="shared" si="20"/>
        <v>0</v>
      </c>
      <c r="AE35" s="27"/>
      <c r="AF35" s="27">
        <f t="shared" ref="AF35:AM35" si="21">SUM(AF30:AF34)</f>
        <v>0</v>
      </c>
      <c r="AG35" s="27">
        <f t="shared" si="21"/>
        <v>0</v>
      </c>
      <c r="AH35" s="27">
        <f t="shared" si="21"/>
        <v>0</v>
      </c>
      <c r="AI35" s="27">
        <f t="shared" si="21"/>
        <v>0</v>
      </c>
      <c r="AJ35" s="27">
        <f t="shared" si="21"/>
        <v>0</v>
      </c>
      <c r="AK35" s="27">
        <f t="shared" si="21"/>
        <v>0</v>
      </c>
      <c r="AL35" s="27">
        <f t="shared" si="21"/>
        <v>0</v>
      </c>
      <c r="AM35" s="27">
        <f t="shared" si="21"/>
        <v>0</v>
      </c>
    </row>
    <row r="36" spans="1:39" ht="25.05" customHeight="1">
      <c r="B36" s="5" t="s">
        <v>618</v>
      </c>
      <c r="C36" s="29" t="s">
        <v>44</v>
      </c>
      <c r="D36" s="30"/>
      <c r="E36" s="7" t="s">
        <v>41</v>
      </c>
      <c r="F36" s="8" t="s">
        <v>42</v>
      </c>
      <c r="G36" s="9">
        <v>0.29166666666666669</v>
      </c>
      <c r="H36" s="9">
        <v>0.33333333333333331</v>
      </c>
      <c r="I36" s="10">
        <f t="shared" ref="I36:I99" si="22">H36-G36</f>
        <v>4.166666666666663E-2</v>
      </c>
      <c r="J36" s="11">
        <v>5</v>
      </c>
      <c r="K36" s="11">
        <v>0</v>
      </c>
      <c r="L36" s="16">
        <f t="shared" ref="L36:L99" si="23">IFERROR(((K36/(J36*I36)/24)),"0")</f>
        <v>0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4"/>
    </row>
    <row r="37" spans="1:39" ht="25.05" customHeight="1">
      <c r="B37" s="13"/>
      <c r="C37" s="29"/>
      <c r="D37" s="30" t="s">
        <v>439</v>
      </c>
      <c r="E37" s="19" t="s">
        <v>132</v>
      </c>
      <c r="F37" s="8"/>
      <c r="G37" s="9">
        <v>0.58680555555555558</v>
      </c>
      <c r="H37" s="9">
        <v>0.58686342592592589</v>
      </c>
      <c r="I37" s="10">
        <f t="shared" si="22"/>
        <v>5.7870370370305402E-5</v>
      </c>
      <c r="J37" s="11">
        <v>4</v>
      </c>
      <c r="K37" s="11">
        <v>14.1</v>
      </c>
      <c r="L37" s="16">
        <f t="shared" si="23"/>
        <v>2538.000000002849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>
        <v>1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4"/>
    </row>
    <row r="38" spans="1:39" ht="25.05" customHeight="1">
      <c r="B38" s="13"/>
      <c r="C38" s="29"/>
      <c r="D38" s="30"/>
      <c r="E38" s="19" t="s">
        <v>133</v>
      </c>
      <c r="F38" s="8"/>
      <c r="G38" s="9">
        <v>0.58750000000000002</v>
      </c>
      <c r="H38" s="9">
        <v>0.58755787037037033</v>
      </c>
      <c r="I38" s="10">
        <f t="shared" si="22"/>
        <v>5.7870370370305402E-5</v>
      </c>
      <c r="J38" s="11">
        <v>4</v>
      </c>
      <c r="K38" s="11">
        <v>14.75</v>
      </c>
      <c r="L38" s="16">
        <f t="shared" si="23"/>
        <v>2655.0000000029809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/>
      <c r="AC38" s="11">
        <v>1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4"/>
    </row>
    <row r="39" spans="1:39" ht="24.75" customHeight="1">
      <c r="B39" s="13"/>
      <c r="C39" s="29"/>
      <c r="D39" s="30"/>
      <c r="E39" s="19" t="s">
        <v>134</v>
      </c>
      <c r="F39" s="8"/>
      <c r="G39" s="9">
        <v>0.58819444444444446</v>
      </c>
      <c r="H39" s="9">
        <v>0.58825231481481477</v>
      </c>
      <c r="I39" s="10">
        <f t="shared" si="22"/>
        <v>5.7870370370305402E-5</v>
      </c>
      <c r="J39" s="11">
        <v>4</v>
      </c>
      <c r="K39" s="11">
        <v>15.71</v>
      </c>
      <c r="L39" s="16">
        <f t="shared" si="23"/>
        <v>2827.8000000031748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/>
      <c r="AC39" s="11">
        <v>1</v>
      </c>
      <c r="AD39" s="11"/>
      <c r="AE39" s="11"/>
      <c r="AF39" s="11"/>
      <c r="AG39" s="11"/>
      <c r="AH39" s="11"/>
      <c r="AI39" s="11"/>
      <c r="AJ39" s="11"/>
      <c r="AK39" s="11"/>
      <c r="AL39" s="11"/>
      <c r="AM39" s="14"/>
    </row>
    <row r="40" spans="1:39" ht="25.05" customHeight="1">
      <c r="B40" s="13"/>
      <c r="C40" s="29"/>
      <c r="D40" s="30"/>
      <c r="E40" s="19" t="s">
        <v>135</v>
      </c>
      <c r="F40" s="8"/>
      <c r="G40" s="9">
        <v>0.58888888888888891</v>
      </c>
      <c r="H40" s="9">
        <v>0.58894675925925921</v>
      </c>
      <c r="I40" s="10">
        <f t="shared" si="22"/>
        <v>5.7870370370305402E-5</v>
      </c>
      <c r="J40" s="11">
        <v>4</v>
      </c>
      <c r="K40" s="11">
        <v>15.64</v>
      </c>
      <c r="L40" s="16">
        <f t="shared" si="23"/>
        <v>2815.2000000031603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>
        <v>1</v>
      </c>
      <c r="AD40" s="11"/>
      <c r="AE40" s="11"/>
      <c r="AF40" s="11"/>
      <c r="AG40" s="11"/>
      <c r="AH40" s="11"/>
      <c r="AI40" s="11"/>
      <c r="AJ40" s="11"/>
      <c r="AK40" s="11"/>
      <c r="AL40" s="11"/>
      <c r="AM40" s="14"/>
    </row>
    <row r="41" spans="1:39" ht="25.05" customHeight="1">
      <c r="B41" s="13"/>
      <c r="C41" s="29"/>
      <c r="D41" s="30"/>
      <c r="E41" s="19" t="s">
        <v>136</v>
      </c>
      <c r="F41" s="8"/>
      <c r="G41" s="9">
        <v>0.59305555555555556</v>
      </c>
      <c r="H41" s="9">
        <v>0.59311342592592597</v>
      </c>
      <c r="I41" s="10">
        <f t="shared" ref="I41:I85" si="24">H41-G41</f>
        <v>5.7870370370416424E-5</v>
      </c>
      <c r="J41" s="11">
        <v>4</v>
      </c>
      <c r="K41" s="11">
        <v>14.49</v>
      </c>
      <c r="L41" s="16">
        <f t="shared" si="23"/>
        <v>2608.1999999979244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>
        <v>1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4"/>
    </row>
    <row r="42" spans="1:39" ht="25.05" customHeight="1">
      <c r="B42" s="13"/>
      <c r="C42" s="29"/>
      <c r="D42" s="30"/>
      <c r="E42" s="19" t="s">
        <v>137</v>
      </c>
      <c r="F42" s="8"/>
      <c r="G42" s="9">
        <v>0.59375</v>
      </c>
      <c r="H42" s="9">
        <v>0.59375</v>
      </c>
      <c r="I42" s="10">
        <f t="shared" si="24"/>
        <v>0</v>
      </c>
      <c r="J42" s="11">
        <v>4</v>
      </c>
      <c r="K42" s="11">
        <v>14.9</v>
      </c>
      <c r="L42" s="16" t="str">
        <f t="shared" si="23"/>
        <v>0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/>
      <c r="AC42" s="11">
        <v>1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4"/>
    </row>
    <row r="43" spans="1:39" ht="25.05" customHeight="1">
      <c r="B43" s="13"/>
      <c r="C43" s="29"/>
      <c r="D43" s="30"/>
      <c r="E43" s="19" t="s">
        <v>138</v>
      </c>
      <c r="F43" s="8"/>
      <c r="G43" s="9">
        <v>0.59444444444444444</v>
      </c>
      <c r="H43" s="9">
        <v>0.59450231481481486</v>
      </c>
      <c r="I43" s="10">
        <f t="shared" si="24"/>
        <v>5.7870370370416424E-5</v>
      </c>
      <c r="J43" s="11">
        <v>4</v>
      </c>
      <c r="K43" s="11">
        <v>15.14</v>
      </c>
      <c r="L43" s="16">
        <f t="shared" si="23"/>
        <v>2725.1999999978311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>
        <v>1</v>
      </c>
      <c r="AD43" s="11"/>
      <c r="AE43" s="11"/>
      <c r="AF43" s="11"/>
      <c r="AG43" s="11"/>
      <c r="AH43" s="11"/>
      <c r="AI43" s="11"/>
      <c r="AJ43" s="11"/>
      <c r="AK43" s="11"/>
      <c r="AL43" s="11"/>
      <c r="AM43" s="14"/>
    </row>
    <row r="44" spans="1:39" ht="25.05" customHeight="1">
      <c r="B44" s="13"/>
      <c r="C44" s="29"/>
      <c r="D44" s="30"/>
      <c r="E44" s="19" t="s">
        <v>139</v>
      </c>
      <c r="F44" s="8"/>
      <c r="G44" s="9">
        <v>0.6</v>
      </c>
      <c r="H44" s="9">
        <v>0.60005787037037039</v>
      </c>
      <c r="I44" s="10">
        <f t="shared" si="24"/>
        <v>5.7870370370416424E-5</v>
      </c>
      <c r="J44" s="11">
        <v>4</v>
      </c>
      <c r="K44" s="11">
        <v>14.3</v>
      </c>
      <c r="L44" s="16">
        <f t="shared" si="23"/>
        <v>2573.9999999979518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>
        <v>1</v>
      </c>
      <c r="AD44" s="11"/>
      <c r="AE44" s="11"/>
      <c r="AF44" s="11"/>
      <c r="AG44" s="11"/>
      <c r="AH44" s="11"/>
      <c r="AI44" s="11"/>
      <c r="AJ44" s="11"/>
      <c r="AK44" s="11"/>
      <c r="AL44" s="11"/>
      <c r="AM44" s="14"/>
    </row>
    <row r="45" spans="1:39" ht="25.05" customHeight="1">
      <c r="B45" s="13"/>
      <c r="C45" s="29"/>
      <c r="D45" s="30"/>
      <c r="E45" s="19" t="s">
        <v>140</v>
      </c>
      <c r="F45" s="8"/>
      <c r="G45" s="9">
        <v>0.60069444444444442</v>
      </c>
      <c r="H45" s="9">
        <v>0.60075231481481484</v>
      </c>
      <c r="I45" s="10">
        <f t="shared" si="24"/>
        <v>5.7870370370416424E-5</v>
      </c>
      <c r="J45" s="11">
        <v>4</v>
      </c>
      <c r="K45" s="11">
        <v>18.77</v>
      </c>
      <c r="L45" s="16">
        <f t="shared" si="23"/>
        <v>3378.5999999973114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/>
      <c r="AC45" s="11">
        <v>1</v>
      </c>
      <c r="AD45" s="11"/>
      <c r="AE45" s="11"/>
      <c r="AF45" s="11"/>
      <c r="AG45" s="11"/>
      <c r="AH45" s="11"/>
      <c r="AI45" s="11"/>
      <c r="AJ45" s="11"/>
      <c r="AK45" s="11"/>
      <c r="AL45" s="11"/>
      <c r="AM45" s="14"/>
    </row>
    <row r="46" spans="1:39" ht="25.05" customHeight="1">
      <c r="B46" s="13"/>
      <c r="C46" s="29"/>
      <c r="D46" s="30"/>
      <c r="E46" s="19" t="s">
        <v>141</v>
      </c>
      <c r="F46" s="8"/>
      <c r="G46" s="9">
        <v>0.61250000000000004</v>
      </c>
      <c r="H46" s="9">
        <v>0.61255787037037035</v>
      </c>
      <c r="I46" s="10">
        <f t="shared" si="24"/>
        <v>5.7870370370305402E-5</v>
      </c>
      <c r="J46" s="11">
        <v>4</v>
      </c>
      <c r="K46" s="11">
        <v>15.25</v>
      </c>
      <c r="L46" s="16">
        <f t="shared" si="23"/>
        <v>2745.0000000030818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/>
      <c r="AC46" s="11">
        <v>1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4"/>
    </row>
    <row r="47" spans="1:39" ht="25.05" customHeight="1">
      <c r="B47" s="13"/>
      <c r="C47" s="29"/>
      <c r="D47" s="30"/>
      <c r="E47" s="19" t="s">
        <v>142</v>
      </c>
      <c r="F47" s="8"/>
      <c r="G47" s="9">
        <v>0.61319444444444449</v>
      </c>
      <c r="H47" s="9">
        <v>0.61325231481481479</v>
      </c>
      <c r="I47" s="10">
        <f t="shared" si="24"/>
        <v>5.7870370370305402E-5</v>
      </c>
      <c r="J47" s="11">
        <v>4</v>
      </c>
      <c r="K47" s="11">
        <v>15.23</v>
      </c>
      <c r="L47" s="16">
        <f t="shared" si="23"/>
        <v>2741.4000000030778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/>
      <c r="AC47" s="11">
        <v>1</v>
      </c>
      <c r="AD47" s="11"/>
      <c r="AE47" s="11"/>
      <c r="AF47" s="11"/>
      <c r="AG47" s="11"/>
      <c r="AH47" s="11"/>
      <c r="AI47" s="11"/>
      <c r="AJ47" s="11"/>
      <c r="AK47" s="11"/>
      <c r="AL47" s="11"/>
      <c r="AM47" s="14"/>
    </row>
    <row r="48" spans="1:39" ht="25.05" customHeight="1">
      <c r="B48" s="13"/>
      <c r="C48" s="29"/>
      <c r="D48" s="30"/>
      <c r="E48" s="19" t="s">
        <v>635</v>
      </c>
      <c r="F48" s="8"/>
      <c r="G48" s="9">
        <v>0.74513888888888891</v>
      </c>
      <c r="H48" s="9">
        <v>0.74513888888888891</v>
      </c>
      <c r="I48" s="10">
        <f t="shared" ref="I48" si="25">H48-G48</f>
        <v>0</v>
      </c>
      <c r="J48" s="11">
        <v>4</v>
      </c>
      <c r="K48" s="11">
        <v>15.32</v>
      </c>
      <c r="L48" s="16" t="str">
        <f t="shared" si="23"/>
        <v>0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>
        <v>2</v>
      </c>
      <c r="AD48" s="11"/>
      <c r="AE48" s="11"/>
      <c r="AF48" s="11"/>
      <c r="AG48" s="11"/>
      <c r="AH48" s="11"/>
      <c r="AI48" s="11"/>
      <c r="AJ48" s="11"/>
      <c r="AK48" s="11"/>
      <c r="AL48" s="11"/>
      <c r="AM48" s="14"/>
    </row>
    <row r="49" spans="2:39" ht="25.05" customHeight="1">
      <c r="B49" s="13"/>
      <c r="C49" s="29"/>
      <c r="D49" s="30"/>
      <c r="E49" s="19" t="s">
        <v>562</v>
      </c>
      <c r="F49" s="8"/>
      <c r="G49" s="9">
        <v>0.36527777777777776</v>
      </c>
      <c r="H49" s="9">
        <v>0.3654513888888889</v>
      </c>
      <c r="I49" s="10">
        <f t="shared" ref="I49" si="26">H49-G49</f>
        <v>1.7361111111113825E-4</v>
      </c>
      <c r="J49" s="11">
        <v>4</v>
      </c>
      <c r="K49" s="11">
        <v>70.47</v>
      </c>
      <c r="L49" s="16">
        <f t="shared" si="23"/>
        <v>4228.1999999993395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/>
      <c r="AC49" s="11">
        <v>1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4"/>
    </row>
    <row r="50" spans="2:39" ht="25.05" customHeight="1">
      <c r="B50" s="13"/>
      <c r="C50" s="29"/>
      <c r="D50" s="30"/>
      <c r="E50" s="19" t="s">
        <v>563</v>
      </c>
      <c r="F50" s="8"/>
      <c r="G50" s="9">
        <v>0.48125000000000001</v>
      </c>
      <c r="H50" s="9">
        <v>0.48142361111111109</v>
      </c>
      <c r="I50" s="10">
        <f t="shared" si="24"/>
        <v>1.7361111111108274E-4</v>
      </c>
      <c r="J50" s="11">
        <v>4</v>
      </c>
      <c r="K50" s="11">
        <v>70.23</v>
      </c>
      <c r="L50" s="16">
        <f t="shared" si="23"/>
        <v>4213.8000000006887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>
        <v>1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4"/>
    </row>
    <row r="51" spans="2:39" ht="25.05" customHeight="1">
      <c r="B51" s="13"/>
      <c r="C51" s="29"/>
      <c r="D51" s="30"/>
      <c r="E51" s="19" t="s">
        <v>564</v>
      </c>
      <c r="F51" s="8"/>
      <c r="G51" s="9">
        <v>0.49861111111111112</v>
      </c>
      <c r="H51" s="9">
        <v>0.4987847222222222</v>
      </c>
      <c r="I51" s="10">
        <f t="shared" si="24"/>
        <v>1.7361111111108274E-4</v>
      </c>
      <c r="J51" s="11">
        <v>4</v>
      </c>
      <c r="K51" s="11">
        <v>14.69</v>
      </c>
      <c r="L51" s="16">
        <f t="shared" si="23"/>
        <v>881.4000000001439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>
        <v>1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4"/>
    </row>
    <row r="52" spans="2:39" ht="25.05" customHeight="1">
      <c r="B52" s="13"/>
      <c r="C52" s="29"/>
      <c r="D52" s="30"/>
      <c r="E52" s="19" t="s">
        <v>565</v>
      </c>
      <c r="F52" s="8"/>
      <c r="G52" s="9">
        <v>0.62916666666666665</v>
      </c>
      <c r="H52" s="9">
        <v>0.62916666666666665</v>
      </c>
      <c r="I52" s="10">
        <f t="shared" si="24"/>
        <v>0</v>
      </c>
      <c r="J52" s="11">
        <v>4</v>
      </c>
      <c r="K52" s="11">
        <f>70.8+14.69</f>
        <v>85.49</v>
      </c>
      <c r="L52" s="16" t="str">
        <f t="shared" si="23"/>
        <v>0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/>
      <c r="AC52" s="11">
        <v>1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4"/>
    </row>
    <row r="53" spans="2:39" ht="25.05" customHeight="1">
      <c r="B53" s="13"/>
      <c r="C53" s="29"/>
      <c r="D53" s="30"/>
      <c r="E53" s="19" t="s">
        <v>566</v>
      </c>
      <c r="F53" s="8"/>
      <c r="G53" s="9">
        <v>0.63749999999999996</v>
      </c>
      <c r="H53" s="9">
        <v>0.63767361111111109</v>
      </c>
      <c r="I53" s="10">
        <f t="shared" si="24"/>
        <v>1.7361111111113825E-4</v>
      </c>
      <c r="J53" s="11">
        <v>4</v>
      </c>
      <c r="K53" s="11">
        <v>70.87</v>
      </c>
      <c r="L53" s="16">
        <f t="shared" si="23"/>
        <v>4252.1999999993359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4"/>
    </row>
    <row r="54" spans="2:39" ht="25.05" customHeight="1">
      <c r="B54" s="13"/>
      <c r="C54" s="29"/>
      <c r="D54" s="30"/>
      <c r="E54" s="19" t="s">
        <v>636</v>
      </c>
      <c r="F54" s="8"/>
      <c r="G54" s="9">
        <v>0.64236111111111116</v>
      </c>
      <c r="H54" s="9">
        <v>0.64253472222222219</v>
      </c>
      <c r="I54" s="10">
        <f t="shared" si="24"/>
        <v>1.7361111111102723E-4</v>
      </c>
      <c r="J54" s="11">
        <v>4</v>
      </c>
      <c r="K54" s="11">
        <v>71.069999999999993</v>
      </c>
      <c r="L54" s="16">
        <f t="shared" si="23"/>
        <v>4264.2000000020598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>
        <v>1</v>
      </c>
      <c r="AD54" s="11"/>
      <c r="AE54" s="11"/>
      <c r="AF54" s="11"/>
      <c r="AG54" s="11"/>
      <c r="AH54" s="11"/>
      <c r="AI54" s="11"/>
      <c r="AJ54" s="11"/>
      <c r="AK54" s="11"/>
      <c r="AL54" s="11"/>
      <c r="AM54" s="14"/>
    </row>
    <row r="55" spans="2:39" ht="25.05" customHeight="1">
      <c r="B55" s="13"/>
      <c r="C55" s="29"/>
      <c r="D55" s="30"/>
      <c r="E55" s="19" t="s">
        <v>637</v>
      </c>
      <c r="F55" s="8"/>
      <c r="G55" s="9">
        <v>0.65</v>
      </c>
      <c r="H55" s="9">
        <v>0.65017361111111116</v>
      </c>
      <c r="I55" s="10">
        <f t="shared" si="24"/>
        <v>1.7361111111113825E-4</v>
      </c>
      <c r="J55" s="11">
        <v>4</v>
      </c>
      <c r="K55" s="11">
        <v>74.19</v>
      </c>
      <c r="L55" s="16">
        <f t="shared" si="23"/>
        <v>4451.3999999993039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/>
      <c r="AC55" s="11">
        <v>1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4"/>
    </row>
    <row r="56" spans="2:39" ht="25.05" customHeight="1">
      <c r="B56" s="13"/>
      <c r="C56" s="29"/>
      <c r="D56" s="30"/>
      <c r="E56" s="19" t="s">
        <v>638</v>
      </c>
      <c r="F56" s="8"/>
      <c r="G56" s="9">
        <v>0.65763888888888888</v>
      </c>
      <c r="H56" s="9">
        <v>0.65781250000000002</v>
      </c>
      <c r="I56" s="10">
        <f t="shared" si="24"/>
        <v>1.7361111111113825E-4</v>
      </c>
      <c r="J56" s="11">
        <v>4</v>
      </c>
      <c r="K56" s="11">
        <v>72.56</v>
      </c>
      <c r="L56" s="16">
        <f t="shared" si="23"/>
        <v>4353.5999999993192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>
        <v>1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4"/>
    </row>
    <row r="57" spans="2:39" ht="25.05" customHeight="1">
      <c r="B57" s="13"/>
      <c r="C57" s="29"/>
      <c r="D57" s="30"/>
      <c r="E57" s="19" t="s">
        <v>639</v>
      </c>
      <c r="F57" s="8"/>
      <c r="G57" s="9">
        <v>0.70902777777777781</v>
      </c>
      <c r="H57" s="9">
        <v>0.70902777777777781</v>
      </c>
      <c r="I57" s="10">
        <f t="shared" si="24"/>
        <v>0</v>
      </c>
      <c r="J57" s="11">
        <v>4</v>
      </c>
      <c r="K57" s="11">
        <v>73.55</v>
      </c>
      <c r="L57" s="16" t="str">
        <f>IFERROR(((K57/(J57*I57)/24)),"0")</f>
        <v>0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/>
      <c r="Z57" s="11"/>
      <c r="AA57" s="11"/>
      <c r="AB57" s="11"/>
      <c r="AC57" s="11">
        <v>1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4"/>
    </row>
    <row r="58" spans="2:39" ht="25.05" customHeight="1">
      <c r="B58" s="13"/>
      <c r="C58" s="29"/>
      <c r="D58" s="30"/>
      <c r="E58" s="19" t="s">
        <v>640</v>
      </c>
      <c r="F58" s="8"/>
      <c r="G58" s="9">
        <v>0.73055555555555551</v>
      </c>
      <c r="H58" s="9">
        <v>0.73055555555555551</v>
      </c>
      <c r="I58" s="10">
        <f t="shared" si="24"/>
        <v>0</v>
      </c>
      <c r="J58" s="11">
        <v>4</v>
      </c>
      <c r="K58" s="11">
        <v>73.430000000000007</v>
      </c>
      <c r="L58" s="16" t="str">
        <f t="shared" si="23"/>
        <v>0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/>
      <c r="Y58" s="11"/>
      <c r="Z58" s="11"/>
      <c r="AA58" s="11"/>
      <c r="AB58" s="11"/>
      <c r="AC58" s="11">
        <v>1</v>
      </c>
      <c r="AD58" s="11"/>
      <c r="AE58" s="11"/>
      <c r="AF58" s="11"/>
      <c r="AG58" s="11"/>
      <c r="AH58" s="11"/>
      <c r="AI58" s="11"/>
      <c r="AJ58" s="11"/>
      <c r="AK58" s="11"/>
      <c r="AL58" s="11"/>
      <c r="AM58" s="14"/>
    </row>
    <row r="59" spans="2:39" ht="25.05" customHeight="1">
      <c r="B59" s="13"/>
      <c r="C59" s="29"/>
      <c r="D59" s="30"/>
      <c r="E59" s="19" t="s">
        <v>641</v>
      </c>
      <c r="F59" s="8"/>
      <c r="G59" s="9">
        <v>0.73055555555555551</v>
      </c>
      <c r="H59" s="9">
        <v>0.73055555555555551</v>
      </c>
      <c r="I59" s="10">
        <f t="shared" si="24"/>
        <v>0</v>
      </c>
      <c r="J59" s="11">
        <v>4</v>
      </c>
      <c r="K59" s="11">
        <v>73.430000000000007</v>
      </c>
      <c r="L59" s="16" t="str">
        <f t="shared" si="23"/>
        <v>0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/>
      <c r="AB59" s="11"/>
      <c r="AC59" s="11">
        <v>1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4"/>
    </row>
    <row r="60" spans="2:39" ht="25.05" customHeight="1">
      <c r="B60" s="13"/>
      <c r="C60" s="29"/>
      <c r="D60" s="30"/>
      <c r="E60" s="19" t="s">
        <v>642</v>
      </c>
      <c r="F60" s="8"/>
      <c r="G60" s="9">
        <v>0.73819444444444449</v>
      </c>
      <c r="H60" s="9">
        <v>0.73819444444444449</v>
      </c>
      <c r="I60" s="10">
        <f t="shared" si="24"/>
        <v>0</v>
      </c>
      <c r="J60" s="11">
        <v>4</v>
      </c>
      <c r="K60" s="11">
        <v>76.36</v>
      </c>
      <c r="L60" s="16" t="str">
        <f t="shared" si="23"/>
        <v>0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4"/>
    </row>
    <row r="61" spans="2:39" ht="25.05" customHeight="1">
      <c r="B61" s="13"/>
      <c r="C61" s="29"/>
      <c r="D61" s="30"/>
      <c r="E61" s="19" t="s">
        <v>643</v>
      </c>
      <c r="F61" s="8"/>
      <c r="G61" s="9">
        <v>0.3611111111111111</v>
      </c>
      <c r="H61" s="9">
        <v>0.36666666666666664</v>
      </c>
      <c r="I61" s="10">
        <f t="shared" si="24"/>
        <v>5.5555555555555358E-3</v>
      </c>
      <c r="J61" s="11">
        <v>4</v>
      </c>
      <c r="K61" s="11">
        <v>69.17</v>
      </c>
      <c r="L61" s="16">
        <f t="shared" si="23"/>
        <v>129.69375000000045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/>
      <c r="AA61" s="11"/>
      <c r="AB61" s="11"/>
      <c r="AC61" s="11"/>
      <c r="AD61" s="11">
        <v>8</v>
      </c>
      <c r="AE61" s="11"/>
      <c r="AF61" s="11"/>
      <c r="AG61" s="11"/>
      <c r="AH61" s="11"/>
      <c r="AI61" s="11"/>
      <c r="AJ61" s="11"/>
      <c r="AK61" s="11"/>
      <c r="AL61" s="11"/>
      <c r="AM61" s="14"/>
    </row>
    <row r="62" spans="2:39" ht="25.05" customHeight="1">
      <c r="B62" s="13"/>
      <c r="C62" s="29"/>
      <c r="D62" s="30"/>
      <c r="E62" s="19" t="s">
        <v>644</v>
      </c>
      <c r="F62" s="8"/>
      <c r="G62" s="9">
        <v>0.37152777777777779</v>
      </c>
      <c r="H62" s="9">
        <v>0.375</v>
      </c>
      <c r="I62" s="10">
        <f t="shared" si="24"/>
        <v>3.4722222222222099E-3</v>
      </c>
      <c r="J62" s="11">
        <v>4</v>
      </c>
      <c r="K62" s="11">
        <v>67.680000000000007</v>
      </c>
      <c r="L62" s="16">
        <f t="shared" si="23"/>
        <v>203.04000000000076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/>
      <c r="AA62" s="11"/>
      <c r="AB62" s="11"/>
      <c r="AC62" s="11"/>
      <c r="AD62" s="11">
        <v>5</v>
      </c>
      <c r="AE62" s="11"/>
      <c r="AF62" s="11"/>
      <c r="AG62" s="11"/>
      <c r="AH62" s="11"/>
      <c r="AI62" s="11"/>
      <c r="AJ62" s="11"/>
      <c r="AK62" s="11"/>
      <c r="AL62" s="11"/>
      <c r="AM62" s="14"/>
    </row>
    <row r="63" spans="2:39" ht="25.05" customHeight="1">
      <c r="B63" s="13"/>
      <c r="C63" s="29"/>
      <c r="D63" s="30"/>
      <c r="E63" s="19" t="s">
        <v>645</v>
      </c>
      <c r="F63" s="8"/>
      <c r="G63" s="9">
        <v>0.42638888888888887</v>
      </c>
      <c r="H63" s="9">
        <v>0.42986111111111114</v>
      </c>
      <c r="I63" s="10">
        <f t="shared" si="24"/>
        <v>3.4722222222222654E-3</v>
      </c>
      <c r="J63" s="11">
        <v>4</v>
      </c>
      <c r="K63" s="11">
        <v>71.150000000000006</v>
      </c>
      <c r="L63" s="16">
        <f t="shared" si="23"/>
        <v>213.44999999999735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/>
      <c r="AC63" s="11"/>
      <c r="AD63" s="11">
        <v>5</v>
      </c>
      <c r="AE63" s="11"/>
      <c r="AF63" s="11"/>
      <c r="AG63" s="11"/>
      <c r="AH63" s="11"/>
      <c r="AI63" s="11"/>
      <c r="AJ63" s="11"/>
      <c r="AK63" s="11"/>
      <c r="AL63" s="11"/>
      <c r="AM63" s="14"/>
    </row>
    <row r="64" spans="2:39" ht="25.05" customHeight="1">
      <c r="B64" s="13"/>
      <c r="C64" s="29"/>
      <c r="D64" s="30"/>
      <c r="E64" s="19" t="s">
        <v>646</v>
      </c>
      <c r="F64" s="8"/>
      <c r="G64" s="9">
        <v>0.49583333333333335</v>
      </c>
      <c r="H64" s="9">
        <v>0.51666666666666672</v>
      </c>
      <c r="I64" s="10">
        <f t="shared" si="24"/>
        <v>2.083333333333337E-2</v>
      </c>
      <c r="J64" s="11">
        <v>4</v>
      </c>
      <c r="K64" s="11">
        <v>63.42</v>
      </c>
      <c r="L64" s="16">
        <f t="shared" si="23"/>
        <v>31.709999999999948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/>
      <c r="Z64" s="11"/>
      <c r="AA64" s="11"/>
      <c r="AB64" s="11"/>
      <c r="AC64" s="11"/>
      <c r="AD64" s="11">
        <v>30</v>
      </c>
      <c r="AE64" s="11"/>
      <c r="AF64" s="11"/>
      <c r="AG64" s="11"/>
      <c r="AH64" s="11"/>
      <c r="AI64" s="11"/>
      <c r="AJ64" s="11"/>
      <c r="AK64" s="11"/>
      <c r="AL64" s="11"/>
      <c r="AM64" s="14"/>
    </row>
    <row r="65" spans="2:39" ht="25.05" customHeight="1">
      <c r="B65" s="13"/>
      <c r="C65" s="29"/>
      <c r="D65" s="30"/>
      <c r="E65" s="19" t="s">
        <v>647</v>
      </c>
      <c r="F65" s="8"/>
      <c r="G65" s="9">
        <v>0.57291666666666663</v>
      </c>
      <c r="H65" s="9">
        <v>0.57847222222222228</v>
      </c>
      <c r="I65" s="10">
        <f t="shared" si="24"/>
        <v>5.5555555555556468E-3</v>
      </c>
      <c r="J65" s="11">
        <v>4</v>
      </c>
      <c r="K65" s="11">
        <v>65.72</v>
      </c>
      <c r="L65" s="16">
        <f t="shared" si="23"/>
        <v>123.22499999999798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/>
      <c r="AC65" s="11"/>
      <c r="AD65" s="11">
        <v>8</v>
      </c>
      <c r="AE65" s="11"/>
      <c r="AF65" s="11"/>
      <c r="AG65" s="11"/>
      <c r="AH65" s="11"/>
      <c r="AI65" s="11"/>
      <c r="AJ65" s="11"/>
      <c r="AK65" s="11"/>
      <c r="AL65" s="11"/>
      <c r="AM65" s="14"/>
    </row>
    <row r="66" spans="2:39" ht="25.05" customHeight="1">
      <c r="B66" s="13"/>
      <c r="C66" s="29"/>
      <c r="D66" s="30"/>
      <c r="E66" s="19" t="s">
        <v>648</v>
      </c>
      <c r="F66" s="8"/>
      <c r="G66" s="9">
        <v>0.58472222222222225</v>
      </c>
      <c r="H66" s="9">
        <v>0.58958333333333335</v>
      </c>
      <c r="I66" s="10">
        <f t="shared" si="24"/>
        <v>4.8611111111110938E-3</v>
      </c>
      <c r="J66" s="11">
        <v>4</v>
      </c>
      <c r="K66" s="11">
        <v>69.61</v>
      </c>
      <c r="L66" s="16">
        <f t="shared" si="23"/>
        <v>149.16428571428625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/>
      <c r="AA66" s="11"/>
      <c r="AB66" s="11"/>
      <c r="AC66" s="11"/>
      <c r="AD66" s="11">
        <v>7</v>
      </c>
      <c r="AE66" s="11"/>
      <c r="AF66" s="11"/>
      <c r="AG66" s="11"/>
      <c r="AH66" s="11"/>
      <c r="AI66" s="11"/>
      <c r="AJ66" s="11"/>
      <c r="AK66" s="11"/>
      <c r="AL66" s="11"/>
      <c r="AM66" s="14"/>
    </row>
    <row r="67" spans="2:39" ht="25.05" customHeight="1">
      <c r="B67" s="13"/>
      <c r="C67" s="29"/>
      <c r="D67" s="30"/>
      <c r="E67" s="19" t="s">
        <v>649</v>
      </c>
      <c r="F67" s="8"/>
      <c r="G67" s="9">
        <v>0.66527777777777775</v>
      </c>
      <c r="H67" s="9">
        <v>0.6694444444444444</v>
      </c>
      <c r="I67" s="10">
        <f t="shared" si="24"/>
        <v>4.1666666666666519E-3</v>
      </c>
      <c r="J67" s="11">
        <v>4</v>
      </c>
      <c r="K67" s="11">
        <v>75.02</v>
      </c>
      <c r="L67" s="16">
        <f t="shared" si="23"/>
        <v>187.55000000000067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/>
      <c r="AC67" s="11"/>
      <c r="AD67" s="11">
        <v>6</v>
      </c>
      <c r="AE67" s="11"/>
      <c r="AF67" s="11"/>
      <c r="AG67" s="11"/>
      <c r="AH67" s="11"/>
      <c r="AI67" s="11"/>
      <c r="AJ67" s="11"/>
      <c r="AK67" s="11"/>
      <c r="AL67" s="11"/>
      <c r="AM67" s="14"/>
    </row>
    <row r="68" spans="2:39" ht="25.05" customHeight="1">
      <c r="B68" s="13"/>
      <c r="C68" s="29"/>
      <c r="D68" s="30"/>
      <c r="E68" s="19" t="s">
        <v>650</v>
      </c>
      <c r="F68" s="8"/>
      <c r="G68" s="9">
        <v>0.68541666666666667</v>
      </c>
      <c r="H68" s="9">
        <v>0.68819444444444444</v>
      </c>
      <c r="I68" s="10">
        <f t="shared" si="24"/>
        <v>2.7777777777777679E-3</v>
      </c>
      <c r="J68" s="11">
        <v>4</v>
      </c>
      <c r="K68" s="11">
        <v>66.94</v>
      </c>
      <c r="L68" s="16">
        <f t="shared" si="23"/>
        <v>251.02500000000089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/>
      <c r="AA68" s="11"/>
      <c r="AB68" s="11"/>
      <c r="AC68" s="11"/>
      <c r="AD68" s="11">
        <v>4</v>
      </c>
      <c r="AE68" s="11"/>
      <c r="AF68" s="11"/>
      <c r="AG68" s="11"/>
      <c r="AH68" s="11"/>
      <c r="AI68" s="11"/>
      <c r="AJ68" s="11"/>
      <c r="AK68" s="11"/>
      <c r="AL68" s="11"/>
      <c r="AM68" s="14"/>
    </row>
    <row r="69" spans="2:39" ht="25.05" customHeight="1">
      <c r="B69" s="13"/>
      <c r="C69" s="29"/>
      <c r="D69" s="30"/>
      <c r="E69" s="19" t="s">
        <v>651</v>
      </c>
      <c r="F69" s="8"/>
      <c r="G69" s="9">
        <v>0.69444444444444442</v>
      </c>
      <c r="H69" s="9">
        <v>0.69722222222222219</v>
      </c>
      <c r="I69" s="10">
        <f t="shared" si="24"/>
        <v>2.7777777777777679E-3</v>
      </c>
      <c r="J69" s="11">
        <v>4</v>
      </c>
      <c r="K69" s="11">
        <v>66.56</v>
      </c>
      <c r="L69" s="16">
        <f t="shared" si="23"/>
        <v>249.6000000000009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/>
      <c r="AC69" s="11"/>
      <c r="AD69" s="11">
        <v>4</v>
      </c>
      <c r="AE69" s="11"/>
      <c r="AF69" s="11"/>
      <c r="AG69" s="11"/>
      <c r="AH69" s="11"/>
      <c r="AI69" s="11"/>
      <c r="AJ69" s="11"/>
      <c r="AK69" s="11"/>
      <c r="AL69" s="11"/>
      <c r="AM69" s="14"/>
    </row>
    <row r="70" spans="2:39" ht="25.05" customHeight="1">
      <c r="B70" s="13"/>
      <c r="C70" s="29"/>
      <c r="D70" s="30"/>
      <c r="E70" s="19" t="s">
        <v>652</v>
      </c>
      <c r="F70" s="8"/>
      <c r="G70" s="9">
        <v>0.70416666666666672</v>
      </c>
      <c r="H70" s="9">
        <v>0.70763888888888893</v>
      </c>
      <c r="I70" s="10">
        <f t="shared" si="24"/>
        <v>3.4722222222222099E-3</v>
      </c>
      <c r="J70" s="11">
        <v>4</v>
      </c>
      <c r="K70" s="11">
        <v>71.98</v>
      </c>
      <c r="L70" s="16">
        <f t="shared" si="23"/>
        <v>215.94000000000077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/>
      <c r="AA70" s="11"/>
      <c r="AB70" s="11"/>
      <c r="AC70" s="11"/>
      <c r="AD70" s="11">
        <v>5</v>
      </c>
      <c r="AE70" s="11"/>
      <c r="AF70" s="11"/>
      <c r="AG70" s="11"/>
      <c r="AH70" s="11"/>
      <c r="AI70" s="11"/>
      <c r="AJ70" s="11"/>
      <c r="AK70" s="11"/>
      <c r="AL70" s="11"/>
      <c r="AM70" s="14"/>
    </row>
    <row r="71" spans="2:39" ht="25.05" customHeight="1">
      <c r="B71" s="13"/>
      <c r="C71" s="29"/>
      <c r="D71" s="30"/>
      <c r="E71" s="19" t="s">
        <v>653</v>
      </c>
      <c r="F71" s="8"/>
      <c r="G71" s="9">
        <v>0.71319444444444446</v>
      </c>
      <c r="H71" s="9">
        <v>0.71597222222222223</v>
      </c>
      <c r="I71" s="10">
        <f t="shared" si="24"/>
        <v>2.7777777777777679E-3</v>
      </c>
      <c r="J71" s="11">
        <v>4</v>
      </c>
      <c r="K71" s="11">
        <v>74.38</v>
      </c>
      <c r="L71" s="16">
        <f t="shared" si="23"/>
        <v>278.92500000000098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/>
      <c r="AB71" s="11"/>
      <c r="AC71" s="11"/>
      <c r="AD71" s="11">
        <v>4</v>
      </c>
      <c r="AE71" s="11"/>
      <c r="AF71" s="11"/>
      <c r="AG71" s="11"/>
      <c r="AH71" s="11"/>
      <c r="AI71" s="11"/>
      <c r="AJ71" s="11"/>
      <c r="AK71" s="11"/>
      <c r="AL71" s="11"/>
      <c r="AM71" s="14"/>
    </row>
    <row r="72" spans="2:39" ht="25.05" customHeight="1">
      <c r="B72" s="13"/>
      <c r="C72" s="29"/>
      <c r="D72" s="30"/>
      <c r="E72" s="19" t="s">
        <v>654</v>
      </c>
      <c r="F72" s="8"/>
      <c r="G72" s="9">
        <v>0.7270833333333333</v>
      </c>
      <c r="H72" s="9">
        <v>0.72916666666666663</v>
      </c>
      <c r="I72" s="10">
        <f t="shared" si="24"/>
        <v>2.0833333333333259E-3</v>
      </c>
      <c r="J72" s="11">
        <v>4</v>
      </c>
      <c r="K72" s="11">
        <v>69.25</v>
      </c>
      <c r="L72" s="16">
        <f t="shared" si="23"/>
        <v>346.25000000000119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2</v>
      </c>
      <c r="W72" s="12"/>
      <c r="X72" s="11"/>
      <c r="Y72" s="11"/>
      <c r="Z72" s="11"/>
      <c r="AA72" s="11"/>
      <c r="AB72" s="11"/>
      <c r="AC72" s="11"/>
      <c r="AD72" s="11">
        <v>3</v>
      </c>
      <c r="AE72" s="11"/>
      <c r="AF72" s="11"/>
      <c r="AG72" s="11"/>
      <c r="AH72" s="11"/>
      <c r="AI72" s="11"/>
      <c r="AJ72" s="11"/>
      <c r="AK72" s="11"/>
      <c r="AL72" s="11"/>
      <c r="AM72" s="14"/>
    </row>
    <row r="73" spans="2:39" ht="25.05" customHeight="1">
      <c r="B73" s="13"/>
      <c r="C73" s="29"/>
      <c r="D73" s="30"/>
      <c r="E73" s="19" t="s">
        <v>655</v>
      </c>
      <c r="F73" s="8"/>
      <c r="G73" s="9">
        <v>0.75069444444444444</v>
      </c>
      <c r="H73" s="9">
        <v>0.75347222222222221</v>
      </c>
      <c r="I73" s="10">
        <f t="shared" si="24"/>
        <v>2.7777777777777679E-3</v>
      </c>
      <c r="J73" s="11">
        <v>4</v>
      </c>
      <c r="K73" s="11">
        <v>70.680000000000007</v>
      </c>
      <c r="L73" s="16">
        <f t="shared" si="23"/>
        <v>265.05000000000098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2</v>
      </c>
      <c r="W73" s="12"/>
      <c r="X73" s="11"/>
      <c r="Y73" s="11"/>
      <c r="Z73" s="11"/>
      <c r="AA73" s="11"/>
      <c r="AB73" s="11"/>
      <c r="AC73" s="11"/>
      <c r="AD73" s="11">
        <v>4</v>
      </c>
      <c r="AE73" s="11"/>
      <c r="AF73" s="11"/>
      <c r="AG73" s="11"/>
      <c r="AH73" s="11"/>
      <c r="AI73" s="11"/>
      <c r="AJ73" s="11"/>
      <c r="AK73" s="11"/>
      <c r="AL73" s="11"/>
      <c r="AM73" s="14"/>
    </row>
    <row r="74" spans="2:39" ht="25.05" customHeight="1">
      <c r="B74" s="13"/>
      <c r="C74" s="29"/>
      <c r="D74" s="30"/>
      <c r="E74" s="19" t="s">
        <v>656</v>
      </c>
      <c r="F74" s="8"/>
      <c r="G74" s="9">
        <v>0.75902777777777775</v>
      </c>
      <c r="H74" s="9">
        <v>0.76111111111111107</v>
      </c>
      <c r="I74" s="10">
        <f t="shared" si="24"/>
        <v>2.0833333333333259E-3</v>
      </c>
      <c r="J74" s="11">
        <v>4</v>
      </c>
      <c r="K74" s="11">
        <v>71.38</v>
      </c>
      <c r="L74" s="16">
        <f t="shared" si="23"/>
        <v>356.90000000000123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/>
      <c r="Y74" s="11"/>
      <c r="Z74" s="11"/>
      <c r="AA74" s="11"/>
      <c r="AB74" s="11"/>
      <c r="AC74" s="11"/>
      <c r="AD74" s="11">
        <v>4</v>
      </c>
      <c r="AE74" s="11"/>
      <c r="AF74" s="11"/>
      <c r="AG74" s="11"/>
      <c r="AH74" s="11"/>
      <c r="AI74" s="11"/>
      <c r="AJ74" s="11"/>
      <c r="AK74" s="11"/>
      <c r="AL74" s="11"/>
      <c r="AM74" s="14"/>
    </row>
    <row r="75" spans="2:39" ht="25.05" customHeight="1">
      <c r="B75" s="13"/>
      <c r="C75" s="29"/>
      <c r="D75" s="30"/>
      <c r="E75" s="19" t="s">
        <v>440</v>
      </c>
      <c r="F75" s="8"/>
      <c r="G75" s="9">
        <v>0.5708333333333333</v>
      </c>
      <c r="H75" s="9">
        <v>0.58194444444444449</v>
      </c>
      <c r="I75" s="10">
        <f t="shared" si="24"/>
        <v>1.1111111111111183E-2</v>
      </c>
      <c r="J75" s="11">
        <v>8</v>
      </c>
      <c r="K75" s="11">
        <v>133.44</v>
      </c>
      <c r="L75" s="16">
        <f t="shared" si="23"/>
        <v>62.549999999999592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/>
      <c r="Z75" s="11"/>
      <c r="AA75" s="11"/>
      <c r="AB75" s="11"/>
      <c r="AC75" s="11"/>
      <c r="AD75" s="11">
        <v>16</v>
      </c>
      <c r="AE75" s="11"/>
      <c r="AF75" s="11"/>
      <c r="AG75" s="11"/>
      <c r="AH75" s="11"/>
      <c r="AI75" s="11"/>
      <c r="AJ75" s="11"/>
      <c r="AK75" s="11"/>
      <c r="AL75" s="11"/>
      <c r="AM75" s="14"/>
    </row>
    <row r="76" spans="2:39" ht="25.05" customHeight="1">
      <c r="B76" s="13"/>
      <c r="C76" s="29"/>
      <c r="D76" s="30"/>
      <c r="E76" s="19" t="s">
        <v>441</v>
      </c>
      <c r="F76" s="8"/>
      <c r="G76" s="9">
        <v>0.58611111111111114</v>
      </c>
      <c r="H76" s="9">
        <v>0.59791666666666665</v>
      </c>
      <c r="I76" s="10">
        <f t="shared" si="24"/>
        <v>1.1805555555555514E-2</v>
      </c>
      <c r="J76" s="11">
        <v>8</v>
      </c>
      <c r="K76" s="11">
        <v>134.36000000000001</v>
      </c>
      <c r="L76" s="16">
        <f t="shared" si="23"/>
        <v>59.276470588235505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/>
      <c r="AA76" s="11"/>
      <c r="AB76" s="11"/>
      <c r="AC76" s="11"/>
      <c r="AD76" s="11">
        <v>17</v>
      </c>
      <c r="AE76" s="11"/>
      <c r="AF76" s="11"/>
      <c r="AG76" s="11"/>
      <c r="AH76" s="11"/>
      <c r="AI76" s="11"/>
      <c r="AJ76" s="11"/>
      <c r="AK76" s="11"/>
      <c r="AL76" s="11"/>
      <c r="AM76" s="14"/>
    </row>
    <row r="77" spans="2:39" ht="25.05" customHeight="1">
      <c r="B77" s="13"/>
      <c r="C77" s="29"/>
      <c r="D77" s="30"/>
      <c r="E77" s="19" t="s">
        <v>442</v>
      </c>
      <c r="F77" s="8"/>
      <c r="G77" s="9">
        <v>0.61597222222222225</v>
      </c>
      <c r="H77" s="9">
        <v>0.62569444444444444</v>
      </c>
      <c r="I77" s="10">
        <f t="shared" si="24"/>
        <v>9.7222222222221877E-3</v>
      </c>
      <c r="J77" s="11">
        <v>8</v>
      </c>
      <c r="K77" s="11">
        <v>135.38999999999999</v>
      </c>
      <c r="L77" s="16">
        <f t="shared" si="23"/>
        <v>72.530357142857397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/>
      <c r="AA77" s="11"/>
      <c r="AB77" s="11"/>
      <c r="AC77" s="11"/>
      <c r="AD77" s="11">
        <v>14</v>
      </c>
      <c r="AE77" s="11"/>
      <c r="AF77" s="11"/>
      <c r="AG77" s="11"/>
      <c r="AH77" s="11"/>
      <c r="AI77" s="11"/>
      <c r="AJ77" s="11"/>
      <c r="AK77" s="11"/>
      <c r="AL77" s="11"/>
      <c r="AM77" s="14"/>
    </row>
    <row r="78" spans="2:39" ht="25.05" customHeight="1">
      <c r="B78" s="13"/>
      <c r="C78" s="29"/>
      <c r="D78" s="30"/>
      <c r="E78" s="19" t="s">
        <v>443</v>
      </c>
      <c r="F78" s="8"/>
      <c r="G78" s="9">
        <v>0.62916666666666665</v>
      </c>
      <c r="H78" s="9">
        <v>0.63888888888888884</v>
      </c>
      <c r="I78" s="10">
        <f t="shared" si="24"/>
        <v>9.7222222222221877E-3</v>
      </c>
      <c r="J78" s="11">
        <v>8</v>
      </c>
      <c r="K78" s="11">
        <v>137.52000000000001</v>
      </c>
      <c r="L78" s="16">
        <f t="shared" si="23"/>
        <v>73.671428571428848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/>
      <c r="Z78" s="11"/>
      <c r="AA78" s="11"/>
      <c r="AB78" s="11"/>
      <c r="AC78" s="11"/>
      <c r="AD78" s="11">
        <v>14</v>
      </c>
      <c r="AE78" s="11"/>
      <c r="AF78" s="11"/>
      <c r="AG78" s="11"/>
      <c r="AH78" s="11"/>
      <c r="AI78" s="11"/>
      <c r="AJ78" s="11"/>
      <c r="AK78" s="11"/>
      <c r="AL78" s="11"/>
      <c r="AM78" s="14"/>
    </row>
    <row r="79" spans="2:39" ht="25.05" customHeight="1">
      <c r="B79" s="13"/>
      <c r="C79" s="29"/>
      <c r="D79" s="30"/>
      <c r="E79" s="19" t="s">
        <v>444</v>
      </c>
      <c r="F79" s="8"/>
      <c r="G79" s="9">
        <v>0.6430555555555556</v>
      </c>
      <c r="H79" s="9">
        <v>0.65277777777777779</v>
      </c>
      <c r="I79" s="10">
        <f t="shared" si="24"/>
        <v>9.7222222222221877E-3</v>
      </c>
      <c r="J79" s="11">
        <v>8</v>
      </c>
      <c r="K79" s="11">
        <v>136.76</v>
      </c>
      <c r="L79" s="16">
        <f t="shared" si="23"/>
        <v>73.264285714285975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/>
      <c r="Z79" s="11"/>
      <c r="AA79" s="11"/>
      <c r="AB79" s="11"/>
      <c r="AC79" s="11"/>
      <c r="AD79" s="11">
        <v>14</v>
      </c>
      <c r="AE79" s="11"/>
      <c r="AF79" s="11"/>
      <c r="AG79" s="11"/>
      <c r="AH79" s="11"/>
      <c r="AI79" s="11"/>
      <c r="AJ79" s="11"/>
      <c r="AK79" s="11"/>
      <c r="AL79" s="11"/>
      <c r="AM79" s="14"/>
    </row>
    <row r="80" spans="2:39" ht="25.05" customHeight="1">
      <c r="B80" s="13"/>
      <c r="C80" s="29"/>
      <c r="D80" s="30"/>
      <c r="E80" s="19" t="s">
        <v>657</v>
      </c>
      <c r="F80" s="8"/>
      <c r="G80" s="9">
        <v>0.70694444444444449</v>
      </c>
      <c r="H80" s="9">
        <v>0.71666666666666667</v>
      </c>
      <c r="I80" s="10">
        <f t="shared" si="24"/>
        <v>9.7222222222221877E-3</v>
      </c>
      <c r="J80" s="11">
        <v>8</v>
      </c>
      <c r="K80" s="11">
        <v>137.24</v>
      </c>
      <c r="L80" s="16">
        <f t="shared" si="23"/>
        <v>73.521428571428842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/>
      <c r="Y80" s="11"/>
      <c r="Z80" s="11"/>
      <c r="AA80" s="11"/>
      <c r="AB80" s="11"/>
      <c r="AC80" s="11"/>
      <c r="AD80" s="11">
        <v>14</v>
      </c>
      <c r="AE80" s="11"/>
      <c r="AF80" s="11"/>
      <c r="AG80" s="11"/>
      <c r="AH80" s="11"/>
      <c r="AI80" s="11"/>
      <c r="AJ80" s="11"/>
      <c r="AK80" s="11"/>
      <c r="AL80" s="11"/>
      <c r="AM80" s="14"/>
    </row>
    <row r="81" spans="2:39" ht="25.05" customHeight="1">
      <c r="B81" s="13"/>
      <c r="C81" s="29"/>
      <c r="D81" s="30"/>
      <c r="E81" s="19" t="s">
        <v>658</v>
      </c>
      <c r="F81" s="8"/>
      <c r="G81" s="9">
        <v>0.71875</v>
      </c>
      <c r="H81" s="9">
        <v>0.72847222222222219</v>
      </c>
      <c r="I81" s="10">
        <f t="shared" si="24"/>
        <v>9.7222222222221877E-3</v>
      </c>
      <c r="J81" s="11">
        <v>8</v>
      </c>
      <c r="K81" s="11">
        <v>133.62</v>
      </c>
      <c r="L81" s="16">
        <f t="shared" si="23"/>
        <v>71.582142857143111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/>
      <c r="Z81" s="11"/>
      <c r="AA81" s="11"/>
      <c r="AB81" s="11"/>
      <c r="AC81" s="11"/>
      <c r="AD81" s="11">
        <v>14</v>
      </c>
      <c r="AE81" s="11"/>
      <c r="AF81" s="11"/>
      <c r="AG81" s="11"/>
      <c r="AH81" s="11"/>
      <c r="AI81" s="11"/>
      <c r="AJ81" s="11"/>
      <c r="AK81" s="11"/>
      <c r="AL81" s="11"/>
      <c r="AM81" s="14"/>
    </row>
    <row r="82" spans="2:39" ht="25.05" customHeight="1">
      <c r="B82" s="13"/>
      <c r="C82" s="29"/>
      <c r="D82" s="30"/>
      <c r="E82" s="19" t="s">
        <v>659</v>
      </c>
      <c r="F82" s="8"/>
      <c r="G82" s="9">
        <v>0.73055555555555551</v>
      </c>
      <c r="H82" s="9">
        <v>0.7416666666666667</v>
      </c>
      <c r="I82" s="10">
        <f t="shared" si="24"/>
        <v>1.1111111111111183E-2</v>
      </c>
      <c r="J82" s="11">
        <v>8</v>
      </c>
      <c r="K82" s="11">
        <v>136.85</v>
      </c>
      <c r="L82" s="16">
        <f t="shared" si="23"/>
        <v>64.148437499999588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2</v>
      </c>
      <c r="X82" s="11"/>
      <c r="Y82" s="11"/>
      <c r="Z82" s="11"/>
      <c r="AA82" s="11"/>
      <c r="AB82" s="11"/>
      <c r="AC82" s="11"/>
      <c r="AD82" s="11">
        <v>16</v>
      </c>
      <c r="AE82" s="11"/>
      <c r="AF82" s="11"/>
      <c r="AG82" s="11"/>
      <c r="AH82" s="11"/>
      <c r="AI82" s="11"/>
      <c r="AJ82" s="11"/>
      <c r="AK82" s="11"/>
      <c r="AL82" s="11"/>
      <c r="AM82" s="14"/>
    </row>
    <row r="83" spans="2:39" ht="25.05" customHeight="1">
      <c r="B83" s="13"/>
      <c r="C83" s="29"/>
      <c r="D83" s="30"/>
      <c r="E83" s="19" t="s">
        <v>660</v>
      </c>
      <c r="F83" s="8"/>
      <c r="G83" s="9">
        <v>0.74375000000000002</v>
      </c>
      <c r="H83" s="9">
        <v>0.75416666666666665</v>
      </c>
      <c r="I83" s="10">
        <f t="shared" si="24"/>
        <v>1.041666666666663E-2</v>
      </c>
      <c r="J83" s="11">
        <v>8</v>
      </c>
      <c r="K83" s="11">
        <v>136.61000000000001</v>
      </c>
      <c r="L83" s="16">
        <f t="shared" ref="L83:L85" si="27">IFERROR(((K83/(J83*I83)/24)),"0")</f>
        <v>68.305000000000248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2</v>
      </c>
      <c r="X83" s="11"/>
      <c r="Y83" s="11"/>
      <c r="Z83" s="11"/>
      <c r="AA83" s="11"/>
      <c r="AB83" s="11"/>
      <c r="AC83" s="11"/>
      <c r="AD83" s="11">
        <v>15</v>
      </c>
      <c r="AE83" s="11"/>
      <c r="AF83" s="11"/>
      <c r="AG83" s="11"/>
      <c r="AH83" s="11"/>
      <c r="AI83" s="11"/>
      <c r="AJ83" s="11"/>
      <c r="AK83" s="11"/>
      <c r="AL83" s="11"/>
      <c r="AM83" s="14"/>
    </row>
    <row r="84" spans="2:39" ht="25.05" customHeight="1">
      <c r="B84" s="13"/>
      <c r="C84" s="29"/>
      <c r="D84" s="30"/>
      <c r="E84" s="19" t="s">
        <v>661</v>
      </c>
      <c r="F84" s="8"/>
      <c r="G84" s="9">
        <v>0.76180555555555551</v>
      </c>
      <c r="H84" s="9">
        <v>0.77083333333333337</v>
      </c>
      <c r="I84" s="10">
        <f t="shared" si="24"/>
        <v>9.0277777777778567E-3</v>
      </c>
      <c r="J84" s="11">
        <v>8</v>
      </c>
      <c r="K84" s="11">
        <v>133.72</v>
      </c>
      <c r="L84" s="16">
        <f t="shared" si="27"/>
        <v>77.146153846153169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/>
      <c r="Y84" s="11"/>
      <c r="Z84" s="11"/>
      <c r="AA84" s="11"/>
      <c r="AB84" s="11"/>
      <c r="AC84" s="11"/>
      <c r="AD84" s="11">
        <v>13</v>
      </c>
      <c r="AE84" s="11"/>
      <c r="AF84" s="11"/>
      <c r="AG84" s="11"/>
      <c r="AH84" s="11"/>
      <c r="AI84" s="11"/>
      <c r="AJ84" s="11"/>
      <c r="AK84" s="11"/>
      <c r="AL84" s="11"/>
      <c r="AM84" s="14"/>
    </row>
    <row r="85" spans="2:39" ht="25.05" customHeight="1">
      <c r="B85" s="13"/>
      <c r="C85" s="29"/>
      <c r="D85" s="30"/>
      <c r="E85" s="19" t="s">
        <v>662</v>
      </c>
      <c r="F85" s="8"/>
      <c r="G85" s="9">
        <v>0.7729166666666667</v>
      </c>
      <c r="H85" s="9">
        <v>0.78055555555555556</v>
      </c>
      <c r="I85" s="10">
        <f t="shared" si="24"/>
        <v>7.6388888888888618E-3</v>
      </c>
      <c r="J85" s="11">
        <v>8</v>
      </c>
      <c r="K85" s="11">
        <v>132.44</v>
      </c>
      <c r="L85" s="16">
        <f t="shared" si="27"/>
        <v>90.30000000000031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/>
      <c r="Y85" s="11"/>
      <c r="Z85" s="11"/>
      <c r="AA85" s="11"/>
      <c r="AB85" s="11"/>
      <c r="AC85" s="11"/>
      <c r="AD85" s="11">
        <v>11</v>
      </c>
      <c r="AE85" s="11"/>
      <c r="AF85" s="11"/>
      <c r="AG85" s="11"/>
      <c r="AH85" s="11"/>
      <c r="AI85" s="11"/>
      <c r="AJ85" s="11"/>
      <c r="AK85" s="11"/>
      <c r="AL85" s="11"/>
      <c r="AM85" s="14"/>
    </row>
    <row r="86" spans="2:39" ht="25.05" customHeight="1">
      <c r="B86" s="13"/>
      <c r="C86" s="29"/>
      <c r="D86" s="30"/>
      <c r="E86" s="116" t="s">
        <v>663</v>
      </c>
      <c r="F86" s="8"/>
      <c r="G86" s="9">
        <v>0.60555555555555551</v>
      </c>
      <c r="H86" s="9">
        <v>0.6118055555555556</v>
      </c>
      <c r="I86" s="10">
        <f t="shared" si="22"/>
        <v>6.2500000000000888E-3</v>
      </c>
      <c r="J86" s="11">
        <v>3</v>
      </c>
      <c r="K86" s="11">
        <v>117</v>
      </c>
      <c r="L86" s="16">
        <f t="shared" si="23"/>
        <v>259.99999999999631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/>
      <c r="Y86" s="11"/>
      <c r="Z86" s="11"/>
      <c r="AA86" s="11"/>
      <c r="AB86" s="11"/>
      <c r="AC86" s="11"/>
      <c r="AD86" s="11">
        <v>9</v>
      </c>
      <c r="AE86" s="11"/>
      <c r="AF86" s="11"/>
      <c r="AG86" s="11"/>
      <c r="AH86" s="11"/>
      <c r="AI86" s="11"/>
      <c r="AJ86" s="11"/>
      <c r="AK86" s="11"/>
      <c r="AL86" s="11"/>
      <c r="AM86" s="14"/>
    </row>
    <row r="87" spans="2:39" ht="25.05" customHeight="1">
      <c r="B87" s="13"/>
      <c r="C87" s="29"/>
      <c r="D87" s="30"/>
      <c r="E87" s="116"/>
      <c r="F87" s="8"/>
      <c r="G87" s="9"/>
      <c r="H87" s="9"/>
      <c r="I87" s="10">
        <f t="shared" si="22"/>
        <v>0</v>
      </c>
      <c r="J87" s="11"/>
      <c r="K87" s="11"/>
      <c r="L87" s="16" t="str">
        <f t="shared" si="23"/>
        <v>0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4"/>
    </row>
    <row r="88" spans="2:39" ht="25.05" customHeight="1">
      <c r="B88" s="13"/>
      <c r="C88" s="29"/>
      <c r="D88" s="30" t="s">
        <v>301</v>
      </c>
      <c r="E88" s="19" t="s">
        <v>664</v>
      </c>
      <c r="F88" s="8"/>
      <c r="G88" s="9">
        <v>0.58472222222222225</v>
      </c>
      <c r="H88" s="9">
        <v>0.61250000000000004</v>
      </c>
      <c r="I88" s="10">
        <f t="shared" si="22"/>
        <v>2.777777777777779E-2</v>
      </c>
      <c r="J88" s="11">
        <v>4</v>
      </c>
      <c r="K88" s="11">
        <f>0.03*3240</f>
        <v>97.2</v>
      </c>
      <c r="L88" s="16">
        <f t="shared" si="23"/>
        <v>36.449999999999982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>
        <v>40</v>
      </c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4"/>
    </row>
    <row r="89" spans="2:39" ht="25.05" customHeight="1">
      <c r="B89" s="13"/>
      <c r="C89" s="29"/>
      <c r="D89" s="30"/>
      <c r="E89" s="19" t="s">
        <v>665</v>
      </c>
      <c r="F89" s="8"/>
      <c r="G89" s="9">
        <v>0.61319444444444449</v>
      </c>
      <c r="H89" s="9">
        <v>0.63194444444444442</v>
      </c>
      <c r="I89" s="10">
        <f t="shared" si="22"/>
        <v>1.8749999999999933E-2</v>
      </c>
      <c r="J89" s="11">
        <v>4</v>
      </c>
      <c r="K89" s="11">
        <f>0.03*3240</f>
        <v>97.2</v>
      </c>
      <c r="L89" s="16">
        <f t="shared" si="23"/>
        <v>54.000000000000192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>
        <v>27</v>
      </c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4"/>
    </row>
    <row r="90" spans="2:39" ht="25.05" customHeight="1">
      <c r="B90" s="13"/>
      <c r="C90" s="29"/>
      <c r="D90" s="30"/>
      <c r="E90" s="19" t="s">
        <v>666</v>
      </c>
      <c r="F90" s="8"/>
      <c r="G90" s="9">
        <v>0.63472222222222219</v>
      </c>
      <c r="H90" s="9">
        <v>0.64513888888888893</v>
      </c>
      <c r="I90" s="10">
        <f t="shared" si="22"/>
        <v>1.0416666666666741E-2</v>
      </c>
      <c r="J90" s="11">
        <v>4</v>
      </c>
      <c r="K90" s="11">
        <f>0.03*3240</f>
        <v>97.2</v>
      </c>
      <c r="L90" s="16">
        <f t="shared" si="23"/>
        <v>97.199999999999307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>
        <v>15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4"/>
    </row>
    <row r="91" spans="2:39" ht="25.05" customHeight="1">
      <c r="B91" s="13"/>
      <c r="C91" s="29"/>
      <c r="D91" s="30"/>
      <c r="E91" s="19" t="s">
        <v>667</v>
      </c>
      <c r="F91" s="8"/>
      <c r="G91" s="9">
        <v>0.64722222222222225</v>
      </c>
      <c r="H91" s="9">
        <v>0.66388888888888886</v>
      </c>
      <c r="I91" s="10">
        <f t="shared" si="22"/>
        <v>1.6666666666666607E-2</v>
      </c>
      <c r="J91" s="11">
        <v>4</v>
      </c>
      <c r="K91" s="11">
        <f>0.03*3240</f>
        <v>97.2</v>
      </c>
      <c r="L91" s="16">
        <f>IFERROR(((K91/(J91*I91)/24)),"0")</f>
        <v>60.75000000000022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>
        <v>24</v>
      </c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4"/>
    </row>
    <row r="92" spans="2:39" ht="25.05" customHeight="1">
      <c r="B92" s="13"/>
      <c r="C92" s="29"/>
      <c r="D92" s="30"/>
      <c r="E92" s="19" t="s">
        <v>668</v>
      </c>
      <c r="F92" s="8"/>
      <c r="G92" s="9">
        <v>0.66597222222222219</v>
      </c>
      <c r="H92" s="9">
        <v>0.67500000000000004</v>
      </c>
      <c r="I92" s="10">
        <f t="shared" si="22"/>
        <v>9.0277777777778567E-3</v>
      </c>
      <c r="J92" s="11">
        <v>4</v>
      </c>
      <c r="K92" s="11">
        <f>0.03*2970</f>
        <v>89.1</v>
      </c>
      <c r="L92" s="16">
        <f t="shared" si="23"/>
        <v>102.80769230769141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2"/>
      <c r="Y92" s="12">
        <v>13</v>
      </c>
      <c r="Z92" s="12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4"/>
    </row>
    <row r="93" spans="2:39" ht="25.05" customHeight="1">
      <c r="B93" s="13"/>
      <c r="C93" s="29"/>
      <c r="D93" s="30"/>
      <c r="E93" s="24" t="s">
        <v>669</v>
      </c>
      <c r="F93" s="188"/>
      <c r="G93" s="25">
        <v>0.63263888888888886</v>
      </c>
      <c r="H93" s="25">
        <v>0.64444444444444449</v>
      </c>
      <c r="I93" s="26">
        <f t="shared" ref="I93:I94" si="28">H93-G93</f>
        <v>1.1805555555555625E-2</v>
      </c>
      <c r="J93" s="27">
        <v>3</v>
      </c>
      <c r="K93" s="27">
        <v>33.79</v>
      </c>
      <c r="L93" s="164">
        <f t="shared" ref="L93:L94" si="29">IFERROR(((K93/(J93*I93)/24)),"0")</f>
        <v>39.752941176470351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2</v>
      </c>
      <c r="X93" s="12"/>
      <c r="Y93" s="12"/>
      <c r="Z93" s="12">
        <v>17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4"/>
    </row>
    <row r="94" spans="2:39" ht="25.05" customHeight="1">
      <c r="B94" s="13"/>
      <c r="C94" s="29"/>
      <c r="D94" s="30"/>
      <c r="E94" s="19" t="s">
        <v>368</v>
      </c>
      <c r="F94" s="8"/>
      <c r="G94" s="9">
        <v>0.6743055555555556</v>
      </c>
      <c r="H94" s="9">
        <v>0.68194444444444446</v>
      </c>
      <c r="I94" s="10">
        <f t="shared" si="28"/>
        <v>7.6388888888888618E-3</v>
      </c>
      <c r="J94" s="11">
        <v>4</v>
      </c>
      <c r="K94" s="11">
        <v>77.41</v>
      </c>
      <c r="L94" s="16">
        <f t="shared" si="29"/>
        <v>105.55909090909127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2</v>
      </c>
      <c r="X94" s="12"/>
      <c r="Y94" s="12"/>
      <c r="Z94" s="12"/>
      <c r="AA94" s="11"/>
      <c r="AB94" s="11"/>
      <c r="AC94" s="11"/>
      <c r="AD94" s="11"/>
      <c r="AE94" s="11">
        <v>11</v>
      </c>
      <c r="AF94" s="11"/>
      <c r="AG94" s="11"/>
      <c r="AH94" s="11"/>
      <c r="AI94" s="11"/>
      <c r="AJ94" s="11"/>
      <c r="AK94" s="11"/>
      <c r="AL94" s="11"/>
      <c r="AM94" s="14"/>
    </row>
    <row r="95" spans="2:39" ht="25.05" customHeight="1">
      <c r="B95" s="13"/>
      <c r="C95" s="29"/>
      <c r="D95" s="30"/>
      <c r="E95" s="19"/>
      <c r="F95" s="8"/>
      <c r="G95" s="9"/>
      <c r="H95" s="9"/>
      <c r="I95" s="10">
        <f t="shared" ref="I95:I97" si="30">H95-G95</f>
        <v>0</v>
      </c>
      <c r="J95" s="11"/>
      <c r="K95" s="11"/>
      <c r="L95" s="16" t="str">
        <f t="shared" ref="L95:L97" si="31">IFERROR(((K95/(J95*I95)/24)),"0")</f>
        <v>0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/>
      <c r="X95" s="12"/>
      <c r="Y95" s="12"/>
      <c r="Z95" s="12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4"/>
    </row>
    <row r="96" spans="2:39" ht="25.05" customHeight="1">
      <c r="B96" s="13"/>
      <c r="C96" s="29"/>
      <c r="D96" s="30"/>
      <c r="E96" s="19"/>
      <c r="F96" s="8"/>
      <c r="G96" s="9"/>
      <c r="H96" s="9"/>
      <c r="I96" s="10">
        <f t="shared" si="30"/>
        <v>0</v>
      </c>
      <c r="J96" s="11"/>
      <c r="K96" s="11"/>
      <c r="L96" s="16" t="str">
        <f t="shared" si="31"/>
        <v>0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/>
      <c r="X96" s="12"/>
      <c r="Y96" s="12"/>
      <c r="Z96" s="12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4"/>
    </row>
    <row r="97" spans="1:39" ht="25.05" customHeight="1">
      <c r="B97" s="13"/>
      <c r="C97" s="29"/>
      <c r="D97" s="30"/>
      <c r="E97" s="19"/>
      <c r="F97" s="8"/>
      <c r="G97" s="9"/>
      <c r="H97" s="9"/>
      <c r="I97" s="10">
        <f t="shared" si="30"/>
        <v>0</v>
      </c>
      <c r="J97" s="11"/>
      <c r="K97" s="11"/>
      <c r="L97" s="16" t="str">
        <f t="shared" si="31"/>
        <v>0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2"/>
      <c r="Y97" s="12"/>
      <c r="Z97" s="12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4"/>
    </row>
    <row r="98" spans="1:39" ht="25.05" customHeight="1">
      <c r="B98" s="13"/>
      <c r="C98" s="29"/>
      <c r="D98" s="30"/>
      <c r="E98" s="19"/>
      <c r="F98" s="8"/>
      <c r="G98" s="9"/>
      <c r="H98" s="9"/>
      <c r="I98" s="10">
        <f t="shared" si="22"/>
        <v>0</v>
      </c>
      <c r="J98" s="11"/>
      <c r="K98" s="11"/>
      <c r="L98" s="16" t="str">
        <f t="shared" si="23"/>
        <v>0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4"/>
    </row>
    <row r="99" spans="1:39" ht="25.05" customHeight="1">
      <c r="B99" s="13"/>
      <c r="C99" s="29"/>
      <c r="D99" s="30"/>
      <c r="E99" s="19"/>
      <c r="F99" s="8"/>
      <c r="G99" s="9"/>
      <c r="H99" s="9"/>
      <c r="I99" s="10">
        <f t="shared" si="22"/>
        <v>0</v>
      </c>
      <c r="J99" s="11"/>
      <c r="K99" s="11"/>
      <c r="L99" s="16" t="str">
        <f t="shared" si="23"/>
        <v>0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4"/>
    </row>
    <row r="100" spans="1:39" s="28" customFormat="1" ht="25.5" customHeight="1" thickBot="1">
      <c r="A100" s="2"/>
      <c r="B100" s="32"/>
      <c r="C100" s="33"/>
      <c r="D100" s="34"/>
      <c r="E100" s="35"/>
      <c r="F100" s="35"/>
      <c r="G100" s="36"/>
      <c r="H100" s="36"/>
      <c r="I100" s="37"/>
      <c r="J100" s="38"/>
      <c r="K100" s="38">
        <f t="shared" ref="K100:AD100" si="32">SUM(K36:K99)</f>
        <v>4176.9299999999994</v>
      </c>
      <c r="L100" s="39">
        <f t="shared" si="32"/>
        <v>58797.538464908605</v>
      </c>
      <c r="M100" s="38">
        <f t="shared" si="32"/>
        <v>0</v>
      </c>
      <c r="N100" s="38">
        <f t="shared" si="32"/>
        <v>0</v>
      </c>
      <c r="O100" s="38">
        <f t="shared" si="32"/>
        <v>0</v>
      </c>
      <c r="P100" s="38">
        <f t="shared" si="32"/>
        <v>0</v>
      </c>
      <c r="Q100" s="38">
        <f t="shared" si="32"/>
        <v>0</v>
      </c>
      <c r="R100" s="38">
        <f t="shared" si="32"/>
        <v>0</v>
      </c>
      <c r="S100" s="38">
        <f t="shared" si="32"/>
        <v>0</v>
      </c>
      <c r="T100" s="38">
        <f t="shared" si="32"/>
        <v>0</v>
      </c>
      <c r="U100" s="38">
        <f t="shared" si="32"/>
        <v>0</v>
      </c>
      <c r="V100" s="38">
        <f t="shared" si="32"/>
        <v>54</v>
      </c>
      <c r="W100" s="38">
        <f t="shared" si="32"/>
        <v>60</v>
      </c>
      <c r="X100" s="179">
        <f t="shared" si="32"/>
        <v>64</v>
      </c>
      <c r="Y100" s="179">
        <f t="shared" si="32"/>
        <v>40</v>
      </c>
      <c r="Z100" s="179">
        <f t="shared" si="32"/>
        <v>32</v>
      </c>
      <c r="AA100" s="38">
        <f t="shared" si="32"/>
        <v>0</v>
      </c>
      <c r="AB100" s="38">
        <f t="shared" si="32"/>
        <v>0</v>
      </c>
      <c r="AC100" s="38">
        <f t="shared" si="32"/>
        <v>24</v>
      </c>
      <c r="AD100" s="38">
        <f t="shared" si="32"/>
        <v>264</v>
      </c>
      <c r="AE100" s="38"/>
      <c r="AF100" s="38">
        <f t="shared" ref="AF100:AM100" si="33">SUM(AF36:AF99)</f>
        <v>0</v>
      </c>
      <c r="AG100" s="38">
        <f t="shared" si="33"/>
        <v>0</v>
      </c>
      <c r="AH100" s="38">
        <f t="shared" si="33"/>
        <v>0</v>
      </c>
      <c r="AI100" s="38">
        <f t="shared" si="33"/>
        <v>0</v>
      </c>
      <c r="AJ100" s="38">
        <f t="shared" si="33"/>
        <v>0</v>
      </c>
      <c r="AK100" s="38">
        <f t="shared" si="33"/>
        <v>0</v>
      </c>
      <c r="AL100" s="38">
        <f t="shared" si="33"/>
        <v>0</v>
      </c>
      <c r="AM100" s="38">
        <f t="shared" si="33"/>
        <v>0</v>
      </c>
    </row>
    <row r="101" spans="1:39" ht="38.1" customHeight="1" thickBot="1">
      <c r="B101" s="40" t="s">
        <v>45</v>
      </c>
      <c r="C101" s="41"/>
      <c r="D101" s="41"/>
      <c r="E101" s="41"/>
      <c r="F101" s="41"/>
      <c r="G101" s="41"/>
      <c r="H101" s="41"/>
      <c r="I101" s="41"/>
      <c r="J101" s="41"/>
      <c r="K101" s="42">
        <f>K29+K35+K100</f>
        <v>7874.7199999999993</v>
      </c>
      <c r="L101" s="42">
        <f>L29+L35+L100</f>
        <v>60718.844070815328</v>
      </c>
      <c r="M101" s="43">
        <f t="shared" ref="M101:AM101" si="34">(M29+M35+M100)/(480-15-30)</f>
        <v>0.13333333333333333</v>
      </c>
      <c r="N101" s="43">
        <f t="shared" si="34"/>
        <v>0</v>
      </c>
      <c r="O101" s="43">
        <f t="shared" si="34"/>
        <v>0.89655172413793105</v>
      </c>
      <c r="P101" s="43">
        <f t="shared" si="34"/>
        <v>0</v>
      </c>
      <c r="Q101" s="43">
        <f t="shared" si="34"/>
        <v>0</v>
      </c>
      <c r="R101" s="43">
        <f t="shared" si="34"/>
        <v>9.1954022988505746E-2</v>
      </c>
      <c r="S101" s="43">
        <f t="shared" si="34"/>
        <v>1.4022988505747127</v>
      </c>
      <c r="T101" s="43">
        <f t="shared" si="34"/>
        <v>0.96551724137931039</v>
      </c>
      <c r="U101" s="43">
        <f t="shared" si="34"/>
        <v>0</v>
      </c>
      <c r="V101" s="43">
        <f t="shared" si="34"/>
        <v>0.12413793103448276</v>
      </c>
      <c r="W101" s="43">
        <f t="shared" si="34"/>
        <v>0.13793103448275862</v>
      </c>
      <c r="X101" s="43">
        <f t="shared" si="34"/>
        <v>0.14712643678160919</v>
      </c>
      <c r="Y101" s="43">
        <f t="shared" si="34"/>
        <v>9.1954022988505746E-2</v>
      </c>
      <c r="Z101" s="43">
        <f t="shared" si="34"/>
        <v>7.3563218390804597E-2</v>
      </c>
      <c r="AA101" s="43">
        <f t="shared" si="34"/>
        <v>0</v>
      </c>
      <c r="AB101" s="43">
        <f t="shared" si="34"/>
        <v>0</v>
      </c>
      <c r="AC101" s="43">
        <f t="shared" si="34"/>
        <v>5.5172413793103448E-2</v>
      </c>
      <c r="AD101" s="43">
        <f t="shared" si="34"/>
        <v>0.60689655172413792</v>
      </c>
      <c r="AE101" s="43">
        <f t="shared" si="34"/>
        <v>0</v>
      </c>
      <c r="AF101" s="43">
        <f t="shared" si="34"/>
        <v>0</v>
      </c>
      <c r="AG101" s="43">
        <f t="shared" si="34"/>
        <v>0</v>
      </c>
      <c r="AH101" s="43">
        <f t="shared" si="34"/>
        <v>0</v>
      </c>
      <c r="AI101" s="43">
        <f t="shared" si="34"/>
        <v>0</v>
      </c>
      <c r="AJ101" s="43">
        <f t="shared" si="34"/>
        <v>0</v>
      </c>
      <c r="AK101" s="43">
        <f t="shared" si="34"/>
        <v>0</v>
      </c>
      <c r="AL101" s="43">
        <f t="shared" si="34"/>
        <v>0</v>
      </c>
      <c r="AM101" s="43">
        <f t="shared" si="34"/>
        <v>0</v>
      </c>
    </row>
    <row r="102" spans="1:39" ht="25.05" customHeight="1">
      <c r="B102" s="44"/>
      <c r="C102" s="44"/>
      <c r="D102" s="44"/>
      <c r="E102" s="45"/>
      <c r="F102" s="45"/>
      <c r="G102" s="45"/>
      <c r="H102" s="45"/>
      <c r="I102" s="46"/>
      <c r="J102" s="46"/>
      <c r="K102" s="45"/>
      <c r="L102" s="47"/>
      <c r="M102" s="47"/>
      <c r="N102" s="47"/>
      <c r="O102" s="47"/>
      <c r="P102" s="47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  <c r="AK102" s="45"/>
    </row>
    <row r="103" spans="1:39" ht="25.05" customHeight="1">
      <c r="B103" s="44"/>
      <c r="C103" s="44"/>
      <c r="D103" s="44"/>
      <c r="E103" s="45"/>
      <c r="F103" s="45"/>
      <c r="G103" s="45"/>
      <c r="H103" s="45"/>
      <c r="I103" s="48" t="s">
        <v>46</v>
      </c>
      <c r="J103" s="46"/>
      <c r="K103" s="45"/>
      <c r="L103" s="47"/>
      <c r="M103" s="47"/>
      <c r="N103" s="47"/>
      <c r="O103" s="47"/>
      <c r="P103" s="47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</row>
    <row r="104" spans="1:39" ht="25.05" customHeight="1">
      <c r="B104" s="44"/>
      <c r="C104" s="44"/>
      <c r="D104" s="44"/>
      <c r="E104" s="45"/>
      <c r="F104" s="45"/>
      <c r="G104" s="45"/>
      <c r="H104" s="45"/>
      <c r="I104" s="49" t="s">
        <v>47</v>
      </c>
      <c r="J104" s="9">
        <v>0</v>
      </c>
      <c r="K104" s="11">
        <v>10</v>
      </c>
      <c r="L104" s="11" t="s">
        <v>48</v>
      </c>
      <c r="M104" s="47"/>
      <c r="N104" s="14">
        <v>2</v>
      </c>
      <c r="O104" s="14"/>
      <c r="P104" s="14"/>
      <c r="Q104" s="50" t="s">
        <v>49</v>
      </c>
      <c r="R104" s="51"/>
      <c r="S104" s="45"/>
      <c r="T104" s="45"/>
      <c r="U104" s="45"/>
      <c r="V104" s="45"/>
      <c r="W104" s="45"/>
      <c r="X104" s="45"/>
      <c r="Y104" s="45"/>
      <c r="Z104" s="45"/>
      <c r="AA104" s="45"/>
      <c r="AC104" s="45"/>
      <c r="AD104" s="45"/>
      <c r="AE104" s="45"/>
      <c r="AF104" s="45"/>
      <c r="AG104" s="45"/>
      <c r="AH104" s="45"/>
      <c r="AI104" s="45"/>
    </row>
    <row r="105" spans="1:39" ht="25.05" customHeight="1">
      <c r="B105" s="44"/>
      <c r="C105" s="44"/>
      <c r="D105" s="44"/>
      <c r="E105" s="45"/>
      <c r="F105" s="45"/>
      <c r="G105" s="45"/>
      <c r="H105" s="45"/>
      <c r="I105" s="49" t="s">
        <v>50</v>
      </c>
      <c r="J105" s="9">
        <v>0</v>
      </c>
      <c r="K105" s="11">
        <v>3</v>
      </c>
      <c r="L105" s="11" t="s">
        <v>48</v>
      </c>
      <c r="M105" s="47"/>
      <c r="N105" s="14">
        <v>4</v>
      </c>
      <c r="O105" s="14"/>
      <c r="P105" s="14"/>
      <c r="Q105" s="50" t="s">
        <v>51</v>
      </c>
      <c r="R105" s="51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</row>
    <row r="106" spans="1:39" ht="25.05" customHeight="1">
      <c r="B106" s="44"/>
      <c r="C106" s="44"/>
      <c r="D106" s="44"/>
      <c r="E106" s="45"/>
      <c r="F106" s="45"/>
      <c r="G106" s="45"/>
      <c r="H106" s="45"/>
      <c r="I106" s="49" t="s">
        <v>52</v>
      </c>
      <c r="J106" s="9">
        <v>0</v>
      </c>
      <c r="K106" s="11">
        <v>18</v>
      </c>
      <c r="L106" s="11" t="s">
        <v>48</v>
      </c>
      <c r="M106" s="47"/>
      <c r="N106" s="14">
        <v>1</v>
      </c>
      <c r="O106" s="14"/>
      <c r="P106" s="14"/>
      <c r="Q106" s="50" t="s">
        <v>53</v>
      </c>
      <c r="R106" s="51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  <c r="AI106" s="45"/>
    </row>
    <row r="107" spans="1:39" ht="25.05" customHeight="1">
      <c r="B107" s="44"/>
      <c r="C107" s="44"/>
      <c r="D107" s="44"/>
      <c r="E107" s="45"/>
      <c r="F107" s="45"/>
      <c r="G107" s="45"/>
      <c r="H107" s="45"/>
      <c r="I107" s="52" t="s">
        <v>54</v>
      </c>
      <c r="J107" s="53">
        <v>0</v>
      </c>
      <c r="K107" s="11">
        <v>5</v>
      </c>
      <c r="L107" s="54" t="s">
        <v>48</v>
      </c>
      <c r="M107" s="47"/>
      <c r="N107" s="14">
        <v>3</v>
      </c>
      <c r="O107" s="14"/>
      <c r="P107" s="14"/>
      <c r="Q107" s="50" t="s">
        <v>55</v>
      </c>
      <c r="R107" s="51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</row>
    <row r="108" spans="1:39" ht="25.05" customHeight="1">
      <c r="B108" s="44"/>
      <c r="C108" s="44"/>
      <c r="D108" s="44"/>
      <c r="E108" s="45"/>
      <c r="F108" s="45"/>
      <c r="G108" s="45"/>
      <c r="H108" s="45"/>
      <c r="I108" s="49" t="s">
        <v>56</v>
      </c>
      <c r="J108" s="9">
        <v>0</v>
      </c>
      <c r="K108" s="11">
        <v>36</v>
      </c>
      <c r="L108" s="11" t="s">
        <v>48</v>
      </c>
      <c r="M108" s="47"/>
      <c r="N108"/>
      <c r="O108"/>
      <c r="P108"/>
      <c r="Q108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</row>
    <row r="109" spans="1:39" ht="25.05" customHeight="1">
      <c r="B109" s="44"/>
      <c r="C109" s="44"/>
      <c r="D109" s="44"/>
      <c r="E109" s="45"/>
      <c r="F109" s="45"/>
      <c r="G109" s="45"/>
      <c r="H109" s="45"/>
      <c r="M109" s="47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</row>
    <row r="110" spans="1:39" ht="25.05" customHeight="1"/>
  </sheetData>
  <mergeCells count="11">
    <mergeCell ref="I2:I3"/>
    <mergeCell ref="J2:J3"/>
    <mergeCell ref="K2:K3"/>
    <mergeCell ref="L2:L3"/>
    <mergeCell ref="M2:AM2"/>
    <mergeCell ref="G2:H2"/>
    <mergeCell ref="B2:B3"/>
    <mergeCell ref="C2:C3"/>
    <mergeCell ref="D2:D3"/>
    <mergeCell ref="E2:E3"/>
    <mergeCell ref="F2:F3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7E53-1E31-443A-B9F8-D8FF7E9091D4}">
  <sheetPr>
    <pageSetUpPr fitToPage="1"/>
  </sheetPr>
  <dimension ref="A2:AN68"/>
  <sheetViews>
    <sheetView zoomScale="70" zoomScaleNormal="70" workbookViewId="0">
      <pane xSplit="12" ySplit="4" topLeftCell="AF5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13" width="16.21875" style="2" customWidth="1"/>
    <col min="14" max="14" width="20.33203125" style="2" customWidth="1"/>
    <col min="15" max="32" width="16.21875" style="2" customWidth="1"/>
    <col min="33" max="33" width="17.77734375" style="2" customWidth="1"/>
    <col min="34" max="39" width="16.21875" style="2" customWidth="1"/>
    <col min="40" max="40" width="14.44140625" style="2" customWidth="1"/>
    <col min="41" max="16384" width="10.21875" style="2"/>
  </cols>
  <sheetData>
    <row r="2" spans="1:40" ht="18.75" customHeight="1" thickBot="1">
      <c r="M2" s="211" t="s">
        <v>14</v>
      </c>
      <c r="N2" s="212" t="s">
        <v>2868</v>
      </c>
      <c r="O2" s="212" t="s">
        <v>16</v>
      </c>
      <c r="P2" s="212" t="s">
        <v>2869</v>
      </c>
      <c r="Q2" s="212" t="s">
        <v>18</v>
      </c>
      <c r="R2" s="212" t="s">
        <v>2870</v>
      </c>
      <c r="S2" s="212" t="s">
        <v>20</v>
      </c>
      <c r="T2" s="211" t="s">
        <v>21</v>
      </c>
      <c r="U2" s="211" t="s">
        <v>2871</v>
      </c>
      <c r="V2" s="212" t="s">
        <v>23</v>
      </c>
      <c r="W2" s="212" t="s">
        <v>24</v>
      </c>
      <c r="X2" s="211" t="s">
        <v>25</v>
      </c>
      <c r="Y2" s="211" t="s">
        <v>26</v>
      </c>
      <c r="Z2" s="211" t="s">
        <v>27</v>
      </c>
      <c r="AA2" s="211" t="s">
        <v>28</v>
      </c>
      <c r="AB2" s="212" t="s">
        <v>29</v>
      </c>
      <c r="AC2" s="212" t="s">
        <v>30</v>
      </c>
      <c r="AD2" s="212" t="s">
        <v>31</v>
      </c>
      <c r="AE2" s="212" t="s">
        <v>32</v>
      </c>
      <c r="AF2" s="211" t="s">
        <v>33</v>
      </c>
      <c r="AG2" s="211" t="s">
        <v>34</v>
      </c>
      <c r="AH2" s="211" t="s">
        <v>35</v>
      </c>
      <c r="AI2" s="211" t="s">
        <v>36</v>
      </c>
      <c r="AJ2" s="211" t="s">
        <v>37</v>
      </c>
      <c r="AK2" s="211" t="s">
        <v>57</v>
      </c>
      <c r="AL2" s="211" t="s">
        <v>38</v>
      </c>
      <c r="AM2" s="213" t="s">
        <v>39</v>
      </c>
    </row>
    <row r="3" spans="1:40" ht="25.05" customHeight="1">
      <c r="B3" s="214" t="s">
        <v>1</v>
      </c>
      <c r="C3" s="214" t="s">
        <v>2</v>
      </c>
      <c r="D3" s="214" t="s">
        <v>3</v>
      </c>
      <c r="E3" s="214" t="s">
        <v>4</v>
      </c>
      <c r="F3" s="214" t="s">
        <v>5</v>
      </c>
      <c r="G3" s="215" t="s">
        <v>6</v>
      </c>
      <c r="H3" s="215"/>
      <c r="I3" s="218" t="s">
        <v>7</v>
      </c>
      <c r="J3" s="219" t="s">
        <v>8</v>
      </c>
      <c r="K3" s="219" t="s">
        <v>9</v>
      </c>
      <c r="L3" s="219" t="s">
        <v>10</v>
      </c>
      <c r="M3" s="220" t="s">
        <v>11</v>
      </c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  <c r="AA3" s="221"/>
      <c r="AB3" s="221"/>
      <c r="AC3" s="221"/>
      <c r="AD3" s="221"/>
      <c r="AE3" s="221"/>
      <c r="AF3" s="221"/>
      <c r="AG3" s="221"/>
      <c r="AH3" s="221"/>
      <c r="AI3" s="221"/>
      <c r="AJ3" s="221"/>
      <c r="AK3" s="221"/>
      <c r="AL3" s="221"/>
      <c r="AM3" s="221"/>
      <c r="AN3" s="222"/>
    </row>
    <row r="4" spans="1:40" ht="46.5" customHeight="1">
      <c r="B4" s="214"/>
      <c r="C4" s="214"/>
      <c r="D4" s="214"/>
      <c r="E4" s="214"/>
      <c r="F4" s="214"/>
      <c r="G4" s="3" t="s">
        <v>12</v>
      </c>
      <c r="H4" s="3" t="s">
        <v>13</v>
      </c>
      <c r="I4" s="218"/>
      <c r="J4" s="219"/>
      <c r="K4" s="219"/>
      <c r="L4" s="219"/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4" t="s">
        <v>21</v>
      </c>
      <c r="U4" s="1" t="s">
        <v>22</v>
      </c>
      <c r="V4" s="1" t="s">
        <v>23</v>
      </c>
      <c r="W4" s="1" t="s">
        <v>24</v>
      </c>
      <c r="X4" s="1" t="s">
        <v>25</v>
      </c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416</v>
      </c>
      <c r="AF4" s="1" t="s">
        <v>32</v>
      </c>
      <c r="AG4" s="1" t="s">
        <v>33</v>
      </c>
      <c r="AH4" s="1" t="s">
        <v>34</v>
      </c>
      <c r="AI4" s="1" t="s">
        <v>35</v>
      </c>
      <c r="AJ4" s="1" t="s">
        <v>36</v>
      </c>
      <c r="AK4" s="1" t="s">
        <v>37</v>
      </c>
      <c r="AL4" s="1" t="s">
        <v>38</v>
      </c>
      <c r="AM4" s="1" t="s">
        <v>39</v>
      </c>
    </row>
    <row r="5" spans="1:40" ht="25.05" customHeight="1">
      <c r="B5" s="13">
        <v>46106</v>
      </c>
      <c r="C5" s="60" t="s">
        <v>40</v>
      </c>
      <c r="D5" s="178" t="s">
        <v>448</v>
      </c>
      <c r="E5" s="7" t="s">
        <v>41</v>
      </c>
      <c r="F5" s="8" t="s">
        <v>42</v>
      </c>
      <c r="G5" s="9">
        <v>0.79166666666666663</v>
      </c>
      <c r="H5" s="9">
        <v>0.79861111111111116</v>
      </c>
      <c r="I5" s="10">
        <f t="shared" ref="I5" si="0">H5-G5</f>
        <v>6.9444444444445308E-3</v>
      </c>
      <c r="J5" s="11">
        <v>8</v>
      </c>
      <c r="K5" s="62" t="s">
        <v>42</v>
      </c>
      <c r="L5" s="64" t="s">
        <v>42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40" ht="25.05" customHeight="1">
      <c r="B6" s="13"/>
      <c r="C6" s="14"/>
      <c r="D6" s="30" t="s">
        <v>301</v>
      </c>
      <c r="E6" s="15" t="s">
        <v>670</v>
      </c>
      <c r="F6" s="55" t="s">
        <v>232</v>
      </c>
      <c r="G6" s="9">
        <v>0.80902777777777779</v>
      </c>
      <c r="H6" s="9">
        <v>0.82361111111111107</v>
      </c>
      <c r="I6" s="10">
        <f t="shared" ref="I6:I15" si="1">H6-G6</f>
        <v>1.4583333333333282E-2</v>
      </c>
      <c r="J6" s="11">
        <v>1</v>
      </c>
      <c r="K6" s="11">
        <v>9.5</v>
      </c>
      <c r="L6" s="16">
        <f t="shared" ref="L6:L15" si="2">IFERROR(((K6/(J6*I6)/24)),"0")</f>
        <v>27.142857142857238</v>
      </c>
      <c r="M6" s="11">
        <v>21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40" ht="25.5" customHeight="1">
      <c r="B7" s="13"/>
      <c r="C7" s="14"/>
      <c r="D7" s="6"/>
      <c r="E7" s="15" t="s">
        <v>671</v>
      </c>
      <c r="F7" s="55" t="s">
        <v>64</v>
      </c>
      <c r="G7" s="9">
        <v>0.84930555555555554</v>
      </c>
      <c r="H7" s="9">
        <v>0.86805555555555558</v>
      </c>
      <c r="I7" s="10">
        <f t="shared" si="1"/>
        <v>1.8750000000000044E-2</v>
      </c>
      <c r="J7" s="11">
        <v>1</v>
      </c>
      <c r="K7" s="11">
        <v>68.5</v>
      </c>
      <c r="L7" s="16">
        <f t="shared" si="2"/>
        <v>152.22222222222186</v>
      </c>
      <c r="M7" s="11">
        <v>27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spans="1:40" ht="25.05" customHeight="1">
      <c r="B8" s="13"/>
      <c r="C8" s="14"/>
      <c r="D8" s="6"/>
      <c r="E8" s="15" t="s">
        <v>672</v>
      </c>
      <c r="F8" s="88" t="s">
        <v>42</v>
      </c>
      <c r="G8" s="9">
        <v>0.80555555555555558</v>
      </c>
      <c r="H8" s="9">
        <v>46107.0625</v>
      </c>
      <c r="I8" s="10">
        <f t="shared" si="1"/>
        <v>46106.256944444445</v>
      </c>
      <c r="J8" s="11">
        <v>2</v>
      </c>
      <c r="K8" s="11">
        <v>373.5</v>
      </c>
      <c r="L8" s="16">
        <f t="shared" si="2"/>
        <v>1.6876776636576651E-4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40" ht="25.05" customHeight="1">
      <c r="B9" s="13"/>
      <c r="C9" s="14"/>
      <c r="D9" s="6"/>
      <c r="E9" s="15" t="s">
        <v>673</v>
      </c>
      <c r="F9" s="55" t="s">
        <v>453</v>
      </c>
      <c r="G9" s="9">
        <v>0.81736111111111109</v>
      </c>
      <c r="H9" s="9">
        <v>46107.09375</v>
      </c>
      <c r="I9" s="10">
        <f t="shared" si="1"/>
        <v>46106.276388888888</v>
      </c>
      <c r="J9" s="11">
        <v>10</v>
      </c>
      <c r="K9" s="11">
        <v>392.3</v>
      </c>
      <c r="L9" s="16">
        <f t="shared" si="2"/>
        <v>3.545251235528641E-5</v>
      </c>
      <c r="M9" s="11"/>
      <c r="N9" s="11"/>
      <c r="O9" s="11"/>
      <c r="P9" s="11"/>
      <c r="Q9" s="11"/>
      <c r="R9" s="12"/>
      <c r="S9" s="12">
        <v>398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40" ht="25.05" customHeight="1">
      <c r="B10" s="13"/>
      <c r="C10" s="14"/>
      <c r="D10" s="6"/>
      <c r="E10" s="129" t="s">
        <v>674</v>
      </c>
      <c r="F10" s="55" t="s">
        <v>232</v>
      </c>
      <c r="G10" s="9">
        <v>0.87916666666666665</v>
      </c>
      <c r="H10" s="9">
        <v>0.8833333333333333</v>
      </c>
      <c r="I10" s="10">
        <f t="shared" si="1"/>
        <v>4.1666666666666519E-3</v>
      </c>
      <c r="J10" s="11">
        <v>1</v>
      </c>
      <c r="K10" s="11">
        <v>5</v>
      </c>
      <c r="L10" s="16">
        <f t="shared" si="2"/>
        <v>50.000000000000178</v>
      </c>
      <c r="M10" s="11">
        <v>6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40" ht="25.05" customHeight="1">
      <c r="B11" s="13"/>
      <c r="C11" s="14"/>
      <c r="D11" s="6"/>
      <c r="E11" s="113" t="s">
        <v>675</v>
      </c>
      <c r="F11" s="55" t="s">
        <v>64</v>
      </c>
      <c r="G11" s="9">
        <v>0.86805555555555558</v>
      </c>
      <c r="H11" s="9">
        <v>0.90277777777777779</v>
      </c>
      <c r="I11" s="10">
        <f t="shared" si="1"/>
        <v>3.472222222222221E-2</v>
      </c>
      <c r="J11" s="11">
        <v>3</v>
      </c>
      <c r="K11" s="11">
        <v>80</v>
      </c>
      <c r="L11" s="16">
        <f t="shared" si="2"/>
        <v>32.000000000000007</v>
      </c>
      <c r="M11" s="11">
        <v>50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40" ht="25.05" customHeight="1">
      <c r="B12" s="13"/>
      <c r="C12" s="14"/>
      <c r="D12" s="30" t="s">
        <v>579</v>
      </c>
      <c r="E12" s="182" t="s">
        <v>676</v>
      </c>
      <c r="F12" s="55" t="s">
        <v>677</v>
      </c>
      <c r="G12" s="9">
        <v>9.375E-2</v>
      </c>
      <c r="H12" s="9">
        <v>0.24305555555555555</v>
      </c>
      <c r="I12" s="10">
        <f t="shared" si="1"/>
        <v>0.14930555555555555</v>
      </c>
      <c r="J12" s="11">
        <v>10</v>
      </c>
      <c r="K12" s="11">
        <v>581.76</v>
      </c>
      <c r="L12" s="16">
        <f t="shared" si="2"/>
        <v>16.235162790697675</v>
      </c>
      <c r="M12" s="11"/>
      <c r="N12" s="11"/>
      <c r="O12" s="11"/>
      <c r="P12" s="11"/>
      <c r="Q12" s="11"/>
      <c r="R12" s="12"/>
      <c r="S12" s="12">
        <v>215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40" ht="25.05" customHeight="1">
      <c r="B13" s="13"/>
      <c r="C13" s="14"/>
      <c r="D13" s="6"/>
      <c r="E13" s="15"/>
      <c r="F13" s="55"/>
      <c r="G13" s="9"/>
      <c r="H13" s="9"/>
      <c r="I13" s="10">
        <f t="shared" si="1"/>
        <v>0</v>
      </c>
      <c r="J13" s="11"/>
      <c r="K13" s="11"/>
      <c r="L13" s="16" t="str">
        <f t="shared" si="2"/>
        <v>0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40" ht="25.05" customHeight="1">
      <c r="B14" s="13"/>
      <c r="C14" s="14"/>
      <c r="D14" s="6"/>
      <c r="E14" s="15"/>
      <c r="F14" s="55"/>
      <c r="G14" s="9"/>
      <c r="H14" s="9"/>
      <c r="I14" s="10">
        <f t="shared" si="1"/>
        <v>0</v>
      </c>
      <c r="J14" s="11"/>
      <c r="K14" s="11"/>
      <c r="L14" s="16" t="str">
        <f t="shared" si="2"/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40" ht="25.05" customHeight="1">
      <c r="B15" s="13"/>
      <c r="C15" s="14"/>
      <c r="D15" s="6"/>
      <c r="E15" s="15"/>
      <c r="F15" s="55"/>
      <c r="G15" s="9"/>
      <c r="H15" s="9"/>
      <c r="I15" s="10">
        <f t="shared" si="1"/>
        <v>0</v>
      </c>
      <c r="J15" s="11"/>
      <c r="K15" s="11"/>
      <c r="L15" s="16" t="str">
        <f t="shared" si="2"/>
        <v>0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spans="1:40" s="28" customFormat="1" ht="25.05" customHeight="1">
      <c r="A16" s="2"/>
      <c r="B16" s="21"/>
      <c r="C16" s="22"/>
      <c r="D16" s="23"/>
      <c r="E16" s="24"/>
      <c r="F16" s="24"/>
      <c r="G16" s="25"/>
      <c r="H16" s="25"/>
      <c r="I16" s="26"/>
      <c r="J16" s="27"/>
      <c r="K16" s="27">
        <f t="shared" ref="K16:W16" si="3">SUM(K5:K12)</f>
        <v>1510.56</v>
      </c>
      <c r="L16" s="39">
        <f t="shared" si="3"/>
        <v>277.60044637605569</v>
      </c>
      <c r="M16" s="27">
        <f t="shared" si="3"/>
        <v>104</v>
      </c>
      <c r="N16" s="27">
        <f t="shared" si="3"/>
        <v>0</v>
      </c>
      <c r="O16" s="27">
        <f t="shared" si="3"/>
        <v>0</v>
      </c>
      <c r="P16" s="27">
        <f t="shared" si="3"/>
        <v>0</v>
      </c>
      <c r="Q16" s="27">
        <f t="shared" si="3"/>
        <v>0</v>
      </c>
      <c r="R16" s="27">
        <f t="shared" si="3"/>
        <v>0</v>
      </c>
      <c r="S16" s="27">
        <f t="shared" si="3"/>
        <v>613</v>
      </c>
      <c r="T16" s="27">
        <f t="shared" si="3"/>
        <v>0</v>
      </c>
      <c r="U16" s="27">
        <f t="shared" si="3"/>
        <v>0</v>
      </c>
      <c r="V16" s="27">
        <f t="shared" si="3"/>
        <v>0</v>
      </c>
      <c r="W16" s="27">
        <f t="shared" si="3"/>
        <v>0</v>
      </c>
      <c r="X16" s="27">
        <f t="shared" ref="X16:AM16" si="4">SUM(X5:X12)</f>
        <v>0</v>
      </c>
      <c r="Y16" s="27">
        <f t="shared" si="4"/>
        <v>0</v>
      </c>
      <c r="Z16" s="27">
        <f t="shared" si="4"/>
        <v>0</v>
      </c>
      <c r="AA16" s="27">
        <f t="shared" si="4"/>
        <v>0</v>
      </c>
      <c r="AB16" s="27">
        <f t="shared" si="4"/>
        <v>0</v>
      </c>
      <c r="AC16" s="27">
        <f t="shared" si="4"/>
        <v>0</v>
      </c>
      <c r="AD16" s="27">
        <f t="shared" si="4"/>
        <v>0</v>
      </c>
      <c r="AE16" s="27">
        <f t="shared" si="4"/>
        <v>0</v>
      </c>
      <c r="AF16" s="27">
        <f t="shared" si="4"/>
        <v>0</v>
      </c>
      <c r="AG16" s="27">
        <f t="shared" si="4"/>
        <v>0</v>
      </c>
      <c r="AH16" s="27">
        <f t="shared" si="4"/>
        <v>0</v>
      </c>
      <c r="AI16" s="27">
        <f t="shared" si="4"/>
        <v>0</v>
      </c>
      <c r="AJ16" s="27">
        <f t="shared" si="4"/>
        <v>0</v>
      </c>
      <c r="AK16" s="27">
        <f t="shared" si="4"/>
        <v>0</v>
      </c>
      <c r="AL16" s="27">
        <f t="shared" si="4"/>
        <v>0</v>
      </c>
      <c r="AM16" s="27">
        <f t="shared" si="4"/>
        <v>0</v>
      </c>
    </row>
    <row r="17" spans="1:39" ht="25.05" customHeight="1">
      <c r="B17" s="13"/>
      <c r="C17" s="14" t="s">
        <v>43</v>
      </c>
      <c r="D17" s="6"/>
      <c r="E17" s="7" t="s">
        <v>41</v>
      </c>
      <c r="F17" s="8" t="s">
        <v>42</v>
      </c>
      <c r="G17" s="9"/>
      <c r="H17" s="9"/>
      <c r="I17" s="10">
        <f>H17-G17</f>
        <v>0</v>
      </c>
      <c r="J17" s="11"/>
      <c r="K17" s="11"/>
      <c r="L17" s="16" t="str">
        <f>IFERROR(((K17/(J17*I17)/24)),"0")</f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spans="1:39" ht="25.05" customHeight="1">
      <c r="B18" s="13"/>
      <c r="C18" s="14"/>
      <c r="D18" s="18"/>
      <c r="E18" s="6"/>
      <c r="F18" s="14"/>
      <c r="G18" s="9"/>
      <c r="H18" s="9"/>
      <c r="I18" s="10"/>
      <c r="J18" s="11"/>
      <c r="K18" s="11"/>
      <c r="L18" s="16"/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s="28" customFormat="1" ht="25.05" customHeight="1">
      <c r="A19" s="2"/>
      <c r="B19" s="21"/>
      <c r="C19" s="22"/>
      <c r="D19" s="23"/>
      <c r="E19" s="24"/>
      <c r="F19" s="22"/>
      <c r="G19" s="25"/>
      <c r="H19" s="25"/>
      <c r="I19" s="26"/>
      <c r="J19" s="27"/>
      <c r="K19" s="27">
        <f t="shared" ref="K19:AJ19" si="5">SUM(K17:K18)</f>
        <v>0</v>
      </c>
      <c r="L19" s="27">
        <f t="shared" si="5"/>
        <v>0</v>
      </c>
      <c r="M19" s="27">
        <f t="shared" si="5"/>
        <v>0</v>
      </c>
      <c r="N19" s="27">
        <f t="shared" si="5"/>
        <v>0</v>
      </c>
      <c r="O19" s="27">
        <f t="shared" si="5"/>
        <v>0</v>
      </c>
      <c r="P19" s="27">
        <f t="shared" si="5"/>
        <v>0</v>
      </c>
      <c r="Q19" s="27">
        <f t="shared" si="5"/>
        <v>0</v>
      </c>
      <c r="R19" s="27">
        <f t="shared" si="5"/>
        <v>0</v>
      </c>
      <c r="S19" s="27">
        <f t="shared" si="5"/>
        <v>0</v>
      </c>
      <c r="T19" s="27">
        <f t="shared" si="5"/>
        <v>0</v>
      </c>
      <c r="U19" s="27">
        <f t="shared" si="5"/>
        <v>0</v>
      </c>
      <c r="V19" s="27">
        <f t="shared" si="5"/>
        <v>0</v>
      </c>
      <c r="W19" s="27">
        <f t="shared" si="5"/>
        <v>0</v>
      </c>
      <c r="X19" s="27">
        <f t="shared" si="5"/>
        <v>0</v>
      </c>
      <c r="Y19" s="27">
        <f t="shared" si="5"/>
        <v>0</v>
      </c>
      <c r="Z19" s="27">
        <f t="shared" si="5"/>
        <v>0</v>
      </c>
      <c r="AA19" s="27">
        <f t="shared" si="5"/>
        <v>0</v>
      </c>
      <c r="AB19" s="27">
        <f t="shared" si="5"/>
        <v>0</v>
      </c>
      <c r="AC19" s="27">
        <f t="shared" si="5"/>
        <v>0</v>
      </c>
      <c r="AD19" s="27">
        <f t="shared" si="5"/>
        <v>0</v>
      </c>
      <c r="AE19" s="27">
        <f t="shared" si="5"/>
        <v>0</v>
      </c>
      <c r="AF19" s="27">
        <f t="shared" si="5"/>
        <v>0</v>
      </c>
      <c r="AG19" s="27">
        <f t="shared" si="5"/>
        <v>0</v>
      </c>
      <c r="AH19" s="27">
        <f t="shared" si="5"/>
        <v>0</v>
      </c>
      <c r="AI19" s="27">
        <f t="shared" si="5"/>
        <v>0</v>
      </c>
      <c r="AJ19" s="27">
        <f t="shared" si="5"/>
        <v>0</v>
      </c>
      <c r="AK19" s="27">
        <f>SUM(AK17:AK18)</f>
        <v>0</v>
      </c>
      <c r="AL19" s="27">
        <f>SUM(AL17:AL18)</f>
        <v>0</v>
      </c>
      <c r="AM19" s="27">
        <f>SUM(AM17:AM18)</f>
        <v>0</v>
      </c>
    </row>
    <row r="20" spans="1:39" ht="25.05" customHeight="1">
      <c r="B20" s="5"/>
      <c r="C20" s="29" t="s">
        <v>44</v>
      </c>
      <c r="D20" s="178" t="s">
        <v>448</v>
      </c>
      <c r="E20" s="7" t="s">
        <v>41</v>
      </c>
      <c r="F20" s="8" t="s">
        <v>42</v>
      </c>
      <c r="G20" s="9">
        <v>0.79166666666666663</v>
      </c>
      <c r="H20" s="9">
        <v>0.83333333333333337</v>
      </c>
      <c r="I20" s="10">
        <f t="shared" ref="I20:I46" si="6">H20-G20</f>
        <v>4.1666666666666741E-2</v>
      </c>
      <c r="J20" s="11">
        <v>5</v>
      </c>
      <c r="K20" s="180" t="s">
        <v>42</v>
      </c>
      <c r="L20" s="64" t="s">
        <v>42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4"/>
    </row>
    <row r="21" spans="1:39" ht="25.05" customHeight="1">
      <c r="B21" s="13"/>
      <c r="C21" s="29"/>
      <c r="D21" s="30" t="s">
        <v>301</v>
      </c>
      <c r="E21" s="19" t="s">
        <v>678</v>
      </c>
      <c r="F21" s="8" t="s">
        <v>42</v>
      </c>
      <c r="G21" s="9">
        <v>0.90763888888888888</v>
      </c>
      <c r="H21" s="9">
        <v>0.93680555555555556</v>
      </c>
      <c r="I21" s="10">
        <f t="shared" si="6"/>
        <v>2.9166666666666674E-2</v>
      </c>
      <c r="J21" s="11">
        <v>2</v>
      </c>
      <c r="K21" s="11">
        <v>71.540000000000006</v>
      </c>
      <c r="L21" s="16">
        <f t="shared" ref="L21:L47" si="7">IFERROR(((K21/(J21*I21)/24)),"0")</f>
        <v>51.099999999999994</v>
      </c>
      <c r="M21" s="11"/>
      <c r="N21" s="11"/>
      <c r="O21" s="11"/>
      <c r="P21" s="11"/>
      <c r="Q21" s="11"/>
      <c r="R21" s="12"/>
      <c r="S21" s="12"/>
      <c r="T21" s="11"/>
      <c r="U21" s="11"/>
      <c r="V21" s="12">
        <v>2</v>
      </c>
      <c r="W21" s="12"/>
      <c r="X21" s="11"/>
      <c r="Y21" s="11"/>
      <c r="Z21" s="11"/>
      <c r="AA21" s="11"/>
      <c r="AB21" s="11"/>
      <c r="AC21" s="11"/>
      <c r="AD21" s="11"/>
      <c r="AE21" s="11">
        <v>42</v>
      </c>
      <c r="AF21" s="11"/>
      <c r="AG21" s="11"/>
      <c r="AH21" s="11"/>
      <c r="AI21" s="11"/>
      <c r="AJ21" s="11"/>
      <c r="AK21" s="11"/>
      <c r="AL21" s="11"/>
      <c r="AM21" s="14"/>
    </row>
    <row r="22" spans="1:39" ht="25.05" customHeight="1">
      <c r="B22" s="13"/>
      <c r="C22" s="29"/>
      <c r="D22" s="30"/>
      <c r="E22" s="19" t="s">
        <v>267</v>
      </c>
      <c r="F22" s="8" t="s">
        <v>42</v>
      </c>
      <c r="G22" s="9">
        <v>1.8749999999999999E-2</v>
      </c>
      <c r="H22" s="9">
        <v>4.027777777777778E-2</v>
      </c>
      <c r="I22" s="10">
        <f t="shared" si="6"/>
        <v>2.1527777777777781E-2</v>
      </c>
      <c r="J22" s="11">
        <v>4</v>
      </c>
      <c r="K22" s="11">
        <v>93.43</v>
      </c>
      <c r="L22" s="16">
        <f t="shared" si="7"/>
        <v>45.208064516129035</v>
      </c>
      <c r="M22" s="11"/>
      <c r="N22" s="11"/>
      <c r="O22" s="11"/>
      <c r="P22" s="11"/>
      <c r="Q22" s="11"/>
      <c r="R22" s="12"/>
      <c r="S22" s="12"/>
      <c r="T22" s="11"/>
      <c r="U22" s="11"/>
      <c r="V22" s="12">
        <v>2</v>
      </c>
      <c r="W22" s="12"/>
      <c r="X22" s="11"/>
      <c r="Y22" s="11"/>
      <c r="Z22" s="11"/>
      <c r="AA22" s="11"/>
      <c r="AB22" s="11"/>
      <c r="AC22" s="11"/>
      <c r="AD22" s="11">
        <v>31</v>
      </c>
      <c r="AE22" s="11"/>
      <c r="AF22" s="11"/>
      <c r="AG22" s="11"/>
      <c r="AH22" s="11"/>
      <c r="AI22" s="11"/>
      <c r="AJ22" s="11"/>
      <c r="AK22" s="11"/>
      <c r="AL22" s="11"/>
      <c r="AM22" s="14"/>
    </row>
    <row r="23" spans="1:39" ht="25.05" customHeight="1">
      <c r="B23" s="13"/>
      <c r="C23" s="29"/>
      <c r="D23" s="30"/>
      <c r="E23" s="19" t="s">
        <v>268</v>
      </c>
      <c r="F23" s="8" t="s">
        <v>42</v>
      </c>
      <c r="G23" s="9">
        <v>1.8749999999999999E-2</v>
      </c>
      <c r="H23" s="9">
        <v>4.0972222222222222E-2</v>
      </c>
      <c r="I23" s="10">
        <f t="shared" si="6"/>
        <v>2.2222222222222223E-2</v>
      </c>
      <c r="J23" s="11">
        <v>4</v>
      </c>
      <c r="K23" s="11">
        <v>97.09</v>
      </c>
      <c r="L23" s="16">
        <f t="shared" si="7"/>
        <v>45.510937500000004</v>
      </c>
      <c r="M23" s="11"/>
      <c r="N23" s="11"/>
      <c r="O23" s="11"/>
      <c r="P23" s="11"/>
      <c r="Q23" s="11"/>
      <c r="R23" s="12"/>
      <c r="S23" s="12"/>
      <c r="T23" s="11"/>
      <c r="U23" s="11"/>
      <c r="V23" s="12">
        <v>2</v>
      </c>
      <c r="W23" s="12"/>
      <c r="X23" s="11"/>
      <c r="Y23" s="11"/>
      <c r="Z23" s="11"/>
      <c r="AA23" s="11"/>
      <c r="AB23" s="11"/>
      <c r="AC23" s="11"/>
      <c r="AD23" s="11"/>
      <c r="AE23" s="11">
        <v>32</v>
      </c>
      <c r="AF23" s="11"/>
      <c r="AG23" s="11"/>
      <c r="AH23" s="11"/>
      <c r="AI23" s="11"/>
      <c r="AJ23" s="11"/>
      <c r="AK23" s="11"/>
      <c r="AL23" s="11"/>
      <c r="AM23" s="14"/>
    </row>
    <row r="24" spans="1:39" ht="25.05" customHeight="1">
      <c r="B24" s="13"/>
      <c r="C24" s="29"/>
      <c r="D24" s="30"/>
      <c r="E24" s="19" t="s">
        <v>269</v>
      </c>
      <c r="F24" s="8" t="s">
        <v>42</v>
      </c>
      <c r="G24" s="9">
        <v>4.9305555555555554E-2</v>
      </c>
      <c r="H24" s="9">
        <v>7.4999999999999997E-2</v>
      </c>
      <c r="I24" s="10">
        <f t="shared" si="6"/>
        <v>2.5694444444444443E-2</v>
      </c>
      <c r="J24" s="11">
        <v>4</v>
      </c>
      <c r="K24" s="11">
        <v>86.62</v>
      </c>
      <c r="L24" s="16">
        <f t="shared" si="7"/>
        <v>35.116216216216223</v>
      </c>
      <c r="M24" s="11"/>
      <c r="N24" s="11"/>
      <c r="O24" s="11"/>
      <c r="P24" s="11"/>
      <c r="Q24" s="11"/>
      <c r="R24" s="12"/>
      <c r="S24" s="12"/>
      <c r="T24" s="11"/>
      <c r="U24" s="11"/>
      <c r="V24" s="12">
        <v>2</v>
      </c>
      <c r="W24" s="12"/>
      <c r="X24" s="11"/>
      <c r="Y24" s="11"/>
      <c r="Z24" s="11"/>
      <c r="AA24" s="11"/>
      <c r="AB24" s="11"/>
      <c r="AC24" s="11"/>
      <c r="AD24" s="11">
        <v>37</v>
      </c>
      <c r="AE24" s="11"/>
      <c r="AF24" s="11"/>
      <c r="AG24" s="11"/>
      <c r="AH24" s="11"/>
      <c r="AI24" s="11"/>
      <c r="AJ24" s="11"/>
      <c r="AK24" s="11"/>
      <c r="AL24" s="11"/>
      <c r="AM24" s="14"/>
    </row>
    <row r="25" spans="1:39" ht="25.05" customHeight="1">
      <c r="B25" s="13"/>
      <c r="C25" s="29"/>
      <c r="D25" s="30"/>
      <c r="E25" s="19" t="s">
        <v>270</v>
      </c>
      <c r="F25" s="8" t="s">
        <v>42</v>
      </c>
      <c r="G25" s="9">
        <v>6.1111111111111109E-2</v>
      </c>
      <c r="H25" s="9">
        <v>8.1944444444444445E-2</v>
      </c>
      <c r="I25" s="10">
        <f t="shared" si="6"/>
        <v>2.0833333333333336E-2</v>
      </c>
      <c r="J25" s="11">
        <v>4</v>
      </c>
      <c r="K25" s="11">
        <v>95.06</v>
      </c>
      <c r="L25" s="16">
        <f t="shared" si="7"/>
        <v>47.529999999999994</v>
      </c>
      <c r="M25" s="11"/>
      <c r="N25" s="11"/>
      <c r="O25" s="11"/>
      <c r="P25" s="11"/>
      <c r="Q25" s="11"/>
      <c r="R25" s="12"/>
      <c r="S25" s="12"/>
      <c r="T25" s="11"/>
      <c r="U25" s="11"/>
      <c r="V25" s="12">
        <v>2</v>
      </c>
      <c r="W25" s="12"/>
      <c r="X25" s="11"/>
      <c r="Y25" s="11"/>
      <c r="Z25" s="11"/>
      <c r="AA25" s="11"/>
      <c r="AB25" s="11"/>
      <c r="AC25" s="11"/>
      <c r="AD25" s="11"/>
      <c r="AE25" s="11">
        <v>30</v>
      </c>
      <c r="AF25" s="11"/>
      <c r="AG25" s="11"/>
      <c r="AH25" s="11"/>
      <c r="AI25" s="11"/>
      <c r="AJ25" s="11"/>
      <c r="AK25" s="11"/>
      <c r="AL25" s="11"/>
      <c r="AM25" s="14"/>
    </row>
    <row r="26" spans="1:39" ht="25.05" customHeight="1">
      <c r="B26" s="13"/>
      <c r="C26" s="29"/>
      <c r="D26" s="30"/>
      <c r="E26" s="19" t="s">
        <v>679</v>
      </c>
      <c r="F26" s="8" t="s">
        <v>42</v>
      </c>
      <c r="G26" s="9">
        <v>8.611111111111111E-2</v>
      </c>
      <c r="H26" s="9">
        <v>0.10694444444444444</v>
      </c>
      <c r="I26" s="10">
        <f t="shared" si="6"/>
        <v>2.0833333333333329E-2</v>
      </c>
      <c r="J26" s="11">
        <v>4</v>
      </c>
      <c r="K26" s="11">
        <v>95.32</v>
      </c>
      <c r="L26" s="16">
        <f t="shared" si="7"/>
        <v>47.660000000000004</v>
      </c>
      <c r="M26" s="11"/>
      <c r="N26" s="11"/>
      <c r="O26" s="11"/>
      <c r="P26" s="11"/>
      <c r="Q26" s="11"/>
      <c r="R26" s="12"/>
      <c r="S26" s="12"/>
      <c r="T26" s="11"/>
      <c r="U26" s="11"/>
      <c r="V26" s="12">
        <v>2</v>
      </c>
      <c r="W26" s="12"/>
      <c r="X26" s="11"/>
      <c r="Y26" s="11"/>
      <c r="Z26" s="11"/>
      <c r="AA26" s="11"/>
      <c r="AB26" s="11"/>
      <c r="AC26" s="11"/>
      <c r="AD26" s="11">
        <v>30</v>
      </c>
      <c r="AE26" s="11"/>
      <c r="AF26" s="11"/>
      <c r="AG26" s="11"/>
      <c r="AH26" s="11"/>
      <c r="AI26" s="11"/>
      <c r="AJ26" s="11"/>
      <c r="AK26" s="11"/>
      <c r="AL26" s="11"/>
      <c r="AM26" s="14"/>
    </row>
    <row r="27" spans="1:39" ht="25.05" customHeight="1">
      <c r="B27" s="13"/>
      <c r="C27" s="29"/>
      <c r="D27" s="30"/>
      <c r="E27" s="19"/>
      <c r="F27" s="8" t="s">
        <v>42</v>
      </c>
      <c r="G27" s="9"/>
      <c r="H27" s="9"/>
      <c r="I27" s="10"/>
      <c r="J27" s="11"/>
      <c r="K27" s="11"/>
      <c r="L27" s="16"/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4"/>
    </row>
    <row r="28" spans="1:39" ht="25.05" customHeight="1">
      <c r="B28" s="13"/>
      <c r="C28" s="29"/>
      <c r="D28" s="30" t="s">
        <v>579</v>
      </c>
      <c r="E28" s="19" t="s">
        <v>680</v>
      </c>
      <c r="F28" s="8" t="s">
        <v>42</v>
      </c>
      <c r="G28" s="9">
        <v>0.85416666666666663</v>
      </c>
      <c r="H28" s="9">
        <v>0.85902777777777772</v>
      </c>
      <c r="I28" s="10">
        <f t="shared" si="6"/>
        <v>4.8611111111110938E-3</v>
      </c>
      <c r="J28" s="11">
        <v>3</v>
      </c>
      <c r="K28" s="11">
        <v>68.37</v>
      </c>
      <c r="L28" s="16">
        <f t="shared" si="7"/>
        <v>195.34285714285784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>
        <v>7</v>
      </c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4"/>
    </row>
    <row r="29" spans="1:39" ht="25.05" customHeight="1">
      <c r="B29" s="13"/>
      <c r="C29" s="29"/>
      <c r="D29" s="181" t="s">
        <v>681</v>
      </c>
      <c r="E29" s="19" t="s">
        <v>682</v>
      </c>
      <c r="F29" s="8" t="s">
        <v>42</v>
      </c>
      <c r="G29" s="9">
        <v>0.85555555555555551</v>
      </c>
      <c r="H29" s="9">
        <v>0.86041666666666672</v>
      </c>
      <c r="I29" s="10">
        <f t="shared" si="6"/>
        <v>4.8611111111112049E-3</v>
      </c>
      <c r="J29" s="11">
        <v>3</v>
      </c>
      <c r="K29" s="11">
        <v>68.37</v>
      </c>
      <c r="L29" s="16">
        <f t="shared" si="7"/>
        <v>195.3428571428534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>
        <v>7</v>
      </c>
      <c r="AD29" s="11"/>
      <c r="AE29" s="11"/>
      <c r="AF29" s="11"/>
      <c r="AG29" s="11"/>
      <c r="AH29" s="11"/>
      <c r="AI29" s="11"/>
      <c r="AJ29" s="11"/>
      <c r="AK29" s="11"/>
      <c r="AL29" s="11"/>
      <c r="AM29" s="14"/>
    </row>
    <row r="30" spans="1:39" ht="25.05" customHeight="1">
      <c r="B30" s="13"/>
      <c r="C30" s="29"/>
      <c r="D30" s="30"/>
      <c r="E30" s="19" t="s">
        <v>683</v>
      </c>
      <c r="F30" s="8" t="s">
        <v>42</v>
      </c>
      <c r="G30" s="9">
        <v>0.86597222222222225</v>
      </c>
      <c r="H30" s="9">
        <v>0.87083333333333335</v>
      </c>
      <c r="I30" s="10">
        <f t="shared" si="6"/>
        <v>4.8611111111110938E-3</v>
      </c>
      <c r="J30" s="11">
        <v>3</v>
      </c>
      <c r="K30" s="11">
        <v>68.37</v>
      </c>
      <c r="L30" s="16">
        <f t="shared" si="7"/>
        <v>195.34285714285784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>
        <v>7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4"/>
    </row>
    <row r="31" spans="1:39" ht="25.05" customHeight="1">
      <c r="B31" s="13"/>
      <c r="C31" s="29"/>
      <c r="D31" s="30"/>
      <c r="E31" s="19" t="s">
        <v>684</v>
      </c>
      <c r="F31" s="8" t="s">
        <v>42</v>
      </c>
      <c r="G31" s="9">
        <v>0.86805555555555558</v>
      </c>
      <c r="H31" s="9">
        <v>0.87291666666666667</v>
      </c>
      <c r="I31" s="10">
        <f t="shared" si="6"/>
        <v>4.8611111111110938E-3</v>
      </c>
      <c r="J31" s="11">
        <v>3</v>
      </c>
      <c r="K31" s="11">
        <v>68.37</v>
      </c>
      <c r="L31" s="16">
        <f t="shared" si="7"/>
        <v>195.34285714285784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>
        <v>7</v>
      </c>
      <c r="AD31" s="11"/>
      <c r="AE31" s="11"/>
      <c r="AF31" s="11"/>
      <c r="AG31" s="11"/>
      <c r="AH31" s="11"/>
      <c r="AI31" s="11"/>
      <c r="AJ31" s="11"/>
      <c r="AK31" s="11"/>
      <c r="AL31" s="11"/>
      <c r="AM31" s="14"/>
    </row>
    <row r="32" spans="1:39" ht="25.05" customHeight="1">
      <c r="B32" s="13"/>
      <c r="C32" s="29"/>
      <c r="D32" s="30"/>
      <c r="E32" s="19" t="s">
        <v>685</v>
      </c>
      <c r="F32" s="8" t="s">
        <v>42</v>
      </c>
      <c r="G32" s="9">
        <v>0.8833333333333333</v>
      </c>
      <c r="H32" s="9">
        <v>0.8881944444444444</v>
      </c>
      <c r="I32" s="10">
        <f t="shared" si="6"/>
        <v>4.8611111111110938E-3</v>
      </c>
      <c r="J32" s="11">
        <v>3</v>
      </c>
      <c r="K32" s="11">
        <v>68.37</v>
      </c>
      <c r="L32" s="16">
        <f t="shared" si="7"/>
        <v>195.34285714285784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>
        <v>7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4"/>
    </row>
    <row r="33" spans="2:39" ht="25.05" customHeight="1">
      <c r="B33" s="13"/>
      <c r="C33" s="29"/>
      <c r="D33" s="30"/>
      <c r="E33" s="19" t="s">
        <v>686</v>
      </c>
      <c r="F33" s="8" t="s">
        <v>42</v>
      </c>
      <c r="G33" s="9">
        <v>0.88541666666666663</v>
      </c>
      <c r="H33" s="9">
        <v>0.89027777777777772</v>
      </c>
      <c r="I33" s="10">
        <f t="shared" si="6"/>
        <v>4.8611111111110938E-3</v>
      </c>
      <c r="J33" s="11">
        <v>3</v>
      </c>
      <c r="K33" s="11">
        <v>68.37</v>
      </c>
      <c r="L33" s="16">
        <f t="shared" si="7"/>
        <v>195.34285714285784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>
        <v>7</v>
      </c>
      <c r="AD33" s="11"/>
      <c r="AE33" s="11"/>
      <c r="AF33" s="11"/>
      <c r="AG33" s="11"/>
      <c r="AH33" s="11"/>
      <c r="AI33" s="11"/>
      <c r="AJ33" s="11"/>
      <c r="AK33" s="11"/>
      <c r="AL33" s="11"/>
      <c r="AM33" s="14"/>
    </row>
    <row r="34" spans="2:39" ht="25.05" customHeight="1">
      <c r="B34" s="13"/>
      <c r="C34" s="29"/>
      <c r="D34" s="30"/>
      <c r="E34" s="19" t="s">
        <v>687</v>
      </c>
      <c r="F34" s="8" t="s">
        <v>42</v>
      </c>
      <c r="G34" s="9">
        <v>0.9</v>
      </c>
      <c r="H34" s="9">
        <v>0.90486111111111112</v>
      </c>
      <c r="I34" s="10">
        <f t="shared" si="6"/>
        <v>4.8611111111110938E-3</v>
      </c>
      <c r="J34" s="11">
        <v>3</v>
      </c>
      <c r="K34" s="11">
        <v>68.37</v>
      </c>
      <c r="L34" s="16">
        <f t="shared" si="7"/>
        <v>195.34285714285784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>
        <v>7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4"/>
    </row>
    <row r="35" spans="2:39" ht="25.05" customHeight="1">
      <c r="B35" s="13"/>
      <c r="C35" s="29"/>
      <c r="D35" s="30"/>
      <c r="E35" s="19" t="s">
        <v>688</v>
      </c>
      <c r="F35" s="8" t="s">
        <v>42</v>
      </c>
      <c r="G35" s="9">
        <v>0.90416666666666667</v>
      </c>
      <c r="H35" s="9">
        <v>0.90902777777777777</v>
      </c>
      <c r="I35" s="10">
        <f t="shared" si="6"/>
        <v>4.8611111111110938E-3</v>
      </c>
      <c r="J35" s="11">
        <v>3</v>
      </c>
      <c r="K35" s="11">
        <v>68.37</v>
      </c>
      <c r="L35" s="16">
        <f t="shared" si="7"/>
        <v>195.34285714285784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>
        <v>7</v>
      </c>
      <c r="AD35" s="11"/>
      <c r="AE35" s="11"/>
      <c r="AF35" s="11"/>
      <c r="AG35" s="11"/>
      <c r="AH35" s="11"/>
      <c r="AI35" s="11"/>
      <c r="AJ35" s="11"/>
      <c r="AK35" s="11"/>
      <c r="AL35" s="11"/>
      <c r="AM35" s="14"/>
    </row>
    <row r="36" spans="2:39" ht="25.05" customHeight="1">
      <c r="B36" s="13"/>
      <c r="C36" s="29"/>
      <c r="D36" s="30"/>
      <c r="E36" s="19" t="s">
        <v>689</v>
      </c>
      <c r="F36" s="8" t="s">
        <v>42</v>
      </c>
      <c r="G36" s="9">
        <v>0.91666666666666663</v>
      </c>
      <c r="H36" s="9">
        <v>0.92152777777777772</v>
      </c>
      <c r="I36" s="10">
        <f t="shared" si="6"/>
        <v>4.8611111111110938E-3</v>
      </c>
      <c r="J36" s="11">
        <v>3</v>
      </c>
      <c r="K36" s="11">
        <v>68.37</v>
      </c>
      <c r="L36" s="16">
        <f t="shared" si="7"/>
        <v>195.34285714285784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/>
      <c r="X36" s="11"/>
      <c r="Y36" s="11"/>
      <c r="Z36" s="11"/>
      <c r="AA36" s="11"/>
      <c r="AB36" s="11">
        <v>7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4"/>
    </row>
    <row r="37" spans="2:39" ht="25.05" customHeight="1">
      <c r="B37" s="13"/>
      <c r="C37" s="29"/>
      <c r="D37" s="30"/>
      <c r="E37" s="19" t="s">
        <v>690</v>
      </c>
      <c r="F37" s="8" t="s">
        <v>42</v>
      </c>
      <c r="G37" s="9">
        <v>0.92361111111111116</v>
      </c>
      <c r="H37" s="9">
        <v>0.92847222222222225</v>
      </c>
      <c r="I37" s="10">
        <f t="shared" si="6"/>
        <v>4.8611111111110938E-3</v>
      </c>
      <c r="J37" s="11">
        <v>3</v>
      </c>
      <c r="K37" s="11">
        <v>68.37</v>
      </c>
      <c r="L37" s="16">
        <f t="shared" si="7"/>
        <v>195.34285714285784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/>
      <c r="X37" s="11"/>
      <c r="Y37" s="11"/>
      <c r="Z37" s="11"/>
      <c r="AA37" s="11"/>
      <c r="AB37" s="11"/>
      <c r="AC37" s="11">
        <v>7</v>
      </c>
      <c r="AD37" s="11"/>
      <c r="AE37" s="11"/>
      <c r="AF37" s="11"/>
      <c r="AG37" s="11"/>
      <c r="AH37" s="11"/>
      <c r="AI37" s="11"/>
      <c r="AJ37" s="11"/>
      <c r="AK37" s="11"/>
      <c r="AL37" s="11"/>
      <c r="AM37" s="14"/>
    </row>
    <row r="38" spans="2:39" ht="25.05" customHeight="1">
      <c r="B38" s="13"/>
      <c r="C38" s="29"/>
      <c r="D38" s="30"/>
      <c r="E38" s="19" t="s">
        <v>691</v>
      </c>
      <c r="F38" s="8" t="s">
        <v>42</v>
      </c>
      <c r="G38" s="9">
        <v>0.87083333333333335</v>
      </c>
      <c r="H38" s="9">
        <v>0.87916666666666665</v>
      </c>
      <c r="I38" s="10">
        <f t="shared" si="6"/>
        <v>8.3333333333333037E-3</v>
      </c>
      <c r="J38" s="11">
        <v>3</v>
      </c>
      <c r="K38" s="11">
        <v>72.540000000000006</v>
      </c>
      <c r="L38" s="16">
        <f t="shared" si="7"/>
        <v>120.90000000000043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>
        <v>12</v>
      </c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4"/>
    </row>
    <row r="39" spans="2:39" ht="25.05" customHeight="1">
      <c r="B39" s="13"/>
      <c r="C39" s="29"/>
      <c r="D39" s="30"/>
      <c r="E39" s="19" t="s">
        <v>692</v>
      </c>
      <c r="F39" s="8" t="s">
        <v>42</v>
      </c>
      <c r="G39" s="9">
        <v>0.87291666666666667</v>
      </c>
      <c r="H39" s="9">
        <v>0.88124999999999998</v>
      </c>
      <c r="I39" s="10">
        <f t="shared" si="6"/>
        <v>8.3333333333333037E-3</v>
      </c>
      <c r="J39" s="11">
        <v>3</v>
      </c>
      <c r="K39" s="11">
        <v>69.599999999999994</v>
      </c>
      <c r="L39" s="16">
        <f t="shared" si="7"/>
        <v>116.0000000000004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>
        <v>12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4"/>
    </row>
    <row r="40" spans="2:39" ht="25.05" customHeight="1">
      <c r="B40" s="13"/>
      <c r="C40" s="29"/>
      <c r="D40" s="30"/>
      <c r="E40" s="19" t="s">
        <v>693</v>
      </c>
      <c r="F40" s="8" t="s">
        <v>42</v>
      </c>
      <c r="G40" s="9">
        <v>0.8833333333333333</v>
      </c>
      <c r="H40" s="9">
        <v>0.89166666666666672</v>
      </c>
      <c r="I40" s="10">
        <f t="shared" si="6"/>
        <v>8.3333333333334147E-3</v>
      </c>
      <c r="J40" s="11">
        <v>3</v>
      </c>
      <c r="K40" s="11">
        <v>75.150000000000006</v>
      </c>
      <c r="L40" s="16">
        <f t="shared" si="7"/>
        <v>125.24999999999879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/>
      <c r="X40" s="11">
        <v>12</v>
      </c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4"/>
    </row>
    <row r="41" spans="2:39" ht="25.05" customHeight="1">
      <c r="B41" s="13"/>
      <c r="C41" s="29"/>
      <c r="D41" s="30"/>
      <c r="E41" s="19" t="s">
        <v>694</v>
      </c>
      <c r="F41" s="8" t="s">
        <v>42</v>
      </c>
      <c r="G41" s="9">
        <v>0.88680555555555551</v>
      </c>
      <c r="H41" s="9">
        <v>0.89513888888888893</v>
      </c>
      <c r="I41" s="10">
        <f t="shared" si="6"/>
        <v>8.3333333333334147E-3</v>
      </c>
      <c r="J41" s="11">
        <v>3</v>
      </c>
      <c r="K41" s="11">
        <v>74.48</v>
      </c>
      <c r="L41" s="16">
        <f t="shared" si="7"/>
        <v>124.13333333333213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/>
      <c r="X41" s="11"/>
      <c r="Y41" s="11">
        <v>12</v>
      </c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4"/>
    </row>
    <row r="42" spans="2:39" ht="25.05" customHeight="1">
      <c r="B42" s="13"/>
      <c r="C42" s="29"/>
      <c r="D42" s="30"/>
      <c r="E42" s="19" t="s">
        <v>695</v>
      </c>
      <c r="F42" s="8" t="s">
        <v>42</v>
      </c>
      <c r="G42" s="9">
        <v>0.89722222222222225</v>
      </c>
      <c r="H42" s="9">
        <v>0.90555555555555556</v>
      </c>
      <c r="I42" s="10">
        <f t="shared" si="6"/>
        <v>8.3333333333333037E-3</v>
      </c>
      <c r="J42" s="11">
        <v>3</v>
      </c>
      <c r="K42" s="11">
        <v>73.55</v>
      </c>
      <c r="L42" s="16">
        <f t="shared" si="7"/>
        <v>122.58333333333377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>
        <v>12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4"/>
    </row>
    <row r="43" spans="2:39" ht="25.05" customHeight="1">
      <c r="B43" s="13"/>
      <c r="C43" s="29"/>
      <c r="D43" s="30"/>
      <c r="E43" s="19" t="s">
        <v>696</v>
      </c>
      <c r="F43" s="8" t="s">
        <v>42</v>
      </c>
      <c r="G43" s="9">
        <v>0.9</v>
      </c>
      <c r="H43" s="9">
        <v>0.90833333333333333</v>
      </c>
      <c r="I43" s="10">
        <f t="shared" si="6"/>
        <v>8.3333333333333037E-3</v>
      </c>
      <c r="J43" s="11">
        <v>3</v>
      </c>
      <c r="K43" s="11">
        <v>72.709999999999994</v>
      </c>
      <c r="L43" s="16">
        <f t="shared" si="7"/>
        <v>121.18333333333375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>
        <v>12</v>
      </c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4"/>
    </row>
    <row r="44" spans="2:39" ht="25.05" customHeight="1">
      <c r="B44" s="13"/>
      <c r="C44" s="29"/>
      <c r="D44" s="30"/>
      <c r="E44" s="19" t="s">
        <v>697</v>
      </c>
      <c r="F44" s="8" t="s">
        <v>42</v>
      </c>
      <c r="G44" s="9">
        <v>0.91736111111111107</v>
      </c>
      <c r="H44" s="9">
        <v>0.92569444444444449</v>
      </c>
      <c r="I44" s="10">
        <f t="shared" si="6"/>
        <v>8.3333333333334147E-3</v>
      </c>
      <c r="J44" s="11">
        <v>3</v>
      </c>
      <c r="K44" s="11">
        <v>73.3</v>
      </c>
      <c r="L44" s="16">
        <f t="shared" si="7"/>
        <v>122.16666666666548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>
        <v>12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4"/>
    </row>
    <row r="45" spans="2:39" ht="25.05" customHeight="1">
      <c r="B45" s="13"/>
      <c r="C45" s="29"/>
      <c r="D45" s="30"/>
      <c r="E45" s="19" t="s">
        <v>698</v>
      </c>
      <c r="F45" s="8" t="s">
        <v>42</v>
      </c>
      <c r="G45" s="9">
        <v>0.92013888888888884</v>
      </c>
      <c r="H45" s="9">
        <v>0.92847222222222225</v>
      </c>
      <c r="I45" s="10">
        <f t="shared" si="6"/>
        <v>8.3333333333334147E-3</v>
      </c>
      <c r="J45" s="11">
        <v>3</v>
      </c>
      <c r="K45" s="11">
        <v>73.61</v>
      </c>
      <c r="L45" s="16">
        <f t="shared" si="7"/>
        <v>122.68333333333213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>
        <v>12</v>
      </c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4"/>
    </row>
    <row r="46" spans="2:39" ht="25.05" customHeight="1">
      <c r="B46" s="13"/>
      <c r="C46" s="29"/>
      <c r="D46" s="30"/>
      <c r="E46" s="19" t="s">
        <v>699</v>
      </c>
      <c r="F46" s="8" t="s">
        <v>42</v>
      </c>
      <c r="G46" s="9">
        <v>0.93263888888888891</v>
      </c>
      <c r="H46" s="9">
        <v>0.94097222222222221</v>
      </c>
      <c r="I46" s="10">
        <f t="shared" si="6"/>
        <v>8.3333333333333037E-3</v>
      </c>
      <c r="J46" s="11">
        <v>3</v>
      </c>
      <c r="K46" s="11">
        <v>74.709999999999994</v>
      </c>
      <c r="L46" s="16">
        <f t="shared" si="7"/>
        <v>124.51666666666711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/>
      <c r="X46" s="11">
        <v>12</v>
      </c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4"/>
    </row>
    <row r="47" spans="2:39" ht="25.05" customHeight="1">
      <c r="B47" s="13"/>
      <c r="C47" s="29"/>
      <c r="D47" s="30"/>
      <c r="E47" s="19" t="s">
        <v>700</v>
      </c>
      <c r="F47" s="8" t="s">
        <v>42</v>
      </c>
      <c r="G47" s="9">
        <v>0.93611111111111112</v>
      </c>
      <c r="H47" s="9">
        <v>0.94444444444444442</v>
      </c>
      <c r="I47" s="10">
        <f t="shared" ref="I47:I56" si="8">H47-G47</f>
        <v>8.3333333333333037E-3</v>
      </c>
      <c r="J47" s="11">
        <v>3</v>
      </c>
      <c r="K47" s="11">
        <v>73.39</v>
      </c>
      <c r="L47" s="16">
        <f t="shared" si="7"/>
        <v>122.3166666666671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>
        <v>12</v>
      </c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4"/>
    </row>
    <row r="48" spans="2:39" ht="25.05" customHeight="1">
      <c r="B48" s="13"/>
      <c r="C48" s="29"/>
      <c r="D48" s="30"/>
      <c r="E48" s="19"/>
      <c r="F48" s="8" t="s">
        <v>42</v>
      </c>
      <c r="G48" s="9"/>
      <c r="H48" s="9"/>
      <c r="I48" s="10"/>
      <c r="J48" s="11"/>
      <c r="K48" s="11"/>
      <c r="L48" s="16"/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4"/>
    </row>
    <row r="49" spans="1:39" ht="25.05" customHeight="1">
      <c r="B49" s="13"/>
      <c r="C49" s="29"/>
      <c r="D49" s="30" t="s">
        <v>504</v>
      </c>
      <c r="E49" s="19" t="s">
        <v>248</v>
      </c>
      <c r="F49" s="8" t="s">
        <v>42</v>
      </c>
      <c r="G49" s="9">
        <v>0.83263888888888893</v>
      </c>
      <c r="H49" s="9">
        <v>0.89513888888888893</v>
      </c>
      <c r="I49" s="10">
        <f t="shared" si="8"/>
        <v>6.25E-2</v>
      </c>
      <c r="J49" s="11">
        <v>5</v>
      </c>
      <c r="K49" s="11">
        <v>119.08</v>
      </c>
      <c r="L49" s="16">
        <f t="shared" ref="L49:L56" si="9">IFERROR(((K49/(J49*I49)/24)),"0")</f>
        <v>15.877333333333333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>
        <v>22.5</v>
      </c>
      <c r="AI49" s="11">
        <v>22.5</v>
      </c>
      <c r="AJ49" s="11">
        <v>22.5</v>
      </c>
      <c r="AK49" s="11">
        <v>22.5</v>
      </c>
      <c r="AL49" s="11"/>
      <c r="AM49" s="14"/>
    </row>
    <row r="50" spans="1:39" ht="25.05" customHeight="1">
      <c r="B50" s="13"/>
      <c r="C50" s="29"/>
      <c r="D50" s="30"/>
      <c r="E50" s="19" t="s">
        <v>249</v>
      </c>
      <c r="F50" s="8" t="s">
        <v>42</v>
      </c>
      <c r="G50" s="9">
        <v>0.89583333333333337</v>
      </c>
      <c r="H50" s="9">
        <v>0.95694444444444449</v>
      </c>
      <c r="I50" s="10">
        <f t="shared" si="8"/>
        <v>6.1111111111111116E-2</v>
      </c>
      <c r="J50" s="11">
        <v>5</v>
      </c>
      <c r="K50" s="11">
        <v>121.7</v>
      </c>
      <c r="L50" s="16">
        <f t="shared" si="9"/>
        <v>16.595454545454544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>
        <v>22</v>
      </c>
      <c r="AI50" s="11">
        <v>22</v>
      </c>
      <c r="AJ50" s="11">
        <v>22</v>
      </c>
      <c r="AK50" s="11">
        <v>22</v>
      </c>
      <c r="AL50" s="11"/>
      <c r="AM50" s="14"/>
    </row>
    <row r="51" spans="1:39" ht="25.05" customHeight="1">
      <c r="B51" s="13"/>
      <c r="C51" s="29"/>
      <c r="D51" s="30"/>
      <c r="E51" s="19" t="s">
        <v>250</v>
      </c>
      <c r="F51" s="8" t="s">
        <v>42</v>
      </c>
      <c r="G51" s="9">
        <v>46106.957638888889</v>
      </c>
      <c r="H51" s="9">
        <v>46107.013194444444</v>
      </c>
      <c r="I51" s="10">
        <f t="shared" si="8"/>
        <v>5.5555555554747116E-2</v>
      </c>
      <c r="J51" s="11">
        <v>5</v>
      </c>
      <c r="K51" s="11">
        <v>124.1</v>
      </c>
      <c r="L51" s="16">
        <f t="shared" si="9"/>
        <v>18.615000000270882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>
        <v>20</v>
      </c>
      <c r="AI51" s="11">
        <v>20</v>
      </c>
      <c r="AJ51" s="11">
        <v>20</v>
      </c>
      <c r="AK51" s="11">
        <v>20</v>
      </c>
      <c r="AL51" s="11"/>
      <c r="AM51" s="14"/>
    </row>
    <row r="52" spans="1:39" ht="25.05" customHeight="1">
      <c r="B52" s="13"/>
      <c r="C52" s="29"/>
      <c r="D52" s="30"/>
      <c r="E52" s="19" t="s">
        <v>251</v>
      </c>
      <c r="F52" s="8" t="s">
        <v>42</v>
      </c>
      <c r="G52" s="9">
        <v>2.013888888888889E-2</v>
      </c>
      <c r="H52" s="9">
        <v>7.2916666666666671E-2</v>
      </c>
      <c r="I52" s="10">
        <f t="shared" si="8"/>
        <v>5.2777777777777785E-2</v>
      </c>
      <c r="J52" s="11">
        <v>5</v>
      </c>
      <c r="K52" s="11">
        <v>126.69</v>
      </c>
      <c r="L52" s="16">
        <f t="shared" si="9"/>
        <v>20.003684210526313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>
        <v>19</v>
      </c>
      <c r="AI52" s="11">
        <v>19</v>
      </c>
      <c r="AJ52" s="11">
        <v>19</v>
      </c>
      <c r="AK52" s="11">
        <v>19</v>
      </c>
      <c r="AL52" s="11"/>
      <c r="AM52" s="14"/>
    </row>
    <row r="53" spans="1:39" ht="25.05" customHeight="1">
      <c r="B53" s="13"/>
      <c r="C53" s="29"/>
      <c r="D53" s="30"/>
      <c r="E53" s="19" t="s">
        <v>252</v>
      </c>
      <c r="F53" s="8" t="s">
        <v>42</v>
      </c>
      <c r="G53" s="9">
        <v>7.3611111111111113E-2</v>
      </c>
      <c r="H53" s="9">
        <v>0.12916666666666668</v>
      </c>
      <c r="I53" s="10">
        <f t="shared" si="8"/>
        <v>5.5555555555555566E-2</v>
      </c>
      <c r="J53" s="11">
        <v>5</v>
      </c>
      <c r="K53" s="11">
        <v>127.02</v>
      </c>
      <c r="L53" s="16">
        <f t="shared" si="9"/>
        <v>19.052999999999994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>
        <v>20</v>
      </c>
      <c r="AI53" s="11">
        <v>20</v>
      </c>
      <c r="AJ53" s="11">
        <v>20</v>
      </c>
      <c r="AK53" s="11">
        <v>20</v>
      </c>
      <c r="AL53" s="11"/>
      <c r="AM53" s="14"/>
    </row>
    <row r="54" spans="1:39" ht="25.05" customHeight="1">
      <c r="B54" s="13"/>
      <c r="C54" s="29"/>
      <c r="D54" s="30"/>
      <c r="E54" s="19" t="s">
        <v>253</v>
      </c>
      <c r="F54" s="8" t="s">
        <v>42</v>
      </c>
      <c r="G54" s="9">
        <v>0.12986111111111112</v>
      </c>
      <c r="H54" s="9">
        <v>0.18541666666666667</v>
      </c>
      <c r="I54" s="10">
        <f t="shared" si="8"/>
        <v>5.5555555555555552E-2</v>
      </c>
      <c r="J54" s="11">
        <v>5</v>
      </c>
      <c r="K54" s="11">
        <v>124.98</v>
      </c>
      <c r="L54" s="16">
        <f t="shared" si="9"/>
        <v>18.747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>
        <v>20</v>
      </c>
      <c r="AI54" s="11">
        <v>20</v>
      </c>
      <c r="AJ54" s="11">
        <v>20</v>
      </c>
      <c r="AK54" s="11">
        <v>20</v>
      </c>
      <c r="AL54" s="11"/>
      <c r="AM54" s="14"/>
    </row>
    <row r="55" spans="1:39" ht="25.05" customHeight="1">
      <c r="B55" s="13"/>
      <c r="C55" s="29"/>
      <c r="D55" s="30"/>
      <c r="E55" s="19" t="s">
        <v>701</v>
      </c>
      <c r="F55" s="8" t="s">
        <v>42</v>
      </c>
      <c r="G55" s="9">
        <v>0.18611111111111112</v>
      </c>
      <c r="H55" s="9">
        <v>0.19930555555555557</v>
      </c>
      <c r="I55" s="10">
        <f t="shared" si="8"/>
        <v>1.3194444444444453E-2</v>
      </c>
      <c r="J55" s="11">
        <v>5</v>
      </c>
      <c r="K55" s="11">
        <v>28.17</v>
      </c>
      <c r="L55" s="16">
        <f t="shared" si="9"/>
        <v>17.791578947368411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>
        <v>4.75</v>
      </c>
      <c r="AI55" s="11">
        <v>4.75</v>
      </c>
      <c r="AJ55" s="11">
        <v>4.75</v>
      </c>
      <c r="AK55" s="11">
        <v>4.75</v>
      </c>
      <c r="AL55" s="11"/>
      <c r="AM55" s="14"/>
    </row>
    <row r="56" spans="1:39" ht="25.05" customHeight="1">
      <c r="B56" s="13"/>
      <c r="C56" s="29"/>
      <c r="D56" s="30"/>
      <c r="E56" s="19"/>
      <c r="F56" s="8" t="s">
        <v>42</v>
      </c>
      <c r="G56" s="9"/>
      <c r="H56" s="9"/>
      <c r="I56" s="10">
        <f t="shared" si="8"/>
        <v>0</v>
      </c>
      <c r="J56" s="11"/>
      <c r="K56" s="11"/>
      <c r="L56" s="16" t="str">
        <f t="shared" si="9"/>
        <v>0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4"/>
    </row>
    <row r="57" spans="1:39" ht="25.05" customHeight="1">
      <c r="B57" s="13"/>
      <c r="C57" s="29"/>
      <c r="D57" s="30"/>
      <c r="E57" s="19"/>
      <c r="F57" s="8" t="s">
        <v>42</v>
      </c>
      <c r="G57" s="9"/>
      <c r="H57" s="9"/>
      <c r="I57" s="10">
        <v>4</v>
      </c>
      <c r="J57" s="11"/>
      <c r="K57" s="11"/>
      <c r="L57" s="16" t="str">
        <f t="shared" ref="L57" si="10">IFERROR(((K57/(J57*I57)/24)),"0")</f>
        <v>0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4"/>
    </row>
    <row r="58" spans="1:39" s="28" customFormat="1" ht="25.5" customHeight="1" thickBot="1">
      <c r="A58" s="2"/>
      <c r="B58" s="32"/>
      <c r="C58" s="33"/>
      <c r="D58" s="34"/>
      <c r="E58" s="35"/>
      <c r="F58" s="35"/>
      <c r="G58" s="36"/>
      <c r="H58" s="36"/>
      <c r="I58" s="37"/>
      <c r="J58" s="38"/>
      <c r="K58" s="179">
        <f t="shared" ref="K58:AM58" si="11">SUM(K20:K57)</f>
        <v>2727.5399999999995</v>
      </c>
      <c r="L58" s="39">
        <f t="shared" si="11"/>
        <v>3573.9701740312044</v>
      </c>
      <c r="M58" s="38">
        <f t="shared" si="11"/>
        <v>0</v>
      </c>
      <c r="N58" s="38">
        <f t="shared" si="11"/>
        <v>0</v>
      </c>
      <c r="O58" s="38">
        <f t="shared" si="11"/>
        <v>0</v>
      </c>
      <c r="P58" s="38">
        <f t="shared" si="11"/>
        <v>0</v>
      </c>
      <c r="Q58" s="38">
        <f t="shared" si="11"/>
        <v>0</v>
      </c>
      <c r="R58" s="38">
        <f t="shared" si="11"/>
        <v>0</v>
      </c>
      <c r="S58" s="38">
        <f t="shared" si="11"/>
        <v>0</v>
      </c>
      <c r="T58" s="38">
        <f t="shared" si="11"/>
        <v>0</v>
      </c>
      <c r="U58" s="38">
        <f t="shared" si="11"/>
        <v>0</v>
      </c>
      <c r="V58" s="38">
        <f t="shared" si="11"/>
        <v>20</v>
      </c>
      <c r="W58" s="38">
        <f t="shared" si="11"/>
        <v>16</v>
      </c>
      <c r="X58" s="38">
        <f t="shared" si="11"/>
        <v>60</v>
      </c>
      <c r="Y58" s="38">
        <f t="shared" si="11"/>
        <v>60</v>
      </c>
      <c r="Z58" s="38">
        <f t="shared" si="11"/>
        <v>0</v>
      </c>
      <c r="AA58" s="38">
        <f t="shared" si="11"/>
        <v>0</v>
      </c>
      <c r="AB58" s="38">
        <f t="shared" si="11"/>
        <v>35</v>
      </c>
      <c r="AC58" s="38">
        <f t="shared" si="11"/>
        <v>35</v>
      </c>
      <c r="AD58" s="38">
        <f t="shared" si="11"/>
        <v>98</v>
      </c>
      <c r="AE58" s="38">
        <f t="shared" si="11"/>
        <v>104</v>
      </c>
      <c r="AF58" s="38">
        <f t="shared" si="11"/>
        <v>0</v>
      </c>
      <c r="AG58" s="38">
        <f t="shared" si="11"/>
        <v>0</v>
      </c>
      <c r="AH58" s="38">
        <f t="shared" si="11"/>
        <v>128.25</v>
      </c>
      <c r="AI58" s="38">
        <f t="shared" si="11"/>
        <v>128.25</v>
      </c>
      <c r="AJ58" s="38">
        <f t="shared" si="11"/>
        <v>128.25</v>
      </c>
      <c r="AK58" s="38">
        <f t="shared" si="11"/>
        <v>128.25</v>
      </c>
      <c r="AL58" s="38">
        <f t="shared" si="11"/>
        <v>0</v>
      </c>
      <c r="AM58" s="38">
        <f t="shared" si="11"/>
        <v>0</v>
      </c>
    </row>
    <row r="59" spans="1:39" ht="38.1" customHeight="1" thickBot="1">
      <c r="B59" s="40" t="s">
        <v>45</v>
      </c>
      <c r="C59" s="41"/>
      <c r="D59" s="41"/>
      <c r="E59" s="41"/>
      <c r="F59" s="41"/>
      <c r="G59" s="41"/>
      <c r="H59" s="41"/>
      <c r="I59" s="41"/>
      <c r="J59" s="41"/>
      <c r="K59" s="42">
        <f>K16+K19+K58</f>
        <v>4238.0999999999995</v>
      </c>
      <c r="L59" s="42">
        <f>L16+L19+L58</f>
        <v>3851.5706204072599</v>
      </c>
      <c r="M59" s="43">
        <f t="shared" ref="M59:AM59" si="12">(M16+M19+M58)/(480-15-30)</f>
        <v>0.23908045977011494</v>
      </c>
      <c r="N59" s="43">
        <f t="shared" si="12"/>
        <v>0</v>
      </c>
      <c r="O59" s="43">
        <f t="shared" si="12"/>
        <v>0</v>
      </c>
      <c r="P59" s="43">
        <f t="shared" si="12"/>
        <v>0</v>
      </c>
      <c r="Q59" s="43">
        <f t="shared" si="12"/>
        <v>0</v>
      </c>
      <c r="R59" s="43">
        <f t="shared" si="12"/>
        <v>0</v>
      </c>
      <c r="S59" s="43">
        <f t="shared" si="12"/>
        <v>1.4091954022988507</v>
      </c>
      <c r="T59" s="43">
        <f t="shared" si="12"/>
        <v>0</v>
      </c>
      <c r="U59" s="43">
        <f t="shared" si="12"/>
        <v>0</v>
      </c>
      <c r="V59" s="43">
        <f t="shared" si="12"/>
        <v>4.5977011494252873E-2</v>
      </c>
      <c r="W59" s="43">
        <f t="shared" si="12"/>
        <v>3.6781609195402298E-2</v>
      </c>
      <c r="X59" s="43">
        <f t="shared" si="12"/>
        <v>0.13793103448275862</v>
      </c>
      <c r="Y59" s="43">
        <f t="shared" si="12"/>
        <v>0.13793103448275862</v>
      </c>
      <c r="Z59" s="43">
        <f t="shared" si="12"/>
        <v>0</v>
      </c>
      <c r="AA59" s="43">
        <f t="shared" si="12"/>
        <v>0</v>
      </c>
      <c r="AB59" s="43">
        <f t="shared" si="12"/>
        <v>8.0459770114942528E-2</v>
      </c>
      <c r="AC59" s="43">
        <f t="shared" si="12"/>
        <v>8.0459770114942528E-2</v>
      </c>
      <c r="AD59" s="43">
        <f t="shared" si="12"/>
        <v>0.22528735632183908</v>
      </c>
      <c r="AE59" s="43">
        <f t="shared" si="12"/>
        <v>0.23908045977011494</v>
      </c>
      <c r="AF59" s="43">
        <f t="shared" si="12"/>
        <v>0</v>
      </c>
      <c r="AG59" s="43">
        <f t="shared" si="12"/>
        <v>0</v>
      </c>
      <c r="AH59" s="43">
        <f t="shared" si="12"/>
        <v>0.29482758620689653</v>
      </c>
      <c r="AI59" s="43">
        <f t="shared" si="12"/>
        <v>0.29482758620689653</v>
      </c>
      <c r="AJ59" s="43">
        <f t="shared" si="12"/>
        <v>0.29482758620689653</v>
      </c>
      <c r="AK59" s="43">
        <f t="shared" si="12"/>
        <v>0.29482758620689653</v>
      </c>
      <c r="AL59" s="43">
        <f t="shared" si="12"/>
        <v>0</v>
      </c>
      <c r="AM59" s="43">
        <f t="shared" si="12"/>
        <v>0</v>
      </c>
    </row>
    <row r="60" spans="1:39" ht="25.05" customHeight="1">
      <c r="B60" s="44"/>
      <c r="C60" s="44"/>
      <c r="D60" s="44"/>
      <c r="E60" s="45"/>
      <c r="F60" s="45"/>
      <c r="G60" s="45"/>
      <c r="H60" s="45"/>
      <c r="I60" s="46"/>
      <c r="J60" s="46"/>
      <c r="K60" s="45"/>
      <c r="L60" s="47"/>
      <c r="M60" s="47"/>
      <c r="N60" s="47"/>
      <c r="O60" s="47"/>
      <c r="P60" s="47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  <c r="AE60" s="45"/>
      <c r="AF60" s="45"/>
      <c r="AG60" s="45"/>
      <c r="AH60" s="45"/>
      <c r="AI60" s="45"/>
      <c r="AJ60" s="45"/>
      <c r="AK60" s="45"/>
      <c r="AL60" s="45"/>
    </row>
    <row r="61" spans="1:39" ht="25.05" customHeight="1">
      <c r="B61" s="44"/>
      <c r="C61" s="44"/>
      <c r="D61" s="44"/>
      <c r="E61" s="45"/>
      <c r="F61" s="45"/>
      <c r="G61" s="45"/>
      <c r="H61" s="45"/>
      <c r="I61" s="48" t="s">
        <v>46</v>
      </c>
      <c r="J61" s="46"/>
      <c r="K61" s="45"/>
      <c r="L61" s="47"/>
      <c r="M61" s="47"/>
      <c r="N61" s="47"/>
      <c r="O61" s="47"/>
      <c r="P61" s="47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  <c r="AE61" s="45"/>
      <c r="AF61" s="45"/>
      <c r="AG61" s="45"/>
      <c r="AH61" s="45"/>
      <c r="AI61" s="45"/>
      <c r="AJ61" s="45"/>
      <c r="AK61" s="45"/>
      <c r="AL61" s="45"/>
    </row>
    <row r="62" spans="1:39" ht="25.05" customHeight="1">
      <c r="B62" s="44"/>
      <c r="C62" s="44"/>
      <c r="D62" s="44"/>
      <c r="E62" s="45"/>
      <c r="F62" s="45"/>
      <c r="G62" s="45"/>
      <c r="H62" s="45"/>
      <c r="I62" s="49" t="s">
        <v>47</v>
      </c>
      <c r="J62" s="9">
        <v>0</v>
      </c>
      <c r="K62" s="11">
        <v>8</v>
      </c>
      <c r="L62" s="11" t="s">
        <v>48</v>
      </c>
      <c r="M62" s="47"/>
      <c r="N62" s="14">
        <v>3</v>
      </c>
      <c r="O62" s="14"/>
      <c r="P62" s="14"/>
      <c r="Q62" s="50" t="s">
        <v>49</v>
      </c>
      <c r="R62" s="51"/>
      <c r="S62" s="45"/>
      <c r="T62" s="45"/>
      <c r="U62" s="45"/>
      <c r="V62" s="45"/>
      <c r="W62" s="45"/>
      <c r="X62" s="45"/>
      <c r="Y62" s="45"/>
      <c r="Z62" s="45"/>
      <c r="AA62" s="45"/>
      <c r="AB62" s="45"/>
      <c r="AD62" s="45"/>
      <c r="AE62" s="45"/>
      <c r="AF62" s="45"/>
      <c r="AG62" s="45"/>
      <c r="AH62" s="45"/>
      <c r="AI62" s="45"/>
      <c r="AJ62" s="45"/>
    </row>
    <row r="63" spans="1:39" ht="25.05" customHeight="1">
      <c r="B63" s="44"/>
      <c r="C63" s="44"/>
      <c r="D63" s="44"/>
      <c r="E63" s="45"/>
      <c r="F63" s="45"/>
      <c r="G63" s="45"/>
      <c r="H63" s="45"/>
      <c r="I63" s="49" t="s">
        <v>50</v>
      </c>
      <c r="J63" s="9">
        <v>0</v>
      </c>
      <c r="K63" s="11">
        <v>0</v>
      </c>
      <c r="L63" s="11" t="s">
        <v>48</v>
      </c>
      <c r="M63" s="47"/>
      <c r="N63" s="14">
        <v>0</v>
      </c>
      <c r="O63" s="14"/>
      <c r="P63" s="14"/>
      <c r="Q63" s="50" t="s">
        <v>51</v>
      </c>
      <c r="R63" s="51"/>
      <c r="S63" s="45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  <c r="AE63" s="45"/>
      <c r="AF63" s="45"/>
      <c r="AG63" s="45"/>
      <c r="AH63" s="45"/>
      <c r="AI63" s="45"/>
      <c r="AJ63" s="45"/>
    </row>
    <row r="64" spans="1:39" ht="25.05" customHeight="1">
      <c r="B64" s="44"/>
      <c r="C64" s="44"/>
      <c r="D64" s="44"/>
      <c r="E64" s="45"/>
      <c r="F64" s="45"/>
      <c r="G64" s="45"/>
      <c r="H64" s="45"/>
      <c r="I64" s="49" t="s">
        <v>52</v>
      </c>
      <c r="J64" s="9">
        <v>0</v>
      </c>
      <c r="K64" s="11">
        <v>15</v>
      </c>
      <c r="L64" s="11" t="s">
        <v>48</v>
      </c>
      <c r="M64" s="47"/>
      <c r="N64" s="14">
        <v>1</v>
      </c>
      <c r="O64" s="14"/>
      <c r="P64" s="14"/>
      <c r="Q64" s="50" t="s">
        <v>53</v>
      </c>
      <c r="R64" s="51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</row>
    <row r="65" spans="2:36" ht="25.05" customHeight="1">
      <c r="B65" s="44"/>
      <c r="C65" s="44"/>
      <c r="D65" s="44"/>
      <c r="E65" s="45"/>
      <c r="F65" s="45"/>
      <c r="G65" s="45"/>
      <c r="H65" s="45"/>
      <c r="I65" s="52" t="s">
        <v>54</v>
      </c>
      <c r="J65" s="53">
        <v>0</v>
      </c>
      <c r="K65" s="11">
        <v>2</v>
      </c>
      <c r="L65" s="54" t="s">
        <v>48</v>
      </c>
      <c r="M65" s="47"/>
      <c r="N65" s="14">
        <v>2</v>
      </c>
      <c r="O65" s="14"/>
      <c r="P65" s="14"/>
      <c r="Q65" s="50" t="s">
        <v>55</v>
      </c>
      <c r="R65" s="51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</row>
    <row r="66" spans="2:36" ht="25.05" customHeight="1">
      <c r="B66" s="44"/>
      <c r="C66" s="44"/>
      <c r="D66" s="44"/>
      <c r="E66" s="45"/>
      <c r="F66" s="45"/>
      <c r="G66" s="45"/>
      <c r="H66" s="45"/>
      <c r="I66" s="49" t="s">
        <v>56</v>
      </c>
      <c r="J66" s="9">
        <v>0</v>
      </c>
      <c r="K66" s="11">
        <f>SUM(K62:K65)</f>
        <v>25</v>
      </c>
      <c r="L66" s="11" t="s">
        <v>48</v>
      </c>
      <c r="M66" s="47"/>
      <c r="N66"/>
      <c r="O66"/>
      <c r="P66"/>
      <c r="Q66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</row>
    <row r="67" spans="2:36" ht="25.05" customHeight="1">
      <c r="B67" s="44"/>
      <c r="C67" s="44"/>
      <c r="D67" s="44"/>
      <c r="E67" s="45"/>
      <c r="F67" s="45"/>
      <c r="G67" s="45"/>
      <c r="H67" s="45"/>
      <c r="M67" s="47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  <c r="AJ67" s="45"/>
    </row>
    <row r="68" spans="2:36" ht="25.05" customHeight="1"/>
  </sheetData>
  <mergeCells count="11">
    <mergeCell ref="I3:I4"/>
    <mergeCell ref="J3:J4"/>
    <mergeCell ref="K3:K4"/>
    <mergeCell ref="L3:L4"/>
    <mergeCell ref="M3:AN3"/>
    <mergeCell ref="G3:H3"/>
    <mergeCell ref="B3:B4"/>
    <mergeCell ref="C3:C4"/>
    <mergeCell ref="D3:D4"/>
    <mergeCell ref="E3:E4"/>
    <mergeCell ref="F3:F4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26377-2BE5-4D01-9DAB-560199E664F7}">
  <sheetPr>
    <pageSetUpPr fitToPage="1"/>
  </sheetPr>
  <dimension ref="A1:AM72"/>
  <sheetViews>
    <sheetView zoomScale="70" zoomScaleNormal="7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4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1" width="16.21875" style="2" customWidth="1"/>
    <col min="32" max="32" width="17.77734375" style="2" customWidth="1"/>
    <col min="33" max="38" width="16.21875" style="2" customWidth="1"/>
    <col min="39" max="39" width="14.44140625" style="2" customWidth="1"/>
    <col min="40" max="16384" width="10.21875" style="2"/>
  </cols>
  <sheetData>
    <row r="1" spans="1:39" ht="18.75" customHeight="1">
      <c r="A1" s="2" t="s">
        <v>0</v>
      </c>
    </row>
    <row r="2" spans="1:39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2"/>
    </row>
    <row r="3" spans="1:39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416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</row>
    <row r="4" spans="1:39" ht="25.05" customHeight="1">
      <c r="B4" s="5" t="s">
        <v>702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0.29166666666666669</v>
      </c>
      <c r="I4" s="10">
        <f t="shared" ref="I4:I6" si="0">H4-G4</f>
        <v>4.1666666666666685E-2</v>
      </c>
      <c r="J4" s="11">
        <v>1</v>
      </c>
      <c r="K4" s="11">
        <v>0</v>
      </c>
      <c r="L4" s="16">
        <f t="shared" ref="L4:L6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25.05" customHeight="1">
      <c r="B5" s="13"/>
      <c r="C5" s="14"/>
      <c r="D5" s="6"/>
      <c r="E5" s="15" t="s">
        <v>94</v>
      </c>
      <c r="F5" s="130" t="s">
        <v>42</v>
      </c>
      <c r="G5" s="9">
        <v>0.54166666666666663</v>
      </c>
      <c r="H5" s="9">
        <v>0.66666666666666663</v>
      </c>
      <c r="I5" s="10">
        <f t="shared" si="0"/>
        <v>0.125</v>
      </c>
      <c r="J5" s="11">
        <v>6</v>
      </c>
      <c r="K5" s="11">
        <v>0</v>
      </c>
      <c r="L5" s="16">
        <f t="shared" si="1"/>
        <v>0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 ht="25.5" customHeight="1">
      <c r="B6" s="13"/>
      <c r="C6" s="14"/>
      <c r="D6" s="30"/>
      <c r="E6" s="15" t="s">
        <v>703</v>
      </c>
      <c r="F6" s="130" t="s">
        <v>42</v>
      </c>
      <c r="G6" s="9">
        <v>0.5625</v>
      </c>
      <c r="H6" s="9">
        <v>0.60416666666666663</v>
      </c>
      <c r="I6" s="10">
        <f t="shared" si="0"/>
        <v>4.166666666666663E-2</v>
      </c>
      <c r="J6" s="11">
        <v>4</v>
      </c>
      <c r="K6" s="11">
        <v>0</v>
      </c>
      <c r="L6" s="16">
        <f t="shared" si="1"/>
        <v>0</v>
      </c>
      <c r="M6" s="11"/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s="28" customFormat="1" ht="25.05" customHeight="1">
      <c r="A7" s="2"/>
      <c r="B7" s="21"/>
      <c r="C7" s="22"/>
      <c r="D7" s="23"/>
      <c r="E7" s="24"/>
      <c r="F7" s="24"/>
      <c r="G7" s="25"/>
      <c r="H7" s="25"/>
      <c r="I7" s="26"/>
      <c r="J7" s="27"/>
      <c r="K7" s="27">
        <f t="shared" ref="K7:AD7" si="2">SUM(K4:K6)</f>
        <v>0</v>
      </c>
      <c r="L7" s="39">
        <f t="shared" si="2"/>
        <v>0</v>
      </c>
      <c r="M7" s="27">
        <f t="shared" si="2"/>
        <v>0</v>
      </c>
      <c r="N7" s="27">
        <f t="shared" si="2"/>
        <v>0</v>
      </c>
      <c r="O7" s="27">
        <f t="shared" si="2"/>
        <v>0</v>
      </c>
      <c r="P7" s="27">
        <f t="shared" si="2"/>
        <v>0</v>
      </c>
      <c r="Q7" s="27">
        <f t="shared" si="2"/>
        <v>0</v>
      </c>
      <c r="R7" s="27">
        <f t="shared" si="2"/>
        <v>0</v>
      </c>
      <c r="S7" s="27">
        <f t="shared" si="2"/>
        <v>0</v>
      </c>
      <c r="T7" s="27">
        <f t="shared" si="2"/>
        <v>0</v>
      </c>
      <c r="U7" s="27">
        <f t="shared" si="2"/>
        <v>0</v>
      </c>
      <c r="V7" s="27">
        <f t="shared" si="2"/>
        <v>0</v>
      </c>
      <c r="W7" s="27">
        <f t="shared" si="2"/>
        <v>0</v>
      </c>
      <c r="X7" s="27">
        <f t="shared" si="2"/>
        <v>0</v>
      </c>
      <c r="Y7" s="27">
        <f t="shared" si="2"/>
        <v>0</v>
      </c>
      <c r="Z7" s="27">
        <f t="shared" si="2"/>
        <v>0</v>
      </c>
      <c r="AA7" s="27">
        <f t="shared" si="2"/>
        <v>0</v>
      </c>
      <c r="AB7" s="27">
        <f t="shared" si="2"/>
        <v>0</v>
      </c>
      <c r="AC7" s="27">
        <f t="shared" si="2"/>
        <v>0</v>
      </c>
      <c r="AD7" s="27">
        <f t="shared" si="2"/>
        <v>0</v>
      </c>
      <c r="AE7" s="27"/>
      <c r="AF7" s="27">
        <f t="shared" ref="AF7:AM7" si="3">SUM(AF4:AF6)</f>
        <v>0</v>
      </c>
      <c r="AG7" s="27">
        <f t="shared" si="3"/>
        <v>0</v>
      </c>
      <c r="AH7" s="27">
        <f t="shared" si="3"/>
        <v>0</v>
      </c>
      <c r="AI7" s="27">
        <f t="shared" si="3"/>
        <v>0</v>
      </c>
      <c r="AJ7" s="27">
        <f t="shared" si="3"/>
        <v>0</v>
      </c>
      <c r="AK7" s="27">
        <f t="shared" si="3"/>
        <v>0</v>
      </c>
      <c r="AL7" s="27">
        <f t="shared" si="3"/>
        <v>0</v>
      </c>
      <c r="AM7" s="27">
        <f t="shared" si="3"/>
        <v>0</v>
      </c>
    </row>
    <row r="8" spans="1:39" ht="25.05" customHeight="1">
      <c r="B8" s="5" t="s">
        <v>702</v>
      </c>
      <c r="C8" s="14" t="s">
        <v>43</v>
      </c>
      <c r="D8" s="6"/>
      <c r="E8" s="7" t="s">
        <v>41</v>
      </c>
      <c r="F8" s="8" t="s">
        <v>42</v>
      </c>
      <c r="G8" s="9">
        <v>0.29166666666666669</v>
      </c>
      <c r="H8" s="9">
        <v>0.33333333333333331</v>
      </c>
      <c r="I8" s="10">
        <f>H8-G8</f>
        <v>4.166666666666663E-2</v>
      </c>
      <c r="J8" s="11">
        <v>2</v>
      </c>
      <c r="K8" s="11">
        <v>0</v>
      </c>
      <c r="L8" s="16">
        <f>IFERROR(((K8/(J8*I8)/24)),"0")</f>
        <v>0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39" ht="25.05" customHeight="1">
      <c r="B9" s="13"/>
      <c r="C9" s="14"/>
      <c r="D9" s="6" t="s">
        <v>301</v>
      </c>
      <c r="E9" s="7" t="s">
        <v>633</v>
      </c>
      <c r="F9" s="8" t="s">
        <v>42</v>
      </c>
      <c r="G9" s="9">
        <v>0.33333333333333331</v>
      </c>
      <c r="H9" s="9">
        <v>0.5</v>
      </c>
      <c r="I9" s="10">
        <f t="shared" ref="I9:I13" si="4">H9-G9</f>
        <v>0.16666666666666669</v>
      </c>
      <c r="J9" s="11">
        <v>12</v>
      </c>
      <c r="K9" s="11">
        <f>108.32*3</f>
        <v>324.95999999999998</v>
      </c>
      <c r="L9" s="16">
        <f t="shared" ref="L9:L13" si="5">IFERROR(((K9/(J9*I9)/24)),"0")</f>
        <v>6.77</v>
      </c>
      <c r="M9" s="11"/>
      <c r="N9" s="11"/>
      <c r="O9" s="11"/>
      <c r="P9" s="11"/>
      <c r="Q9" s="11"/>
      <c r="R9" s="12"/>
      <c r="S9" s="12"/>
      <c r="T9" s="11">
        <v>240</v>
      </c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39" ht="25.05" customHeight="1">
      <c r="B10" s="13"/>
      <c r="C10" s="14"/>
      <c r="D10" s="30"/>
      <c r="E10" s="15" t="s">
        <v>104</v>
      </c>
      <c r="F10" s="8" t="s">
        <v>42</v>
      </c>
      <c r="G10" s="9">
        <v>0.5</v>
      </c>
      <c r="H10" s="9">
        <v>0.54166666666666663</v>
      </c>
      <c r="I10" s="10">
        <f t="shared" si="4"/>
        <v>4.166666666666663E-2</v>
      </c>
      <c r="J10" s="11">
        <v>12</v>
      </c>
      <c r="K10" s="11" t="s">
        <v>42</v>
      </c>
      <c r="L10" s="16" t="str">
        <f t="shared" si="5"/>
        <v>0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 ht="25.05" customHeight="1">
      <c r="B11" s="13"/>
      <c r="C11" s="14"/>
      <c r="D11" s="6"/>
      <c r="E11" s="19" t="s">
        <v>704</v>
      </c>
      <c r="F11" s="8" t="s">
        <v>42</v>
      </c>
      <c r="G11" s="9">
        <v>0.54166666666666663</v>
      </c>
      <c r="H11" s="9">
        <v>0.6875</v>
      </c>
      <c r="I11" s="10">
        <f t="shared" si="4"/>
        <v>0.14583333333333337</v>
      </c>
      <c r="J11" s="11">
        <v>12</v>
      </c>
      <c r="K11" s="11" t="s">
        <v>42</v>
      </c>
      <c r="L11" s="16" t="str">
        <f t="shared" si="5"/>
        <v>0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ht="25.05" customHeight="1">
      <c r="B12" s="13"/>
      <c r="C12" s="14"/>
      <c r="D12" s="6"/>
      <c r="E12" s="15" t="s">
        <v>96</v>
      </c>
      <c r="F12" s="8" t="s">
        <v>42</v>
      </c>
      <c r="G12" s="9">
        <v>0.6875</v>
      </c>
      <c r="H12" s="9">
        <v>0.70833333333333337</v>
      </c>
      <c r="I12" s="10">
        <f t="shared" si="4"/>
        <v>2.083333333333337E-2</v>
      </c>
      <c r="J12" s="11">
        <v>12</v>
      </c>
      <c r="K12" s="11" t="s">
        <v>42</v>
      </c>
      <c r="L12" s="16" t="str">
        <f t="shared" si="5"/>
        <v>0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ht="25.05" customHeight="1">
      <c r="B13" s="13"/>
      <c r="C13" s="14"/>
      <c r="D13" s="18"/>
      <c r="E13" s="6"/>
      <c r="F13" s="8"/>
      <c r="G13" s="9"/>
      <c r="H13" s="9"/>
      <c r="I13" s="10">
        <f t="shared" si="4"/>
        <v>0</v>
      </c>
      <c r="J13" s="11"/>
      <c r="K13" s="11"/>
      <c r="L13" s="16" t="str">
        <f t="shared" si="5"/>
        <v>0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s="28" customFormat="1" ht="25.05" customHeight="1">
      <c r="A14" s="2"/>
      <c r="B14" s="21"/>
      <c r="C14" s="22"/>
      <c r="D14" s="23"/>
      <c r="E14" s="24"/>
      <c r="F14" s="22"/>
      <c r="G14" s="25"/>
      <c r="H14" s="25"/>
      <c r="I14" s="26"/>
      <c r="J14" s="27"/>
      <c r="K14" s="27">
        <f t="shared" ref="K14:AD14" si="6">SUM(K8:K13)</f>
        <v>324.95999999999998</v>
      </c>
      <c r="L14" s="27">
        <f t="shared" si="6"/>
        <v>6.77</v>
      </c>
      <c r="M14" s="27">
        <f t="shared" si="6"/>
        <v>0</v>
      </c>
      <c r="N14" s="27">
        <f t="shared" si="6"/>
        <v>0</v>
      </c>
      <c r="O14" s="27">
        <f t="shared" si="6"/>
        <v>0</v>
      </c>
      <c r="P14" s="27">
        <f t="shared" si="6"/>
        <v>0</v>
      </c>
      <c r="Q14" s="27">
        <f t="shared" si="6"/>
        <v>0</v>
      </c>
      <c r="R14" s="27">
        <f t="shared" si="6"/>
        <v>0</v>
      </c>
      <c r="S14" s="27">
        <f t="shared" si="6"/>
        <v>0</v>
      </c>
      <c r="T14" s="27">
        <f t="shared" si="6"/>
        <v>240</v>
      </c>
      <c r="U14" s="27">
        <f t="shared" si="6"/>
        <v>0</v>
      </c>
      <c r="V14" s="27">
        <f t="shared" si="6"/>
        <v>0</v>
      </c>
      <c r="W14" s="27">
        <f t="shared" si="6"/>
        <v>0</v>
      </c>
      <c r="X14" s="27">
        <f t="shared" si="6"/>
        <v>0</v>
      </c>
      <c r="Y14" s="27">
        <f t="shared" si="6"/>
        <v>0</v>
      </c>
      <c r="Z14" s="27">
        <f t="shared" si="6"/>
        <v>0</v>
      </c>
      <c r="AA14" s="27">
        <f t="shared" si="6"/>
        <v>0</v>
      </c>
      <c r="AB14" s="27">
        <f t="shared" si="6"/>
        <v>0</v>
      </c>
      <c r="AC14" s="27">
        <f t="shared" si="6"/>
        <v>0</v>
      </c>
      <c r="AD14" s="27">
        <f t="shared" si="6"/>
        <v>0</v>
      </c>
      <c r="AE14" s="27"/>
      <c r="AF14" s="27">
        <f t="shared" ref="AF14:AM14" si="7">SUM(AF8:AF13)</f>
        <v>0</v>
      </c>
      <c r="AG14" s="27">
        <f t="shared" si="7"/>
        <v>0</v>
      </c>
      <c r="AH14" s="27">
        <f t="shared" si="7"/>
        <v>0</v>
      </c>
      <c r="AI14" s="27">
        <f t="shared" si="7"/>
        <v>0</v>
      </c>
      <c r="AJ14" s="27">
        <f t="shared" si="7"/>
        <v>0</v>
      </c>
      <c r="AK14" s="27">
        <f t="shared" si="7"/>
        <v>0</v>
      </c>
      <c r="AL14" s="27">
        <f t="shared" si="7"/>
        <v>0</v>
      </c>
      <c r="AM14" s="27">
        <f t="shared" si="7"/>
        <v>0</v>
      </c>
    </row>
    <row r="15" spans="1:39" ht="25.05" customHeight="1">
      <c r="B15" s="5" t="s">
        <v>702</v>
      </c>
      <c r="C15" s="29" t="s">
        <v>44</v>
      </c>
      <c r="D15" s="30"/>
      <c r="E15" s="7" t="s">
        <v>41</v>
      </c>
      <c r="F15" s="8" t="s">
        <v>42</v>
      </c>
      <c r="G15" s="9">
        <v>0.29166666666666669</v>
      </c>
      <c r="H15" s="9">
        <v>0.33333333333333331</v>
      </c>
      <c r="I15" s="10">
        <f t="shared" ref="I15:I61" si="8">H15-G15</f>
        <v>4.166666666666663E-2</v>
      </c>
      <c r="J15" s="11">
        <v>5</v>
      </c>
      <c r="K15" s="11">
        <v>0</v>
      </c>
      <c r="L15" s="16">
        <f t="shared" ref="L15:L61" si="9">IFERROR(((K15/(J15*I15)/24)),"0")</f>
        <v>0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4"/>
    </row>
    <row r="16" spans="1:39" ht="25.05" customHeight="1">
      <c r="B16" s="13"/>
      <c r="C16" s="29"/>
      <c r="D16" s="30" t="s">
        <v>705</v>
      </c>
      <c r="E16" s="19" t="s">
        <v>706</v>
      </c>
      <c r="F16" s="8" t="s">
        <v>42</v>
      </c>
      <c r="G16" s="9">
        <v>0.42986111111111114</v>
      </c>
      <c r="H16" s="9">
        <v>0.43263888888888891</v>
      </c>
      <c r="I16" s="10">
        <f t="shared" ref="I16:I25" si="10">H16-G16</f>
        <v>2.7777777777777679E-3</v>
      </c>
      <c r="J16" s="11">
        <v>10</v>
      </c>
      <c r="K16" s="11">
        <v>38.79</v>
      </c>
      <c r="L16" s="16">
        <f t="shared" ref="L16:L26" si="11">IFERROR(((K16/(J16*I16)/24)),"0")</f>
        <v>58.185000000000201</v>
      </c>
      <c r="M16" s="11"/>
      <c r="N16" s="11"/>
      <c r="O16" s="11"/>
      <c r="P16" s="11"/>
      <c r="Q16" s="11"/>
      <c r="R16" s="12"/>
      <c r="S16" s="12"/>
      <c r="T16" s="11"/>
      <c r="U16" s="11"/>
      <c r="V16" s="12">
        <v>3</v>
      </c>
      <c r="W16" s="12"/>
      <c r="X16" s="11"/>
      <c r="Y16" s="11"/>
      <c r="Z16" s="11"/>
      <c r="AA16" s="11"/>
      <c r="AB16" s="11">
        <v>4</v>
      </c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4"/>
    </row>
    <row r="17" spans="2:39" ht="25.05" customHeight="1">
      <c r="B17" s="13"/>
      <c r="C17" s="29"/>
      <c r="D17" s="30"/>
      <c r="E17" s="19" t="s">
        <v>707</v>
      </c>
      <c r="F17" s="8" t="s">
        <v>42</v>
      </c>
      <c r="G17" s="9">
        <v>0.47569444444444442</v>
      </c>
      <c r="H17" s="9">
        <v>0.47847222222222224</v>
      </c>
      <c r="I17" s="10">
        <f t="shared" si="10"/>
        <v>2.7777777777778234E-3</v>
      </c>
      <c r="J17" s="11">
        <v>10</v>
      </c>
      <c r="K17" s="11">
        <v>39.590000000000003</v>
      </c>
      <c r="L17" s="16">
        <f t="shared" si="11"/>
        <v>59.384999999999032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>
        <v>3</v>
      </c>
      <c r="X17" s="11"/>
      <c r="Y17" s="11"/>
      <c r="Z17" s="11"/>
      <c r="AA17" s="11"/>
      <c r="AB17" s="11"/>
      <c r="AC17" s="11">
        <v>4</v>
      </c>
      <c r="AD17" s="11"/>
      <c r="AE17" s="11"/>
      <c r="AF17" s="11"/>
      <c r="AG17" s="11"/>
      <c r="AH17" s="11"/>
      <c r="AI17" s="11"/>
      <c r="AJ17" s="11"/>
      <c r="AK17" s="11"/>
      <c r="AL17" s="11"/>
      <c r="AM17" s="14"/>
    </row>
    <row r="18" spans="2:39" ht="25.05" customHeight="1">
      <c r="B18" s="13"/>
      <c r="C18" s="29"/>
      <c r="D18" s="30"/>
      <c r="E18" s="19" t="s">
        <v>708</v>
      </c>
      <c r="F18" s="8" t="s">
        <v>42</v>
      </c>
      <c r="G18" s="9">
        <v>0.56805555555555554</v>
      </c>
      <c r="H18" s="9">
        <v>0.5708333333333333</v>
      </c>
      <c r="I18" s="10">
        <f t="shared" si="10"/>
        <v>2.7777777777777679E-3</v>
      </c>
      <c r="J18" s="11">
        <v>10</v>
      </c>
      <c r="K18" s="11">
        <v>38.92</v>
      </c>
      <c r="L18" s="16">
        <f t="shared" si="11"/>
        <v>58.380000000000216</v>
      </c>
      <c r="M18" s="11"/>
      <c r="N18" s="11"/>
      <c r="O18" s="11"/>
      <c r="P18" s="11"/>
      <c r="Q18" s="11"/>
      <c r="R18" s="12"/>
      <c r="S18" s="12"/>
      <c r="T18" s="11"/>
      <c r="U18" s="11"/>
      <c r="V18" s="12">
        <v>3</v>
      </c>
      <c r="W18" s="12"/>
      <c r="X18" s="11"/>
      <c r="Y18" s="11"/>
      <c r="Z18" s="11"/>
      <c r="AA18" s="11"/>
      <c r="AB18" s="11">
        <v>4</v>
      </c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4"/>
    </row>
    <row r="19" spans="2:39" ht="25.05" customHeight="1">
      <c r="B19" s="13"/>
      <c r="C19" s="29"/>
      <c r="D19" s="30"/>
      <c r="E19" s="19" t="s">
        <v>709</v>
      </c>
      <c r="F19" s="8" t="s">
        <v>42</v>
      </c>
      <c r="G19" s="9">
        <v>0.5708333333333333</v>
      </c>
      <c r="H19" s="9">
        <v>0.57361111111111107</v>
      </c>
      <c r="I19" s="10">
        <f t="shared" si="10"/>
        <v>2.7777777777777679E-3</v>
      </c>
      <c r="J19" s="11">
        <v>10</v>
      </c>
      <c r="K19" s="11">
        <v>39.24</v>
      </c>
      <c r="L19" s="16">
        <f t="shared" si="11"/>
        <v>58.860000000000213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>
        <v>3</v>
      </c>
      <c r="X19" s="11"/>
      <c r="Y19" s="11"/>
      <c r="Z19" s="11"/>
      <c r="AA19" s="11"/>
      <c r="AB19" s="11"/>
      <c r="AC19" s="11">
        <v>4</v>
      </c>
      <c r="AD19" s="11"/>
      <c r="AE19" s="11"/>
      <c r="AF19" s="11"/>
      <c r="AG19" s="11"/>
      <c r="AH19" s="11"/>
      <c r="AI19" s="11"/>
      <c r="AJ19" s="11"/>
      <c r="AK19" s="11"/>
      <c r="AL19" s="11"/>
      <c r="AM19" s="14"/>
    </row>
    <row r="20" spans="2:39" ht="25.05" customHeight="1">
      <c r="B20" s="13"/>
      <c r="C20" s="29"/>
      <c r="D20" s="65"/>
      <c r="E20" s="19" t="s">
        <v>710</v>
      </c>
      <c r="F20" s="8" t="s">
        <v>42</v>
      </c>
      <c r="G20" s="9">
        <v>0.57499999999999996</v>
      </c>
      <c r="H20" s="9">
        <v>0.57777777777777772</v>
      </c>
      <c r="I20" s="10">
        <f t="shared" si="10"/>
        <v>2.7777777777777679E-3</v>
      </c>
      <c r="J20" s="11">
        <v>10</v>
      </c>
      <c r="K20" s="11">
        <v>39</v>
      </c>
      <c r="L20" s="16">
        <f t="shared" si="11"/>
        <v>58.500000000000206</v>
      </c>
      <c r="M20" s="11"/>
      <c r="N20" s="11"/>
      <c r="O20" s="11"/>
      <c r="P20" s="11"/>
      <c r="Q20" s="11"/>
      <c r="R20" s="12"/>
      <c r="S20" s="12"/>
      <c r="T20" s="11"/>
      <c r="U20" s="11"/>
      <c r="V20" s="12">
        <v>3</v>
      </c>
      <c r="W20" s="12"/>
      <c r="X20" s="11"/>
      <c r="Y20" s="11"/>
      <c r="Z20" s="11"/>
      <c r="AA20" s="11"/>
      <c r="AB20" s="11"/>
      <c r="AC20" s="11"/>
      <c r="AD20" s="11">
        <v>4</v>
      </c>
      <c r="AE20" s="11"/>
      <c r="AF20" s="11"/>
      <c r="AG20" s="11"/>
      <c r="AH20" s="11"/>
      <c r="AI20" s="11"/>
      <c r="AJ20" s="11"/>
      <c r="AK20" s="11"/>
      <c r="AL20" s="11"/>
      <c r="AM20" s="14"/>
    </row>
    <row r="21" spans="2:39" ht="25.05" customHeight="1">
      <c r="B21" s="13"/>
      <c r="C21" s="29"/>
      <c r="D21" s="65"/>
      <c r="E21" s="19" t="s">
        <v>711</v>
      </c>
      <c r="F21" s="8" t="s">
        <v>42</v>
      </c>
      <c r="G21" s="9">
        <v>0.57986111111111116</v>
      </c>
      <c r="H21" s="9">
        <v>0.58263888888888893</v>
      </c>
      <c r="I21" s="10">
        <f t="shared" si="10"/>
        <v>2.7777777777777679E-3</v>
      </c>
      <c r="J21" s="11">
        <v>10</v>
      </c>
      <c r="K21" s="11">
        <v>39.39</v>
      </c>
      <c r="L21" s="16">
        <f t="shared" si="11"/>
        <v>59.085000000000207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>
        <v>3</v>
      </c>
      <c r="X21" s="11"/>
      <c r="Y21" s="11"/>
      <c r="Z21" s="11"/>
      <c r="AA21" s="11"/>
      <c r="AB21" s="11">
        <v>4</v>
      </c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4"/>
    </row>
    <row r="22" spans="2:39" ht="25.05" customHeight="1">
      <c r="B22" s="5"/>
      <c r="C22" s="29"/>
      <c r="D22" s="30"/>
      <c r="E22" s="123"/>
      <c r="F22" s="8"/>
      <c r="G22" s="9"/>
      <c r="H22" s="9"/>
      <c r="I22" s="10">
        <f t="shared" si="10"/>
        <v>0</v>
      </c>
      <c r="J22" s="11"/>
      <c r="K22" s="11"/>
      <c r="L22" s="16" t="str">
        <f t="shared" si="11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4"/>
    </row>
    <row r="23" spans="2:39" ht="25.05" customHeight="1">
      <c r="B23" s="13"/>
      <c r="C23" s="29"/>
      <c r="D23" s="168" t="s">
        <v>712</v>
      </c>
      <c r="E23" s="19" t="s">
        <v>324</v>
      </c>
      <c r="F23" s="8" t="s">
        <v>42</v>
      </c>
      <c r="G23" s="9">
        <v>0.58750000000000002</v>
      </c>
      <c r="H23" s="9">
        <v>0.58958333333333335</v>
      </c>
      <c r="I23" s="10">
        <f t="shared" si="10"/>
        <v>2.0833333333333259E-3</v>
      </c>
      <c r="J23" s="11">
        <v>10</v>
      </c>
      <c r="K23" s="11">
        <v>37.78</v>
      </c>
      <c r="L23" s="16">
        <f t="shared" si="11"/>
        <v>75.560000000000272</v>
      </c>
      <c r="M23" s="11"/>
      <c r="N23" s="11"/>
      <c r="O23" s="11"/>
      <c r="P23" s="11"/>
      <c r="Q23" s="11"/>
      <c r="R23" s="12"/>
      <c r="S23" s="12"/>
      <c r="T23" s="11"/>
      <c r="U23" s="11"/>
      <c r="V23" s="12">
        <v>2</v>
      </c>
      <c r="W23" s="12"/>
      <c r="X23" s="11"/>
      <c r="Y23" s="11"/>
      <c r="Z23" s="11"/>
      <c r="AA23" s="11"/>
      <c r="AB23" s="11">
        <v>3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4"/>
    </row>
    <row r="24" spans="2:39" ht="25.05" customHeight="1">
      <c r="B24" s="13"/>
      <c r="C24" s="29"/>
      <c r="D24" s="30"/>
      <c r="E24" s="19" t="s">
        <v>325</v>
      </c>
      <c r="F24" s="8" t="s">
        <v>42</v>
      </c>
      <c r="G24" s="9">
        <v>0.59097222222222223</v>
      </c>
      <c r="H24" s="9">
        <v>0.59375</v>
      </c>
      <c r="I24" s="10">
        <f t="shared" si="10"/>
        <v>2.7777777777777679E-3</v>
      </c>
      <c r="J24" s="11">
        <v>10</v>
      </c>
      <c r="K24" s="11">
        <v>37.69</v>
      </c>
      <c r="L24" s="16">
        <f t="shared" si="11"/>
        <v>56.535000000000196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>
        <v>2</v>
      </c>
      <c r="X24" s="11"/>
      <c r="Y24" s="11"/>
      <c r="Z24" s="11"/>
      <c r="AA24" s="11"/>
      <c r="AB24" s="11"/>
      <c r="AC24" s="11"/>
      <c r="AD24" s="11">
        <v>3</v>
      </c>
      <c r="AE24" s="11"/>
      <c r="AF24" s="11"/>
      <c r="AG24" s="11"/>
      <c r="AH24" s="11"/>
      <c r="AI24" s="11"/>
      <c r="AJ24" s="11"/>
      <c r="AK24" s="11"/>
      <c r="AL24" s="11"/>
      <c r="AM24" s="14"/>
    </row>
    <row r="25" spans="2:39" ht="25.05" customHeight="1">
      <c r="B25" s="13"/>
      <c r="C25" s="29"/>
      <c r="D25" s="30"/>
      <c r="E25" s="19" t="s">
        <v>327</v>
      </c>
      <c r="F25" s="8" t="s">
        <v>42</v>
      </c>
      <c r="G25" s="9">
        <v>0.59513888888888888</v>
      </c>
      <c r="H25" s="9">
        <v>0.59722222222222221</v>
      </c>
      <c r="I25" s="10">
        <f t="shared" si="10"/>
        <v>2.0833333333333259E-3</v>
      </c>
      <c r="J25" s="11">
        <v>10</v>
      </c>
      <c r="K25" s="11">
        <v>36.840000000000003</v>
      </c>
      <c r="L25" s="16">
        <f t="shared" si="11"/>
        <v>73.680000000000277</v>
      </c>
      <c r="M25" s="11"/>
      <c r="N25" s="11"/>
      <c r="O25" s="11"/>
      <c r="P25" s="11"/>
      <c r="Q25" s="11"/>
      <c r="R25" s="12"/>
      <c r="S25" s="12"/>
      <c r="T25" s="11"/>
      <c r="U25" s="11"/>
      <c r="V25" s="12">
        <v>2</v>
      </c>
      <c r="W25" s="12"/>
      <c r="X25" s="11"/>
      <c r="Y25" s="11"/>
      <c r="Z25" s="11"/>
      <c r="AA25" s="11"/>
      <c r="AB25" s="11"/>
      <c r="AC25" s="11"/>
      <c r="AD25" s="11"/>
      <c r="AE25" s="11">
        <v>3</v>
      </c>
      <c r="AF25" s="11"/>
      <c r="AG25" s="11"/>
      <c r="AH25" s="11"/>
      <c r="AI25" s="11"/>
      <c r="AJ25" s="11"/>
      <c r="AK25" s="11"/>
      <c r="AL25" s="11"/>
      <c r="AM25" s="14"/>
    </row>
    <row r="26" spans="2:39" ht="25.05" customHeight="1">
      <c r="B26" s="13"/>
      <c r="C26" s="29"/>
      <c r="D26" s="30"/>
      <c r="E26" s="19" t="s">
        <v>328</v>
      </c>
      <c r="F26" s="8" t="s">
        <v>42</v>
      </c>
      <c r="G26" s="9">
        <v>0.59791666666666665</v>
      </c>
      <c r="H26" s="9">
        <v>0.6</v>
      </c>
      <c r="I26" s="10">
        <f t="shared" si="8"/>
        <v>2.0833333333333259E-3</v>
      </c>
      <c r="J26" s="11">
        <v>10</v>
      </c>
      <c r="K26" s="11">
        <v>37.909999999999997</v>
      </c>
      <c r="L26" s="16">
        <f t="shared" si="11"/>
        <v>75.820000000000263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>
        <v>2</v>
      </c>
      <c r="X26" s="11"/>
      <c r="Y26" s="11"/>
      <c r="Z26" s="11"/>
      <c r="AA26" s="11"/>
      <c r="AB26" s="11"/>
      <c r="AC26" s="11">
        <v>3</v>
      </c>
      <c r="AD26" s="11"/>
      <c r="AE26" s="11"/>
      <c r="AF26" s="11"/>
      <c r="AG26" s="11"/>
      <c r="AH26" s="11"/>
      <c r="AI26" s="11"/>
      <c r="AJ26" s="11"/>
      <c r="AK26" s="11"/>
      <c r="AL26" s="11"/>
      <c r="AM26" s="14"/>
    </row>
    <row r="27" spans="2:39" ht="25.05" customHeight="1">
      <c r="B27" s="13"/>
      <c r="C27" s="29"/>
      <c r="D27" s="65"/>
      <c r="E27" s="19" t="s">
        <v>330</v>
      </c>
      <c r="F27" s="8" t="s">
        <v>42</v>
      </c>
      <c r="G27" s="9">
        <v>0.60138888888888886</v>
      </c>
      <c r="H27" s="9">
        <v>0.60347222222222219</v>
      </c>
      <c r="I27" s="10">
        <f t="shared" si="8"/>
        <v>2.0833333333333259E-3</v>
      </c>
      <c r="J27" s="11">
        <v>10</v>
      </c>
      <c r="K27" s="11">
        <v>37.840000000000003</v>
      </c>
      <c r="L27" s="16">
        <f t="shared" si="9"/>
        <v>75.680000000000277</v>
      </c>
      <c r="M27" s="11"/>
      <c r="N27" s="11"/>
      <c r="O27" s="11"/>
      <c r="P27" s="11"/>
      <c r="Q27" s="11"/>
      <c r="R27" s="12"/>
      <c r="S27" s="12"/>
      <c r="T27" s="11"/>
      <c r="U27" s="11"/>
      <c r="V27" s="12">
        <v>2</v>
      </c>
      <c r="W27" s="12"/>
      <c r="X27" s="11"/>
      <c r="Y27" s="11"/>
      <c r="Z27" s="11"/>
      <c r="AA27" s="11"/>
      <c r="AB27" s="11">
        <v>3</v>
      </c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4"/>
    </row>
    <row r="28" spans="2:39" ht="25.05" customHeight="1">
      <c r="B28" s="13"/>
      <c r="C28" s="29"/>
      <c r="D28" s="65"/>
      <c r="E28" s="19" t="s">
        <v>331</v>
      </c>
      <c r="F28" s="8" t="s">
        <v>42</v>
      </c>
      <c r="G28" s="9">
        <v>0.60416666666666663</v>
      </c>
      <c r="H28" s="9">
        <v>0.60624999999999996</v>
      </c>
      <c r="I28" s="10">
        <f t="shared" si="8"/>
        <v>2.0833333333333259E-3</v>
      </c>
      <c r="J28" s="11">
        <v>10</v>
      </c>
      <c r="K28" s="11">
        <v>37.33</v>
      </c>
      <c r="L28" s="16">
        <f t="shared" si="9"/>
        <v>74.660000000000267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>
        <v>2</v>
      </c>
      <c r="X28" s="11"/>
      <c r="Y28" s="11"/>
      <c r="Z28" s="11"/>
      <c r="AA28" s="11"/>
      <c r="AB28" s="11"/>
      <c r="AC28" s="11"/>
      <c r="AD28" s="11">
        <v>3</v>
      </c>
      <c r="AE28" s="11"/>
      <c r="AF28" s="11"/>
      <c r="AG28" s="11"/>
      <c r="AH28" s="11"/>
      <c r="AI28" s="11"/>
      <c r="AJ28" s="11"/>
      <c r="AK28" s="11"/>
      <c r="AL28" s="11"/>
      <c r="AM28" s="14"/>
    </row>
    <row r="29" spans="2:39" ht="25.05" customHeight="1">
      <c r="B29" s="13"/>
      <c r="C29" s="29"/>
      <c r="D29" s="65"/>
      <c r="E29" s="19" t="s">
        <v>333</v>
      </c>
      <c r="F29" s="8" t="s">
        <v>42</v>
      </c>
      <c r="G29" s="9">
        <v>0.6069444444444444</v>
      </c>
      <c r="H29" s="9">
        <v>0.60902777777777772</v>
      </c>
      <c r="I29" s="10">
        <f t="shared" si="8"/>
        <v>2.0833333333333259E-3</v>
      </c>
      <c r="J29" s="11">
        <v>10</v>
      </c>
      <c r="K29" s="11">
        <v>37.14</v>
      </c>
      <c r="L29" s="16">
        <f t="shared" si="9"/>
        <v>74.280000000000271</v>
      </c>
      <c r="M29" s="11"/>
      <c r="N29" s="11"/>
      <c r="O29" s="11"/>
      <c r="P29" s="11"/>
      <c r="Q29" s="11"/>
      <c r="R29" s="12"/>
      <c r="S29" s="12"/>
      <c r="T29" s="11"/>
      <c r="U29" s="11"/>
      <c r="V29" s="12">
        <v>2</v>
      </c>
      <c r="W29" s="12"/>
      <c r="X29" s="11"/>
      <c r="Y29" s="11"/>
      <c r="Z29" s="11"/>
      <c r="AA29" s="11"/>
      <c r="AB29" s="11"/>
      <c r="AC29" s="11"/>
      <c r="AD29" s="11"/>
      <c r="AE29" s="11">
        <v>3</v>
      </c>
      <c r="AF29" s="11"/>
      <c r="AG29" s="11"/>
      <c r="AH29" s="11"/>
      <c r="AI29" s="11"/>
      <c r="AJ29" s="11"/>
      <c r="AK29" s="11"/>
      <c r="AL29" s="11"/>
      <c r="AM29" s="14"/>
    </row>
    <row r="30" spans="2:39" ht="25.05" customHeight="1">
      <c r="B30" s="13"/>
      <c r="C30" s="29"/>
      <c r="D30" s="65"/>
      <c r="E30" s="19" t="s">
        <v>334</v>
      </c>
      <c r="F30" s="8" t="s">
        <v>42</v>
      </c>
      <c r="G30" s="9">
        <v>0.61041666666666672</v>
      </c>
      <c r="H30" s="9">
        <v>0.61250000000000004</v>
      </c>
      <c r="I30" s="10">
        <f t="shared" si="8"/>
        <v>2.0833333333333259E-3</v>
      </c>
      <c r="J30" s="11">
        <v>10</v>
      </c>
      <c r="K30" s="11">
        <v>37.42</v>
      </c>
      <c r="L30" s="16">
        <f t="shared" si="9"/>
        <v>74.840000000000273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>
        <v>2</v>
      </c>
      <c r="X30" s="11"/>
      <c r="Y30" s="11"/>
      <c r="Z30" s="11"/>
      <c r="AA30" s="11"/>
      <c r="AB30" s="11"/>
      <c r="AC30" s="11">
        <v>3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4"/>
    </row>
    <row r="31" spans="2:39" ht="25.05" customHeight="1">
      <c r="B31" s="13"/>
      <c r="C31" s="29"/>
      <c r="D31" s="65"/>
      <c r="E31" s="19" t="s">
        <v>336</v>
      </c>
      <c r="F31" s="8" t="s">
        <v>42</v>
      </c>
      <c r="G31" s="9">
        <v>0.61388888888888893</v>
      </c>
      <c r="H31" s="9">
        <v>0.61597222222222225</v>
      </c>
      <c r="I31" s="10">
        <f t="shared" si="8"/>
        <v>2.0833333333333259E-3</v>
      </c>
      <c r="J31" s="11">
        <v>10</v>
      </c>
      <c r="K31" s="11">
        <v>37.450000000000003</v>
      </c>
      <c r="L31" s="16">
        <f t="shared" si="9"/>
        <v>74.900000000000276</v>
      </c>
      <c r="M31" s="11"/>
      <c r="N31" s="11"/>
      <c r="O31" s="11"/>
      <c r="P31" s="11"/>
      <c r="Q31" s="11"/>
      <c r="R31" s="12"/>
      <c r="S31" s="12"/>
      <c r="T31" s="11"/>
      <c r="U31" s="11"/>
      <c r="V31" s="12">
        <v>2</v>
      </c>
      <c r="W31" s="12"/>
      <c r="X31" s="11"/>
      <c r="Y31" s="11"/>
      <c r="Z31" s="11"/>
      <c r="AA31" s="11"/>
      <c r="AB31" s="11">
        <v>3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4"/>
    </row>
    <row r="32" spans="2:39" ht="25.05" customHeight="1">
      <c r="B32" s="13"/>
      <c r="C32" s="29"/>
      <c r="D32" s="65"/>
      <c r="E32" s="19" t="s">
        <v>337</v>
      </c>
      <c r="F32" s="8" t="s">
        <v>42</v>
      </c>
      <c r="G32" s="9">
        <v>0.6166666666666667</v>
      </c>
      <c r="H32" s="9">
        <v>0.61875000000000002</v>
      </c>
      <c r="I32" s="10">
        <f t="shared" si="8"/>
        <v>2.0833333333333259E-3</v>
      </c>
      <c r="J32" s="11">
        <v>10</v>
      </c>
      <c r="K32" s="11">
        <v>37</v>
      </c>
      <c r="L32" s="16">
        <f t="shared" si="9"/>
        <v>74.00000000000027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2</v>
      </c>
      <c r="X32" s="11"/>
      <c r="Y32" s="11"/>
      <c r="Z32" s="11"/>
      <c r="AA32" s="11"/>
      <c r="AB32" s="11"/>
      <c r="AC32" s="11"/>
      <c r="AD32" s="11">
        <v>3</v>
      </c>
      <c r="AE32" s="11"/>
      <c r="AF32" s="11"/>
      <c r="AG32" s="11"/>
      <c r="AH32" s="11"/>
      <c r="AI32" s="11"/>
      <c r="AJ32" s="11"/>
      <c r="AK32" s="11"/>
      <c r="AL32" s="11"/>
      <c r="AM32" s="14"/>
    </row>
    <row r="33" spans="2:39" ht="25.05" customHeight="1">
      <c r="B33" s="13"/>
      <c r="C33" s="29"/>
      <c r="D33" s="65"/>
      <c r="E33" s="19" t="s">
        <v>339</v>
      </c>
      <c r="F33" s="8" t="s">
        <v>42</v>
      </c>
      <c r="G33" s="9">
        <v>0.61944444444444446</v>
      </c>
      <c r="H33" s="9">
        <v>0.62152777777777779</v>
      </c>
      <c r="I33" s="10">
        <f t="shared" si="8"/>
        <v>2.0833333333333259E-3</v>
      </c>
      <c r="J33" s="11">
        <v>10</v>
      </c>
      <c r="K33" s="11">
        <v>37.090000000000003</v>
      </c>
      <c r="L33" s="16">
        <f t="shared" si="9"/>
        <v>74.180000000000277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</v>
      </c>
      <c r="W33" s="12"/>
      <c r="X33" s="11"/>
      <c r="Y33" s="11"/>
      <c r="Z33" s="11"/>
      <c r="AA33" s="11"/>
      <c r="AB33" s="11"/>
      <c r="AC33" s="11"/>
      <c r="AD33" s="11"/>
      <c r="AE33" s="11">
        <v>3</v>
      </c>
      <c r="AF33" s="11"/>
      <c r="AG33" s="11"/>
      <c r="AH33" s="11"/>
      <c r="AI33" s="11"/>
      <c r="AJ33" s="11"/>
      <c r="AK33" s="11"/>
      <c r="AL33" s="11"/>
      <c r="AM33" s="14"/>
    </row>
    <row r="34" spans="2:39" ht="25.05" customHeight="1">
      <c r="B34" s="13"/>
      <c r="C34" s="29"/>
      <c r="D34" s="30"/>
      <c r="E34" s="19" t="s">
        <v>340</v>
      </c>
      <c r="F34" s="8" t="s">
        <v>42</v>
      </c>
      <c r="G34" s="9">
        <v>0.62291666666666667</v>
      </c>
      <c r="H34" s="9">
        <v>0.625</v>
      </c>
      <c r="I34" s="10">
        <f t="shared" si="8"/>
        <v>2.0833333333333259E-3</v>
      </c>
      <c r="J34" s="11">
        <v>10</v>
      </c>
      <c r="K34" s="11">
        <v>3.68</v>
      </c>
      <c r="L34" s="16">
        <f t="shared" si="9"/>
        <v>7.360000000000027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/>
      <c r="AA34" s="11"/>
      <c r="AB34" s="11"/>
      <c r="AC34" s="11">
        <v>3</v>
      </c>
      <c r="AD34" s="11"/>
      <c r="AE34" s="11"/>
      <c r="AF34" s="11"/>
      <c r="AG34" s="11"/>
      <c r="AH34" s="11"/>
      <c r="AI34" s="11"/>
      <c r="AJ34" s="11"/>
      <c r="AK34" s="11"/>
      <c r="AL34" s="11"/>
      <c r="AM34" s="14"/>
    </row>
    <row r="35" spans="2:39" ht="25.05" customHeight="1">
      <c r="B35" s="13"/>
      <c r="C35" s="29"/>
      <c r="D35" s="30"/>
      <c r="E35" s="19" t="s">
        <v>342</v>
      </c>
      <c r="F35" s="8" t="s">
        <v>42</v>
      </c>
      <c r="G35" s="9">
        <v>0.62638888888888888</v>
      </c>
      <c r="H35" s="9">
        <v>0.62847222222222221</v>
      </c>
      <c r="I35" s="10">
        <f t="shared" si="8"/>
        <v>2.0833333333333259E-3</v>
      </c>
      <c r="J35" s="11">
        <v>10</v>
      </c>
      <c r="K35" s="11">
        <v>38.78</v>
      </c>
      <c r="L35" s="16">
        <f t="shared" si="9"/>
        <v>77.560000000000272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>
        <v>3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4"/>
    </row>
    <row r="36" spans="2:39" ht="25.05" customHeight="1">
      <c r="B36" s="13"/>
      <c r="C36" s="29"/>
      <c r="D36" s="30"/>
      <c r="E36" s="19" t="s">
        <v>343</v>
      </c>
      <c r="F36" s="8" t="s">
        <v>42</v>
      </c>
      <c r="G36" s="9">
        <v>0.62986111111111109</v>
      </c>
      <c r="H36" s="9">
        <v>0.63194444444444442</v>
      </c>
      <c r="I36" s="10">
        <f t="shared" si="8"/>
        <v>2.0833333333333259E-3</v>
      </c>
      <c r="J36" s="11">
        <v>10</v>
      </c>
      <c r="K36" s="11">
        <v>37.15</v>
      </c>
      <c r="L36" s="16">
        <f t="shared" si="9"/>
        <v>74.300000000000253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/>
      <c r="AB36" s="11"/>
      <c r="AC36" s="11"/>
      <c r="AD36" s="11">
        <v>3</v>
      </c>
      <c r="AE36" s="11"/>
      <c r="AF36" s="11"/>
      <c r="AG36" s="11"/>
      <c r="AH36" s="11"/>
      <c r="AI36" s="11"/>
      <c r="AJ36" s="11"/>
      <c r="AK36" s="11"/>
      <c r="AL36" s="11"/>
      <c r="AM36" s="14"/>
    </row>
    <row r="37" spans="2:39" ht="25.05" customHeight="1">
      <c r="B37" s="13"/>
      <c r="C37" s="29"/>
      <c r="D37" s="30"/>
      <c r="E37" s="19" t="s">
        <v>345</v>
      </c>
      <c r="F37" s="8" t="s">
        <v>42</v>
      </c>
      <c r="G37" s="9">
        <v>0.6333333333333333</v>
      </c>
      <c r="H37" s="9">
        <v>0.63541666666666663</v>
      </c>
      <c r="I37" s="10">
        <f t="shared" si="8"/>
        <v>2.0833333333333259E-3</v>
      </c>
      <c r="J37" s="11">
        <v>10</v>
      </c>
      <c r="K37" s="11">
        <v>36.92</v>
      </c>
      <c r="L37" s="16">
        <f t="shared" si="9"/>
        <v>73.840000000000273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/>
      <c r="AD37" s="11"/>
      <c r="AE37" s="11">
        <v>3</v>
      </c>
      <c r="AF37" s="11"/>
      <c r="AG37" s="11"/>
      <c r="AH37" s="11"/>
      <c r="AI37" s="11"/>
      <c r="AJ37" s="11"/>
      <c r="AK37" s="11"/>
      <c r="AL37" s="11"/>
      <c r="AM37" s="14"/>
    </row>
    <row r="38" spans="2:39" ht="25.05" customHeight="1">
      <c r="B38" s="13"/>
      <c r="C38" s="29"/>
      <c r="D38" s="30"/>
      <c r="E38" s="19" t="s">
        <v>346</v>
      </c>
      <c r="F38" s="8" t="s">
        <v>42</v>
      </c>
      <c r="G38" s="9">
        <v>0.63611111111111107</v>
      </c>
      <c r="H38" s="9">
        <v>0.6381944444444444</v>
      </c>
      <c r="I38" s="10">
        <f t="shared" si="8"/>
        <v>2.0833333333333259E-3</v>
      </c>
      <c r="J38" s="11">
        <v>10</v>
      </c>
      <c r="K38" s="11">
        <v>37.49</v>
      </c>
      <c r="L38" s="16">
        <f t="shared" si="9"/>
        <v>74.980000000000274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/>
      <c r="Z38" s="11"/>
      <c r="AA38" s="11"/>
      <c r="AB38" s="11"/>
      <c r="AC38" s="11">
        <v>3</v>
      </c>
      <c r="AD38" s="11"/>
      <c r="AE38" s="11"/>
      <c r="AF38" s="11"/>
      <c r="AG38" s="11"/>
      <c r="AH38" s="11"/>
      <c r="AI38" s="11"/>
      <c r="AJ38" s="11"/>
      <c r="AK38" s="11"/>
      <c r="AL38" s="11"/>
      <c r="AM38" s="14"/>
    </row>
    <row r="39" spans="2:39" ht="25.05" customHeight="1">
      <c r="B39" s="13"/>
      <c r="C39" s="29"/>
      <c r="D39" s="30"/>
      <c r="E39" s="19" t="s">
        <v>348</v>
      </c>
      <c r="F39" s="8" t="s">
        <v>42</v>
      </c>
      <c r="G39" s="9">
        <v>0.64097222222222228</v>
      </c>
      <c r="H39" s="9">
        <v>0.6430555555555556</v>
      </c>
      <c r="I39" s="10">
        <f t="shared" si="8"/>
        <v>2.0833333333333259E-3</v>
      </c>
      <c r="J39" s="11">
        <v>10</v>
      </c>
      <c r="K39" s="11">
        <v>37.71</v>
      </c>
      <c r="L39" s="16">
        <f t="shared" si="9"/>
        <v>75.420000000000272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>
        <v>3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4"/>
    </row>
    <row r="40" spans="2:39" ht="25.05" customHeight="1">
      <c r="B40" s="13"/>
      <c r="C40" s="29"/>
      <c r="D40" s="30"/>
      <c r="E40" s="19" t="s">
        <v>349</v>
      </c>
      <c r="F40" s="8" t="s">
        <v>42</v>
      </c>
      <c r="G40" s="9">
        <v>0.64375000000000004</v>
      </c>
      <c r="H40" s="9">
        <v>0.64583333333333337</v>
      </c>
      <c r="I40" s="10">
        <f t="shared" si="8"/>
        <v>2.0833333333333259E-3</v>
      </c>
      <c r="J40" s="11">
        <v>10</v>
      </c>
      <c r="K40" s="11">
        <v>36.96</v>
      </c>
      <c r="L40" s="16">
        <f t="shared" si="9"/>
        <v>73.920000000000258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/>
      <c r="AD40" s="11">
        <v>3</v>
      </c>
      <c r="AE40" s="11"/>
      <c r="AF40" s="11"/>
      <c r="AG40" s="11"/>
      <c r="AH40" s="11"/>
      <c r="AI40" s="11"/>
      <c r="AJ40" s="11"/>
      <c r="AK40" s="11"/>
      <c r="AL40" s="11"/>
      <c r="AM40" s="14"/>
    </row>
    <row r="41" spans="2:39" ht="25.05" customHeight="1">
      <c r="B41" s="13"/>
      <c r="C41" s="29"/>
      <c r="D41" s="30"/>
      <c r="E41" s="19" t="s">
        <v>713</v>
      </c>
      <c r="F41" s="8" t="s">
        <v>42</v>
      </c>
      <c r="G41" s="9">
        <v>0.64652777777777781</v>
      </c>
      <c r="H41" s="9">
        <v>0.64861111111111114</v>
      </c>
      <c r="I41" s="10">
        <f t="shared" si="8"/>
        <v>2.0833333333333259E-3</v>
      </c>
      <c r="J41" s="11">
        <v>10</v>
      </c>
      <c r="K41" s="11">
        <v>37.53</v>
      </c>
      <c r="L41" s="16">
        <f t="shared" si="9"/>
        <v>75.060000000000272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/>
      <c r="AD41" s="11"/>
      <c r="AE41" s="11">
        <v>3</v>
      </c>
      <c r="AF41" s="11"/>
      <c r="AG41" s="11"/>
      <c r="AH41" s="11"/>
      <c r="AI41" s="11"/>
      <c r="AJ41" s="11"/>
      <c r="AK41" s="11"/>
      <c r="AL41" s="11"/>
      <c r="AM41" s="14"/>
    </row>
    <row r="42" spans="2:39" ht="25.05" customHeight="1">
      <c r="B42" s="13"/>
      <c r="C42" s="29"/>
      <c r="D42" s="30"/>
      <c r="E42" s="19" t="s">
        <v>714</v>
      </c>
      <c r="F42" s="8" t="s">
        <v>42</v>
      </c>
      <c r="G42" s="9">
        <v>0.65</v>
      </c>
      <c r="H42" s="9">
        <v>0.65208333333333335</v>
      </c>
      <c r="I42" s="10">
        <f t="shared" si="8"/>
        <v>2.0833333333333259E-3</v>
      </c>
      <c r="J42" s="11">
        <v>10</v>
      </c>
      <c r="K42" s="11">
        <v>37.32</v>
      </c>
      <c r="L42" s="16">
        <f t="shared" si="9"/>
        <v>74.640000000000256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/>
      <c r="Z42" s="11"/>
      <c r="AA42" s="11"/>
      <c r="AB42" s="11"/>
      <c r="AC42" s="11">
        <v>3</v>
      </c>
      <c r="AD42" s="11"/>
      <c r="AE42" s="11"/>
      <c r="AF42" s="11"/>
      <c r="AG42" s="11"/>
      <c r="AH42" s="11"/>
      <c r="AI42" s="11"/>
      <c r="AJ42" s="11"/>
      <c r="AK42" s="11"/>
      <c r="AL42" s="11"/>
      <c r="AM42" s="14"/>
    </row>
    <row r="43" spans="2:39" ht="25.05" customHeight="1">
      <c r="B43" s="13"/>
      <c r="C43" s="29"/>
      <c r="D43" s="30"/>
      <c r="E43" s="19" t="s">
        <v>715</v>
      </c>
      <c r="F43" s="8" t="s">
        <v>42</v>
      </c>
      <c r="G43" s="9">
        <v>0.65347222222222223</v>
      </c>
      <c r="H43" s="9">
        <v>0.65555555555555556</v>
      </c>
      <c r="I43" s="10">
        <f t="shared" si="8"/>
        <v>2.0833333333333259E-3</v>
      </c>
      <c r="J43" s="11">
        <v>10</v>
      </c>
      <c r="K43" s="11">
        <v>37.18</v>
      </c>
      <c r="L43" s="16">
        <f t="shared" si="9"/>
        <v>74.360000000000255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>
        <v>3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4"/>
    </row>
    <row r="44" spans="2:39" ht="25.05" customHeight="1">
      <c r="B44" s="13"/>
      <c r="C44" s="29"/>
      <c r="D44" s="30"/>
      <c r="E44" s="19" t="s">
        <v>716</v>
      </c>
      <c r="F44" s="8" t="s">
        <v>42</v>
      </c>
      <c r="G44" s="9">
        <v>0.65555555555555556</v>
      </c>
      <c r="H44" s="9">
        <v>0.65763888888888888</v>
      </c>
      <c r="I44" s="10">
        <f t="shared" si="8"/>
        <v>2.0833333333333259E-3</v>
      </c>
      <c r="J44" s="11">
        <v>10</v>
      </c>
      <c r="K44" s="11">
        <v>37.1</v>
      </c>
      <c r="L44" s="16">
        <f t="shared" si="9"/>
        <v>74.200000000000259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/>
      <c r="AC44" s="11"/>
      <c r="AD44" s="11">
        <v>3</v>
      </c>
      <c r="AE44" s="11"/>
      <c r="AF44" s="11"/>
      <c r="AG44" s="11"/>
      <c r="AH44" s="11"/>
      <c r="AI44" s="11"/>
      <c r="AJ44" s="11"/>
      <c r="AK44" s="11"/>
      <c r="AL44" s="11"/>
      <c r="AM44" s="14"/>
    </row>
    <row r="45" spans="2:39" ht="25.05" customHeight="1">
      <c r="B45" s="13"/>
      <c r="C45" s="29"/>
      <c r="D45" s="30"/>
      <c r="E45" s="19" t="s">
        <v>717</v>
      </c>
      <c r="F45" s="8" t="s">
        <v>42</v>
      </c>
      <c r="G45" s="9">
        <v>0.65972222222222221</v>
      </c>
      <c r="H45" s="9">
        <v>0.66180555555555554</v>
      </c>
      <c r="I45" s="10">
        <f t="shared" si="8"/>
        <v>2.0833333333333259E-3</v>
      </c>
      <c r="J45" s="11">
        <v>10</v>
      </c>
      <c r="K45" s="11">
        <v>37.17</v>
      </c>
      <c r="L45" s="16">
        <f t="shared" si="9"/>
        <v>74.340000000000273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/>
      <c r="AC45" s="11"/>
      <c r="AD45" s="11"/>
      <c r="AE45" s="11">
        <v>3</v>
      </c>
      <c r="AF45" s="11"/>
      <c r="AG45" s="11"/>
      <c r="AH45" s="11"/>
      <c r="AI45" s="11"/>
      <c r="AJ45" s="11"/>
      <c r="AK45" s="11"/>
      <c r="AL45" s="11"/>
      <c r="AM45" s="14"/>
    </row>
    <row r="46" spans="2:39" ht="25.05" customHeight="1">
      <c r="B46" s="13"/>
      <c r="C46" s="29"/>
      <c r="D46" s="30"/>
      <c r="E46" s="19" t="s">
        <v>718</v>
      </c>
      <c r="F46" s="8" t="s">
        <v>42</v>
      </c>
      <c r="G46" s="9">
        <v>0.66180555555555554</v>
      </c>
      <c r="H46" s="9">
        <v>0.66388888888888886</v>
      </c>
      <c r="I46" s="10">
        <f t="shared" si="8"/>
        <v>2.0833333333333259E-3</v>
      </c>
      <c r="J46" s="11">
        <v>10</v>
      </c>
      <c r="K46" s="11">
        <v>36.159999999999997</v>
      </c>
      <c r="L46" s="16">
        <f t="shared" si="9"/>
        <v>72.320000000000249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/>
      <c r="AA46" s="11"/>
      <c r="AB46" s="11"/>
      <c r="AC46" s="11">
        <v>3</v>
      </c>
      <c r="AD46" s="11"/>
      <c r="AE46" s="11"/>
      <c r="AF46" s="11"/>
      <c r="AG46" s="11"/>
      <c r="AH46" s="11"/>
      <c r="AI46" s="11"/>
      <c r="AJ46" s="11"/>
      <c r="AK46" s="11"/>
      <c r="AL46" s="11"/>
      <c r="AM46" s="14"/>
    </row>
    <row r="47" spans="2:39" ht="25.05" customHeight="1">
      <c r="B47" s="13"/>
      <c r="C47" s="29"/>
      <c r="D47" s="30"/>
      <c r="E47" s="19" t="s">
        <v>719</v>
      </c>
      <c r="F47" s="8" t="s">
        <v>42</v>
      </c>
      <c r="G47" s="9">
        <v>0.6645833333333333</v>
      </c>
      <c r="H47" s="9">
        <v>0.66666666666666663</v>
      </c>
      <c r="I47" s="10">
        <f t="shared" si="8"/>
        <v>2.0833333333333259E-3</v>
      </c>
      <c r="J47" s="11">
        <v>10</v>
      </c>
      <c r="K47" s="11">
        <v>37.06</v>
      </c>
      <c r="L47" s="16">
        <f t="shared" si="9"/>
        <v>74.120000000000275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>
        <v>3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4"/>
    </row>
    <row r="48" spans="2:39" ht="25.05" customHeight="1">
      <c r="B48" s="13"/>
      <c r="C48" s="29"/>
      <c r="D48" s="30"/>
      <c r="E48" s="19" t="s">
        <v>720</v>
      </c>
      <c r="F48" s="8" t="s">
        <v>42</v>
      </c>
      <c r="G48" s="9">
        <v>0.66736111111111107</v>
      </c>
      <c r="H48" s="9">
        <v>0.6694444444444444</v>
      </c>
      <c r="I48" s="10">
        <f t="shared" si="8"/>
        <v>2.0833333333333259E-3</v>
      </c>
      <c r="J48" s="11">
        <v>10</v>
      </c>
      <c r="K48" s="11">
        <v>37.33</v>
      </c>
      <c r="L48" s="16">
        <f t="shared" si="9"/>
        <v>74.660000000000267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/>
      <c r="AA48" s="11"/>
      <c r="AB48" s="11"/>
      <c r="AC48" s="11"/>
      <c r="AD48" s="11">
        <v>3</v>
      </c>
      <c r="AE48" s="11"/>
      <c r="AF48" s="11"/>
      <c r="AG48" s="11"/>
      <c r="AH48" s="11"/>
      <c r="AI48" s="11"/>
      <c r="AJ48" s="11"/>
      <c r="AK48" s="11"/>
      <c r="AL48" s="11"/>
      <c r="AM48" s="14"/>
    </row>
    <row r="49" spans="1:39" ht="25.05" customHeight="1">
      <c r="B49" s="13"/>
      <c r="C49" s="29"/>
      <c r="D49" s="30"/>
      <c r="E49" s="19" t="s">
        <v>721</v>
      </c>
      <c r="F49" s="8" t="s">
        <v>42</v>
      </c>
      <c r="G49" s="9">
        <v>0.67013888888888884</v>
      </c>
      <c r="H49" s="9">
        <v>0.67222222222222228</v>
      </c>
      <c r="I49" s="10">
        <f t="shared" si="8"/>
        <v>2.083333333333437E-3</v>
      </c>
      <c r="J49" s="11">
        <v>10</v>
      </c>
      <c r="K49" s="11">
        <v>37.04</v>
      </c>
      <c r="L49" s="16">
        <f t="shared" si="9"/>
        <v>74.079999999996318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/>
      <c r="AC49" s="11"/>
      <c r="AD49" s="11"/>
      <c r="AE49" s="11">
        <v>3</v>
      </c>
      <c r="AF49" s="11"/>
      <c r="AG49" s="11"/>
      <c r="AH49" s="11"/>
      <c r="AI49" s="11"/>
      <c r="AJ49" s="11"/>
      <c r="AK49" s="11"/>
      <c r="AL49" s="11"/>
      <c r="AM49" s="14"/>
    </row>
    <row r="50" spans="1:39" ht="25.05" customHeight="1">
      <c r="B50" s="13"/>
      <c r="C50" s="29"/>
      <c r="D50" s="30"/>
      <c r="E50" s="19" t="s">
        <v>722</v>
      </c>
      <c r="F50" s="8" t="s">
        <v>42</v>
      </c>
      <c r="G50" s="9">
        <v>0.67222222222222228</v>
      </c>
      <c r="H50" s="9">
        <v>0.6743055555555556</v>
      </c>
      <c r="I50" s="10">
        <f t="shared" si="8"/>
        <v>2.0833333333333259E-3</v>
      </c>
      <c r="J50" s="11">
        <v>10</v>
      </c>
      <c r="K50" s="11">
        <v>37.33</v>
      </c>
      <c r="L50" s="16">
        <f t="shared" si="9"/>
        <v>74.660000000000267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>
        <v>2</v>
      </c>
      <c r="AD50" s="11"/>
      <c r="AE50" s="11"/>
      <c r="AF50" s="11"/>
      <c r="AG50" s="11"/>
      <c r="AH50" s="11"/>
      <c r="AI50" s="11"/>
      <c r="AJ50" s="11"/>
      <c r="AK50" s="11"/>
      <c r="AL50" s="11"/>
      <c r="AM50" s="14"/>
    </row>
    <row r="51" spans="1:39" ht="25.05" customHeight="1">
      <c r="B51" s="13"/>
      <c r="C51" s="29"/>
      <c r="D51" s="30"/>
      <c r="E51" s="116"/>
      <c r="F51" s="8" t="s">
        <v>42</v>
      </c>
      <c r="G51" s="9"/>
      <c r="H51" s="9"/>
      <c r="I51" s="10">
        <f t="shared" si="8"/>
        <v>0</v>
      </c>
      <c r="J51" s="11"/>
      <c r="K51" s="11"/>
      <c r="L51" s="16" t="str">
        <f t="shared" si="9"/>
        <v>0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4"/>
    </row>
    <row r="52" spans="1:39" ht="25.05" customHeight="1">
      <c r="B52" s="13"/>
      <c r="C52" s="29"/>
      <c r="D52" s="30" t="s">
        <v>301</v>
      </c>
      <c r="E52" s="19" t="s">
        <v>542</v>
      </c>
      <c r="F52" s="8" t="s">
        <v>42</v>
      </c>
      <c r="G52" s="9">
        <v>0.62986111111111109</v>
      </c>
      <c r="H52" s="9">
        <v>0.66111111111111109</v>
      </c>
      <c r="I52" s="10">
        <f t="shared" si="8"/>
        <v>3.125E-2</v>
      </c>
      <c r="J52" s="11">
        <v>5</v>
      </c>
      <c r="K52" s="11">
        <v>81.540000000000006</v>
      </c>
      <c r="L52" s="16">
        <f t="shared" si="9"/>
        <v>21.744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5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>
        <f>45/4</f>
        <v>11.25</v>
      </c>
      <c r="AI52" s="11">
        <f t="shared" ref="AI52:AK52" si="12">45/4</f>
        <v>11.25</v>
      </c>
      <c r="AJ52" s="11">
        <f t="shared" si="12"/>
        <v>11.25</v>
      </c>
      <c r="AK52" s="11">
        <f t="shared" si="12"/>
        <v>11.25</v>
      </c>
      <c r="AL52" s="11"/>
      <c r="AM52" s="14"/>
    </row>
    <row r="53" spans="1:39" ht="25.05" customHeight="1">
      <c r="B53" s="13"/>
      <c r="C53" s="29"/>
      <c r="D53" s="30"/>
      <c r="E53" s="19" t="s">
        <v>543</v>
      </c>
      <c r="F53" s="8" t="s">
        <v>42</v>
      </c>
      <c r="G53" s="9">
        <v>0.66249999999999998</v>
      </c>
      <c r="H53" s="9">
        <v>0.68611111111111112</v>
      </c>
      <c r="I53" s="10">
        <f t="shared" si="8"/>
        <v>2.3611111111111138E-2</v>
      </c>
      <c r="J53" s="11">
        <v>5</v>
      </c>
      <c r="K53" s="11">
        <v>85.58</v>
      </c>
      <c r="L53" s="16">
        <f t="shared" si="9"/>
        <v>30.204705882352908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4"/>
    </row>
    <row r="54" spans="1:39" ht="25.05" customHeight="1">
      <c r="B54" s="13"/>
      <c r="C54" s="29"/>
      <c r="D54" s="30"/>
      <c r="E54" s="19" t="s">
        <v>544</v>
      </c>
      <c r="F54" s="8" t="s">
        <v>42</v>
      </c>
      <c r="G54" s="9">
        <v>0.66249999999999998</v>
      </c>
      <c r="H54" s="9">
        <v>0.70486111111111116</v>
      </c>
      <c r="I54" s="10">
        <f t="shared" si="8"/>
        <v>4.2361111111111183E-2</v>
      </c>
      <c r="J54" s="11">
        <v>5</v>
      </c>
      <c r="K54" s="11">
        <v>85.34</v>
      </c>
      <c r="L54" s="16">
        <f t="shared" si="9"/>
        <v>16.788196721311447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4"/>
    </row>
    <row r="55" spans="1:39" ht="25.05" customHeight="1">
      <c r="B55" s="13"/>
      <c r="C55" s="29"/>
      <c r="D55" s="30"/>
      <c r="E55" s="19" t="s">
        <v>545</v>
      </c>
      <c r="F55" s="8" t="s">
        <v>42</v>
      </c>
      <c r="G55" s="9">
        <v>0.7055555555555556</v>
      </c>
      <c r="H55" s="9">
        <v>0.72430555555555554</v>
      </c>
      <c r="I55" s="10">
        <f t="shared" si="8"/>
        <v>1.8749999999999933E-2</v>
      </c>
      <c r="J55" s="11">
        <v>5</v>
      </c>
      <c r="K55" s="11">
        <v>87.89</v>
      </c>
      <c r="L55" s="16">
        <f t="shared" si="9"/>
        <v>39.06222222222236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4"/>
    </row>
    <row r="56" spans="1:39" ht="25.05" customHeight="1">
      <c r="B56" s="13"/>
      <c r="C56" s="29"/>
      <c r="D56" s="30"/>
      <c r="E56" s="19" t="s">
        <v>546</v>
      </c>
      <c r="F56" s="8" t="s">
        <v>42</v>
      </c>
      <c r="G56" s="9">
        <v>0.72499999999999998</v>
      </c>
      <c r="H56" s="9">
        <v>0.74375000000000002</v>
      </c>
      <c r="I56" s="10">
        <f t="shared" si="8"/>
        <v>1.8750000000000044E-2</v>
      </c>
      <c r="J56" s="11">
        <v>5</v>
      </c>
      <c r="K56" s="11">
        <v>87.17</v>
      </c>
      <c r="L56" s="16">
        <f t="shared" si="9"/>
        <v>38.742222222222132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4"/>
    </row>
    <row r="57" spans="1:39" ht="25.05" customHeight="1">
      <c r="B57" s="13"/>
      <c r="C57" s="29"/>
      <c r="D57" s="30"/>
      <c r="E57" s="19" t="s">
        <v>723</v>
      </c>
      <c r="F57" s="8" t="s">
        <v>42</v>
      </c>
      <c r="G57" s="9">
        <v>0.65694444444444444</v>
      </c>
      <c r="H57" s="9">
        <v>0.66805555555555551</v>
      </c>
      <c r="I57" s="10">
        <f t="shared" si="8"/>
        <v>1.1111111111111072E-2</v>
      </c>
      <c r="J57" s="11">
        <v>1</v>
      </c>
      <c r="K57" s="11">
        <f>3200*0.03</f>
        <v>96</v>
      </c>
      <c r="L57" s="16">
        <f t="shared" si="9"/>
        <v>360.00000000000131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3</v>
      </c>
      <c r="X57" s="12">
        <f>16/3</f>
        <v>5.333333333333333</v>
      </c>
      <c r="Y57" s="12">
        <f t="shared" ref="Y57:Z57" si="13">16/3</f>
        <v>5.333333333333333</v>
      </c>
      <c r="Z57" s="12">
        <f t="shared" si="13"/>
        <v>5.333333333333333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4"/>
    </row>
    <row r="58" spans="1:39" ht="25.05" customHeight="1">
      <c r="B58" s="13"/>
      <c r="C58" s="29"/>
      <c r="D58" s="30"/>
      <c r="E58" s="19" t="s">
        <v>724</v>
      </c>
      <c r="F58" s="8" t="s">
        <v>42</v>
      </c>
      <c r="G58" s="9">
        <v>0.66874999999999996</v>
      </c>
      <c r="H58" s="9">
        <v>0.68472222222222223</v>
      </c>
      <c r="I58" s="10">
        <f t="shared" si="8"/>
        <v>1.5972222222222276E-2</v>
      </c>
      <c r="J58" s="11">
        <v>1</v>
      </c>
      <c r="K58" s="11">
        <v>96</v>
      </c>
      <c r="L58" s="16">
        <f t="shared" si="9"/>
        <v>250.4347826086948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3</v>
      </c>
      <c r="X58" s="12">
        <f>23/3</f>
        <v>7.666666666666667</v>
      </c>
      <c r="Y58" s="12">
        <f t="shared" ref="Y58:Z58" si="14">23/3</f>
        <v>7.666666666666667</v>
      </c>
      <c r="Z58" s="12">
        <f t="shared" si="14"/>
        <v>7.666666666666667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4"/>
    </row>
    <row r="59" spans="1:39" ht="25.05" customHeight="1">
      <c r="B59" s="13"/>
      <c r="C59" s="29"/>
      <c r="D59" s="30"/>
      <c r="E59" s="19" t="s">
        <v>725</v>
      </c>
      <c r="F59" s="8" t="s">
        <v>42</v>
      </c>
      <c r="G59" s="9">
        <v>0.68541666666666667</v>
      </c>
      <c r="H59" s="9">
        <v>0.69930555555555551</v>
      </c>
      <c r="I59" s="10">
        <f t="shared" si="8"/>
        <v>1.388888888888884E-2</v>
      </c>
      <c r="J59" s="11">
        <v>1</v>
      </c>
      <c r="K59" s="11">
        <f>1280*0.03</f>
        <v>38.4</v>
      </c>
      <c r="L59" s="16">
        <f t="shared" si="9"/>
        <v>115.2000000000004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3</v>
      </c>
      <c r="X59" s="12">
        <f>20/3</f>
        <v>6.666666666666667</v>
      </c>
      <c r="Y59" s="12">
        <f t="shared" ref="Y59:Z59" si="15">20/3</f>
        <v>6.666666666666667</v>
      </c>
      <c r="Z59" s="12">
        <f t="shared" si="15"/>
        <v>6.666666666666667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4"/>
    </row>
    <row r="60" spans="1:39" ht="25.05" customHeight="1">
      <c r="B60" s="13"/>
      <c r="C60" s="29"/>
      <c r="D60" s="30"/>
      <c r="E60" s="19"/>
      <c r="F60" s="8" t="s">
        <v>42</v>
      </c>
      <c r="G60" s="9"/>
      <c r="H60" s="9"/>
      <c r="I60" s="10">
        <f t="shared" si="8"/>
        <v>0</v>
      </c>
      <c r="J60" s="11"/>
      <c r="K60" s="11"/>
      <c r="L60" s="16" t="str">
        <f t="shared" si="9"/>
        <v>0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4"/>
    </row>
    <row r="61" spans="1:39" ht="25.05" customHeight="1">
      <c r="B61" s="13"/>
      <c r="C61" s="29"/>
      <c r="D61" s="30"/>
      <c r="E61" s="19"/>
      <c r="F61" s="8" t="s">
        <v>42</v>
      </c>
      <c r="G61" s="9"/>
      <c r="H61" s="9"/>
      <c r="I61" s="10">
        <f t="shared" si="8"/>
        <v>0</v>
      </c>
      <c r="J61" s="11"/>
      <c r="K61" s="11"/>
      <c r="L61" s="16" t="str">
        <f t="shared" si="9"/>
        <v>0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4"/>
    </row>
    <row r="62" spans="1:39" s="28" customFormat="1" ht="25.5" customHeight="1" thickBot="1">
      <c r="A62" s="2"/>
      <c r="B62" s="32"/>
      <c r="C62" s="33"/>
      <c r="D62" s="34"/>
      <c r="E62" s="35"/>
      <c r="F62" s="35"/>
      <c r="G62" s="36"/>
      <c r="H62" s="36"/>
      <c r="I62" s="37"/>
      <c r="J62" s="38"/>
      <c r="K62" s="38">
        <f t="shared" ref="K62:AD62" si="16">SUM(K15:K61)</f>
        <v>1904.25</v>
      </c>
      <c r="L62" s="39">
        <f t="shared" si="16"/>
        <v>3228.5261296568092</v>
      </c>
      <c r="M62" s="38">
        <f t="shared" si="16"/>
        <v>0</v>
      </c>
      <c r="N62" s="38">
        <f t="shared" si="16"/>
        <v>0</v>
      </c>
      <c r="O62" s="38">
        <f t="shared" si="16"/>
        <v>0</v>
      </c>
      <c r="P62" s="38">
        <f t="shared" si="16"/>
        <v>0</v>
      </c>
      <c r="Q62" s="38">
        <f t="shared" si="16"/>
        <v>0</v>
      </c>
      <c r="R62" s="38">
        <f t="shared" si="16"/>
        <v>0</v>
      </c>
      <c r="S62" s="38">
        <f t="shared" si="16"/>
        <v>0</v>
      </c>
      <c r="T62" s="38">
        <f t="shared" si="16"/>
        <v>0</v>
      </c>
      <c r="U62" s="38">
        <f t="shared" si="16"/>
        <v>0</v>
      </c>
      <c r="V62" s="38">
        <f t="shared" si="16"/>
        <v>37</v>
      </c>
      <c r="W62" s="38">
        <f t="shared" si="16"/>
        <v>51</v>
      </c>
      <c r="X62" s="179">
        <f t="shared" si="16"/>
        <v>19.666666666666668</v>
      </c>
      <c r="Y62" s="179">
        <f t="shared" si="16"/>
        <v>19.666666666666668</v>
      </c>
      <c r="Z62" s="179">
        <f t="shared" si="16"/>
        <v>19.666666666666668</v>
      </c>
      <c r="AA62" s="38">
        <f t="shared" si="16"/>
        <v>0</v>
      </c>
      <c r="AB62" s="38">
        <f t="shared" si="16"/>
        <v>33</v>
      </c>
      <c r="AC62" s="38">
        <f t="shared" si="16"/>
        <v>28</v>
      </c>
      <c r="AD62" s="38">
        <f t="shared" si="16"/>
        <v>25</v>
      </c>
      <c r="AE62" s="38"/>
      <c r="AF62" s="38">
        <f t="shared" ref="AF62:AM62" si="17">SUM(AF15:AF61)</f>
        <v>0</v>
      </c>
      <c r="AG62" s="38">
        <f t="shared" si="17"/>
        <v>0</v>
      </c>
      <c r="AH62" s="38">
        <f t="shared" si="17"/>
        <v>11.25</v>
      </c>
      <c r="AI62" s="38">
        <f t="shared" si="17"/>
        <v>11.25</v>
      </c>
      <c r="AJ62" s="38">
        <f t="shared" si="17"/>
        <v>11.25</v>
      </c>
      <c r="AK62" s="38">
        <f t="shared" si="17"/>
        <v>11.25</v>
      </c>
      <c r="AL62" s="38">
        <f t="shared" si="17"/>
        <v>0</v>
      </c>
      <c r="AM62" s="38">
        <f t="shared" si="17"/>
        <v>0</v>
      </c>
    </row>
    <row r="63" spans="1:39" ht="38.1" customHeight="1" thickBot="1">
      <c r="B63" s="40" t="s">
        <v>45</v>
      </c>
      <c r="C63" s="41"/>
      <c r="D63" s="41"/>
      <c r="E63" s="41"/>
      <c r="F63" s="41"/>
      <c r="G63" s="41"/>
      <c r="H63" s="41"/>
      <c r="I63" s="41"/>
      <c r="J63" s="41"/>
      <c r="K63" s="42">
        <f>K7+K14+K62</f>
        <v>2229.21</v>
      </c>
      <c r="L63" s="42">
        <f>L7+L14+L62</f>
        <v>3235.2961296568092</v>
      </c>
      <c r="M63" s="43">
        <f t="shared" ref="M63:AM63" si="18">(M7+M14+M62)/(480-15-30)</f>
        <v>0</v>
      </c>
      <c r="N63" s="43">
        <f t="shared" si="18"/>
        <v>0</v>
      </c>
      <c r="O63" s="43">
        <f t="shared" si="18"/>
        <v>0</v>
      </c>
      <c r="P63" s="43">
        <f t="shared" si="18"/>
        <v>0</v>
      </c>
      <c r="Q63" s="43">
        <f t="shared" si="18"/>
        <v>0</v>
      </c>
      <c r="R63" s="43">
        <f t="shared" si="18"/>
        <v>0</v>
      </c>
      <c r="S63" s="43">
        <f t="shared" si="18"/>
        <v>0</v>
      </c>
      <c r="T63" s="43">
        <f t="shared" si="18"/>
        <v>0.55172413793103448</v>
      </c>
      <c r="U63" s="43">
        <f t="shared" si="18"/>
        <v>0</v>
      </c>
      <c r="V63" s="43">
        <f t="shared" si="18"/>
        <v>8.5057471264367815E-2</v>
      </c>
      <c r="W63" s="43">
        <f t="shared" si="18"/>
        <v>0.11724137931034483</v>
      </c>
      <c r="X63" s="43">
        <f t="shared" si="18"/>
        <v>4.5210727969348663E-2</v>
      </c>
      <c r="Y63" s="43">
        <f t="shared" si="18"/>
        <v>4.5210727969348663E-2</v>
      </c>
      <c r="Z63" s="43">
        <f t="shared" si="18"/>
        <v>4.5210727969348663E-2</v>
      </c>
      <c r="AA63" s="43">
        <f t="shared" si="18"/>
        <v>0</v>
      </c>
      <c r="AB63" s="43">
        <f t="shared" si="18"/>
        <v>7.586206896551724E-2</v>
      </c>
      <c r="AC63" s="43">
        <f t="shared" si="18"/>
        <v>6.4367816091954022E-2</v>
      </c>
      <c r="AD63" s="43">
        <f t="shared" si="18"/>
        <v>5.7471264367816091E-2</v>
      </c>
      <c r="AE63" s="43">
        <f t="shared" si="18"/>
        <v>0</v>
      </c>
      <c r="AF63" s="43">
        <f t="shared" si="18"/>
        <v>0</v>
      </c>
      <c r="AG63" s="43">
        <f t="shared" si="18"/>
        <v>0</v>
      </c>
      <c r="AH63" s="43">
        <f t="shared" si="18"/>
        <v>2.5862068965517241E-2</v>
      </c>
      <c r="AI63" s="43">
        <f t="shared" si="18"/>
        <v>2.5862068965517241E-2</v>
      </c>
      <c r="AJ63" s="43">
        <f t="shared" si="18"/>
        <v>2.5862068965517241E-2</v>
      </c>
      <c r="AK63" s="43">
        <f t="shared" si="18"/>
        <v>2.5862068965517241E-2</v>
      </c>
      <c r="AL63" s="43">
        <f t="shared" si="18"/>
        <v>0</v>
      </c>
      <c r="AM63" s="43">
        <f t="shared" si="18"/>
        <v>0</v>
      </c>
    </row>
    <row r="64" spans="1:39" ht="25.05" customHeight="1">
      <c r="B64" s="44"/>
      <c r="C64" s="44"/>
      <c r="D64" s="44"/>
      <c r="E64" s="45"/>
      <c r="F64" s="45"/>
      <c r="G64" s="45"/>
      <c r="H64" s="45"/>
      <c r="I64" s="46"/>
      <c r="J64" s="46"/>
      <c r="K64" s="45"/>
      <c r="L64" s="47"/>
      <c r="M64" s="47"/>
      <c r="N64" s="47"/>
      <c r="O64" s="47"/>
      <c r="P64" s="47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</row>
    <row r="65" spans="2:37" ht="25.05" customHeight="1">
      <c r="B65" s="44"/>
      <c r="C65" s="44"/>
      <c r="D65" s="44"/>
      <c r="E65" s="45"/>
      <c r="F65" s="45"/>
      <c r="G65" s="45"/>
      <c r="H65" s="45"/>
      <c r="I65" s="48" t="s">
        <v>46</v>
      </c>
      <c r="J65" s="46"/>
      <c r="K65" s="45"/>
      <c r="L65" s="47"/>
      <c r="M65" s="47"/>
      <c r="N65" s="47"/>
      <c r="O65" s="47"/>
      <c r="P65" s="47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</row>
    <row r="66" spans="2:37" ht="25.05" customHeight="1">
      <c r="B66" s="44"/>
      <c r="C66" s="44"/>
      <c r="D66" s="44"/>
      <c r="E66" s="45"/>
      <c r="F66" s="45"/>
      <c r="G66" s="45"/>
      <c r="H66" s="45"/>
      <c r="I66" s="49" t="s">
        <v>47</v>
      </c>
      <c r="J66" s="9">
        <v>0</v>
      </c>
      <c r="K66" s="11">
        <v>10</v>
      </c>
      <c r="L66" s="11" t="s">
        <v>48</v>
      </c>
      <c r="M66" s="47"/>
      <c r="N66" s="14">
        <v>2</v>
      </c>
      <c r="O66" s="14"/>
      <c r="P66" s="14"/>
      <c r="Q66" s="50" t="s">
        <v>49</v>
      </c>
      <c r="R66" s="51"/>
      <c r="S66" s="45"/>
      <c r="T66" s="45"/>
      <c r="U66" s="45"/>
      <c r="V66" s="45"/>
      <c r="W66" s="45"/>
      <c r="X66" s="45"/>
      <c r="Y66" s="45"/>
      <c r="Z66" s="45"/>
      <c r="AA66" s="45"/>
      <c r="AC66" s="45"/>
      <c r="AD66" s="45"/>
      <c r="AE66" s="45"/>
      <c r="AF66" s="45"/>
      <c r="AG66" s="45"/>
      <c r="AH66" s="45"/>
      <c r="AI66" s="45"/>
    </row>
    <row r="67" spans="2:37" ht="25.05" customHeight="1">
      <c r="B67" s="44"/>
      <c r="C67" s="44"/>
      <c r="D67" s="44"/>
      <c r="E67" s="45"/>
      <c r="F67" s="45"/>
      <c r="G67" s="45"/>
      <c r="H67" s="45"/>
      <c r="I67" s="49" t="s">
        <v>50</v>
      </c>
      <c r="J67" s="9">
        <v>0</v>
      </c>
      <c r="K67" s="11">
        <v>3</v>
      </c>
      <c r="L67" s="11" t="s">
        <v>48</v>
      </c>
      <c r="M67" s="47"/>
      <c r="N67" s="14">
        <v>4</v>
      </c>
      <c r="O67" s="14"/>
      <c r="P67" s="14"/>
      <c r="Q67" s="50" t="s">
        <v>51</v>
      </c>
      <c r="R67" s="51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5"/>
    </row>
    <row r="68" spans="2:37" ht="25.05" customHeight="1">
      <c r="B68" s="44"/>
      <c r="C68" s="44"/>
      <c r="D68" s="44"/>
      <c r="E68" s="45"/>
      <c r="F68" s="45"/>
      <c r="G68" s="45"/>
      <c r="H68" s="45"/>
      <c r="I68" s="49" t="s">
        <v>52</v>
      </c>
      <c r="J68" s="9">
        <v>0</v>
      </c>
      <c r="K68" s="11">
        <v>18</v>
      </c>
      <c r="L68" s="11" t="s">
        <v>48</v>
      </c>
      <c r="M68" s="47"/>
      <c r="N68" s="14">
        <v>1</v>
      </c>
      <c r="O68" s="14"/>
      <c r="P68" s="14"/>
      <c r="Q68" s="50" t="s">
        <v>53</v>
      </c>
      <c r="R68" s="51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5"/>
    </row>
    <row r="69" spans="2:37" ht="25.05" customHeight="1">
      <c r="B69" s="44"/>
      <c r="C69" s="44"/>
      <c r="D69" s="44"/>
      <c r="E69" s="45"/>
      <c r="F69" s="45"/>
      <c r="G69" s="45"/>
      <c r="H69" s="45"/>
      <c r="I69" s="52" t="s">
        <v>54</v>
      </c>
      <c r="J69" s="53">
        <v>0</v>
      </c>
      <c r="K69" s="11">
        <v>5</v>
      </c>
      <c r="L69" s="54" t="s">
        <v>48</v>
      </c>
      <c r="M69" s="47"/>
      <c r="N69" s="14">
        <v>3</v>
      </c>
      <c r="O69" s="14"/>
      <c r="P69" s="14"/>
      <c r="Q69" s="50" t="s">
        <v>55</v>
      </c>
      <c r="R69" s="51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  <c r="AI69" s="45"/>
    </row>
    <row r="70" spans="2:37" ht="25.05" customHeight="1">
      <c r="B70" s="44"/>
      <c r="C70" s="44"/>
      <c r="D70" s="44"/>
      <c r="E70" s="45"/>
      <c r="F70" s="45"/>
      <c r="G70" s="45"/>
      <c r="H70" s="45"/>
      <c r="I70" s="49" t="s">
        <v>56</v>
      </c>
      <c r="J70" s="9">
        <v>0</v>
      </c>
      <c r="K70" s="11">
        <v>36</v>
      </c>
      <c r="L70" s="11" t="s">
        <v>48</v>
      </c>
      <c r="M70" s="47"/>
      <c r="N70"/>
      <c r="O70"/>
      <c r="P70"/>
      <c r="Q70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</row>
    <row r="71" spans="2:37" ht="25.05" customHeight="1">
      <c r="B71" s="44"/>
      <c r="C71" s="44"/>
      <c r="D71" s="44"/>
      <c r="E71" s="45"/>
      <c r="F71" s="45"/>
      <c r="G71" s="45"/>
      <c r="H71" s="45"/>
      <c r="M71" s="47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</row>
    <row r="72" spans="2:37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M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BA91-8C53-440C-95DF-3D2CA16AF655}">
  <sheetPr>
    <pageSetUpPr fitToPage="1"/>
  </sheetPr>
  <dimension ref="A1:AM112"/>
  <sheetViews>
    <sheetView zoomScale="70" zoomScaleNormal="70" workbookViewId="0">
      <pane xSplit="12" ySplit="3" topLeftCell="S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1" width="16.21875" style="2" customWidth="1"/>
    <col min="32" max="32" width="17.77734375" style="2" customWidth="1"/>
    <col min="33" max="38" width="16.21875" style="2" customWidth="1"/>
    <col min="39" max="39" width="14.44140625" style="2" customWidth="1"/>
    <col min="40" max="16384" width="10.21875" style="2"/>
  </cols>
  <sheetData>
    <row r="1" spans="1:39" ht="18.75" customHeight="1">
      <c r="A1" s="2" t="s">
        <v>0</v>
      </c>
    </row>
    <row r="2" spans="1:39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2"/>
    </row>
    <row r="3" spans="1:39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416</v>
      </c>
      <c r="AF3" s="1" t="s">
        <v>32</v>
      </c>
      <c r="AG3" s="1" t="s">
        <v>33</v>
      </c>
      <c r="AH3" s="1" t="s">
        <v>34</v>
      </c>
      <c r="AI3" s="1" t="s">
        <v>35</v>
      </c>
      <c r="AJ3" s="1" t="s">
        <v>36</v>
      </c>
      <c r="AK3" s="1" t="s">
        <v>37</v>
      </c>
      <c r="AL3" s="1" t="s">
        <v>38</v>
      </c>
      <c r="AM3" s="1" t="s">
        <v>39</v>
      </c>
    </row>
    <row r="4" spans="1:39" ht="25.05" customHeight="1">
      <c r="B4" s="13">
        <v>46105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0.79861111111111116</v>
      </c>
      <c r="I4" s="10">
        <f t="shared" ref="I4:I12" si="0">H4-G4</f>
        <v>6.9444444444445308E-3</v>
      </c>
      <c r="J4" s="11">
        <v>8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</row>
    <row r="5" spans="1:39" ht="25.05" customHeight="1">
      <c r="B5" s="13"/>
      <c r="C5" s="14"/>
      <c r="D5" s="161" t="s">
        <v>726</v>
      </c>
      <c r="E5" s="17" t="s">
        <v>727</v>
      </c>
      <c r="F5" s="88" t="s">
        <v>42</v>
      </c>
      <c r="G5" s="9">
        <v>0.80555555555555558</v>
      </c>
      <c r="H5" s="9">
        <v>0.97222222222222221</v>
      </c>
      <c r="I5" s="10">
        <f t="shared" si="0"/>
        <v>0.16666666666666663</v>
      </c>
      <c r="J5" s="11">
        <v>8</v>
      </c>
      <c r="K5" s="11">
        <v>185</v>
      </c>
      <c r="L5" s="16">
        <f t="shared" ref="L5:L12" si="1">IFERROR(((K5/(J5*I5)/24)),"0")</f>
        <v>5.7812500000000009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</row>
    <row r="6" spans="1:39" ht="25.05" customHeight="1">
      <c r="B6" s="13"/>
      <c r="C6" s="14"/>
      <c r="D6" s="6"/>
      <c r="E6" s="17" t="s">
        <v>728</v>
      </c>
      <c r="F6" s="55" t="s">
        <v>61</v>
      </c>
      <c r="G6" s="9">
        <v>0.9</v>
      </c>
      <c r="H6" s="9">
        <v>46106.013888888891</v>
      </c>
      <c r="I6" s="10">
        <f t="shared" si="0"/>
        <v>46105.113888888889</v>
      </c>
      <c r="J6" s="11">
        <v>8</v>
      </c>
      <c r="K6" s="11">
        <v>195</v>
      </c>
      <c r="L6" s="16">
        <f t="shared" si="1"/>
        <v>2.202846743742153E-5</v>
      </c>
      <c r="M6" s="11"/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</row>
    <row r="7" spans="1:39" ht="25.05" customHeight="1">
      <c r="B7" s="13"/>
      <c r="C7" s="14"/>
      <c r="D7" s="31" t="s">
        <v>79</v>
      </c>
      <c r="E7" s="17" t="s">
        <v>729</v>
      </c>
      <c r="F7" s="88" t="s">
        <v>42</v>
      </c>
      <c r="G7" s="9">
        <v>0.90277777777777779</v>
      </c>
      <c r="H7" s="9">
        <v>0.90625</v>
      </c>
      <c r="I7" s="10">
        <f t="shared" si="0"/>
        <v>3.4722222222222099E-3</v>
      </c>
      <c r="J7" s="11">
        <v>1</v>
      </c>
      <c r="K7" s="11">
        <v>0.1</v>
      </c>
      <c r="L7" s="16">
        <f t="shared" si="1"/>
        <v>1.2000000000000044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</row>
    <row r="8" spans="1:39" ht="25.05" customHeight="1">
      <c r="B8" s="13"/>
      <c r="C8" s="14"/>
      <c r="D8" s="30" t="s">
        <v>730</v>
      </c>
      <c r="E8" s="17" t="s">
        <v>731</v>
      </c>
      <c r="F8" s="88" t="s">
        <v>42</v>
      </c>
      <c r="G8" s="9">
        <v>0.93402777777777779</v>
      </c>
      <c r="H8" s="9">
        <v>0.94791666666666663</v>
      </c>
      <c r="I8" s="10">
        <f t="shared" si="0"/>
        <v>1.388888888888884E-2</v>
      </c>
      <c r="J8" s="11">
        <v>1</v>
      </c>
      <c r="K8" s="11">
        <v>11</v>
      </c>
      <c r="L8" s="16">
        <f t="shared" si="1"/>
        <v>33.000000000000121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</row>
    <row r="9" spans="1:39" ht="25.05" customHeight="1">
      <c r="B9" s="13"/>
      <c r="C9" s="14"/>
      <c r="D9" s="6"/>
      <c r="E9" s="15" t="s">
        <v>732</v>
      </c>
      <c r="F9" s="57">
        <v>0.5</v>
      </c>
      <c r="G9" s="9">
        <v>0.96527777777777779</v>
      </c>
      <c r="H9" s="9">
        <v>0.97222222222222221</v>
      </c>
      <c r="I9" s="10">
        <f t="shared" si="0"/>
        <v>6.9444444444444198E-3</v>
      </c>
      <c r="J9" s="11">
        <v>1</v>
      </c>
      <c r="K9" s="11">
        <v>42.64</v>
      </c>
      <c r="L9" s="16">
        <f t="shared" si="1"/>
        <v>255.84000000000091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</row>
    <row r="10" spans="1:39" ht="25.05" customHeight="1">
      <c r="B10" s="13"/>
      <c r="C10" s="14"/>
      <c r="D10" s="6"/>
      <c r="E10" s="15" t="s">
        <v>733</v>
      </c>
      <c r="F10" s="88" t="s">
        <v>42</v>
      </c>
      <c r="G10" s="9">
        <v>9.7222222222222224E-2</v>
      </c>
      <c r="H10" s="9">
        <v>0.10416666666666667</v>
      </c>
      <c r="I10" s="10">
        <f t="shared" si="0"/>
        <v>6.9444444444444475E-3</v>
      </c>
      <c r="J10" s="11">
        <v>1</v>
      </c>
      <c r="K10" s="11">
        <v>4.24</v>
      </c>
      <c r="L10" s="16">
        <f t="shared" si="1"/>
        <v>25.439999999999987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 ht="25.05" customHeight="1">
      <c r="B11" s="13"/>
      <c r="C11" s="14"/>
      <c r="D11" s="6"/>
      <c r="E11" s="15"/>
      <c r="F11" s="55"/>
      <c r="G11" s="9"/>
      <c r="H11" s="9"/>
      <c r="I11" s="10">
        <f t="shared" si="0"/>
        <v>0</v>
      </c>
      <c r="J11" s="11"/>
      <c r="K11" s="11"/>
      <c r="L11" s="16" t="str">
        <f t="shared" si="1"/>
        <v>0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ht="25.05" customHeight="1">
      <c r="B12" s="13"/>
      <c r="C12" s="14"/>
      <c r="D12" s="6"/>
      <c r="E12" s="15"/>
      <c r="F12" s="55"/>
      <c r="G12" s="9"/>
      <c r="H12" s="9"/>
      <c r="I12" s="10">
        <f t="shared" si="0"/>
        <v>0</v>
      </c>
      <c r="J12" s="11"/>
      <c r="K12" s="11"/>
      <c r="L12" s="16" t="str">
        <f t="shared" si="1"/>
        <v>0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s="28" customFormat="1" ht="25.05" customHeight="1">
      <c r="A13" s="2"/>
      <c r="B13" s="21"/>
      <c r="C13" s="22"/>
      <c r="D13" s="23"/>
      <c r="E13" s="24"/>
      <c r="F13" s="24"/>
      <c r="G13" s="25"/>
      <c r="H13" s="25"/>
      <c r="I13" s="26"/>
      <c r="J13" s="27"/>
      <c r="K13" s="27">
        <f t="shared" ref="K13:AM13" si="2">SUM(K4:K10)</f>
        <v>437.98</v>
      </c>
      <c r="L13" s="39">
        <f t="shared" si="2"/>
        <v>321.26127202846845</v>
      </c>
      <c r="M13" s="27">
        <f t="shared" si="2"/>
        <v>0</v>
      </c>
      <c r="N13" s="27">
        <f t="shared" si="2"/>
        <v>0</v>
      </c>
      <c r="O13" s="27">
        <f t="shared" si="2"/>
        <v>0</v>
      </c>
      <c r="P13" s="27">
        <f t="shared" si="2"/>
        <v>0</v>
      </c>
      <c r="Q13" s="27">
        <f t="shared" si="2"/>
        <v>0</v>
      </c>
      <c r="R13" s="27">
        <f t="shared" si="2"/>
        <v>0</v>
      </c>
      <c r="S13" s="27">
        <f t="shared" si="2"/>
        <v>0</v>
      </c>
      <c r="T13" s="27">
        <f t="shared" si="2"/>
        <v>0</v>
      </c>
      <c r="U13" s="27">
        <f t="shared" si="2"/>
        <v>0</v>
      </c>
      <c r="V13" s="27">
        <f t="shared" si="2"/>
        <v>0</v>
      </c>
      <c r="W13" s="27">
        <f t="shared" si="2"/>
        <v>0</v>
      </c>
      <c r="X13" s="27">
        <f t="shared" si="2"/>
        <v>0</v>
      </c>
      <c r="Y13" s="27">
        <f t="shared" si="2"/>
        <v>0</v>
      </c>
      <c r="Z13" s="27">
        <f t="shared" si="2"/>
        <v>0</v>
      </c>
      <c r="AA13" s="27">
        <f t="shared" si="2"/>
        <v>0</v>
      </c>
      <c r="AB13" s="27">
        <f t="shared" si="2"/>
        <v>0</v>
      </c>
      <c r="AC13" s="27">
        <f t="shared" si="2"/>
        <v>0</v>
      </c>
      <c r="AD13" s="27">
        <f t="shared" si="2"/>
        <v>0</v>
      </c>
      <c r="AE13" s="27">
        <f t="shared" si="2"/>
        <v>0</v>
      </c>
      <c r="AF13" s="27">
        <f t="shared" si="2"/>
        <v>0</v>
      </c>
      <c r="AG13" s="27">
        <f t="shared" si="2"/>
        <v>0</v>
      </c>
      <c r="AH13" s="27">
        <f t="shared" si="2"/>
        <v>0</v>
      </c>
      <c r="AI13" s="27">
        <f t="shared" si="2"/>
        <v>0</v>
      </c>
      <c r="AJ13" s="27">
        <f t="shared" si="2"/>
        <v>0</v>
      </c>
      <c r="AK13" s="27">
        <f t="shared" si="2"/>
        <v>0</v>
      </c>
      <c r="AL13" s="27">
        <f t="shared" si="2"/>
        <v>0</v>
      </c>
      <c r="AM13" s="27">
        <f t="shared" si="2"/>
        <v>0</v>
      </c>
    </row>
    <row r="14" spans="1:39" ht="25.05" customHeight="1">
      <c r="B14" s="13"/>
      <c r="C14" s="14" t="s">
        <v>43</v>
      </c>
      <c r="D14" s="6"/>
      <c r="E14" s="7" t="s">
        <v>41</v>
      </c>
      <c r="F14" s="8" t="s">
        <v>42</v>
      </c>
      <c r="G14" s="9"/>
      <c r="H14" s="9"/>
      <c r="I14" s="10">
        <f>H14-G14</f>
        <v>0</v>
      </c>
      <c r="J14" s="11"/>
      <c r="K14" s="11"/>
      <c r="L14" s="16" t="str">
        <f>IFERROR(((K14/(J14*I14)/24)),"0")</f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ht="25.05" customHeight="1">
      <c r="B15" s="13"/>
      <c r="C15" s="14"/>
      <c r="D15" s="18"/>
      <c r="E15" s="6"/>
      <c r="F15" s="14"/>
      <c r="G15" s="9"/>
      <c r="H15" s="9"/>
      <c r="I15" s="10"/>
      <c r="J15" s="11"/>
      <c r="K15" s="11"/>
      <c r="L15" s="16"/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spans="1:39" s="28" customFormat="1" ht="25.05" customHeight="1">
      <c r="A16" s="2"/>
      <c r="B16" s="21"/>
      <c r="C16" s="22"/>
      <c r="D16" s="23"/>
      <c r="E16" s="24"/>
      <c r="F16" s="22"/>
      <c r="G16" s="25"/>
      <c r="H16" s="25"/>
      <c r="I16" s="26"/>
      <c r="J16" s="27"/>
      <c r="K16" s="27">
        <f t="shared" ref="K16:AM16" si="3">SUM(K14:K15)</f>
        <v>0</v>
      </c>
      <c r="L16" s="27">
        <f t="shared" si="3"/>
        <v>0</v>
      </c>
      <c r="M16" s="27">
        <f t="shared" si="3"/>
        <v>0</v>
      </c>
      <c r="N16" s="27">
        <f t="shared" si="3"/>
        <v>0</v>
      </c>
      <c r="O16" s="27">
        <f t="shared" si="3"/>
        <v>0</v>
      </c>
      <c r="P16" s="27">
        <f t="shared" si="3"/>
        <v>0</v>
      </c>
      <c r="Q16" s="27">
        <f t="shared" si="3"/>
        <v>0</v>
      </c>
      <c r="R16" s="27">
        <f t="shared" si="3"/>
        <v>0</v>
      </c>
      <c r="S16" s="27">
        <f t="shared" si="3"/>
        <v>0</v>
      </c>
      <c r="T16" s="27">
        <f t="shared" si="3"/>
        <v>0</v>
      </c>
      <c r="U16" s="27">
        <f t="shared" si="3"/>
        <v>0</v>
      </c>
      <c r="V16" s="27">
        <f t="shared" si="3"/>
        <v>0</v>
      </c>
      <c r="W16" s="27">
        <f t="shared" si="3"/>
        <v>0</v>
      </c>
      <c r="X16" s="27">
        <f t="shared" si="3"/>
        <v>0</v>
      </c>
      <c r="Y16" s="27">
        <f t="shared" si="3"/>
        <v>0</v>
      </c>
      <c r="Z16" s="27">
        <f t="shared" si="3"/>
        <v>0</v>
      </c>
      <c r="AA16" s="27">
        <f t="shared" si="3"/>
        <v>0</v>
      </c>
      <c r="AB16" s="27">
        <f t="shared" si="3"/>
        <v>0</v>
      </c>
      <c r="AC16" s="27">
        <f t="shared" si="3"/>
        <v>0</v>
      </c>
      <c r="AD16" s="27">
        <f t="shared" si="3"/>
        <v>0</v>
      </c>
      <c r="AE16" s="27">
        <f t="shared" si="3"/>
        <v>0</v>
      </c>
      <c r="AF16" s="27">
        <f t="shared" si="3"/>
        <v>0</v>
      </c>
      <c r="AG16" s="27">
        <f t="shared" si="3"/>
        <v>0</v>
      </c>
      <c r="AH16" s="27">
        <f t="shared" si="3"/>
        <v>0</v>
      </c>
      <c r="AI16" s="27">
        <f t="shared" si="3"/>
        <v>0</v>
      </c>
      <c r="AJ16" s="27">
        <f t="shared" si="3"/>
        <v>0</v>
      </c>
      <c r="AK16" s="27">
        <f t="shared" si="3"/>
        <v>0</v>
      </c>
      <c r="AL16" s="27">
        <f t="shared" si="3"/>
        <v>0</v>
      </c>
      <c r="AM16" s="27">
        <f t="shared" si="3"/>
        <v>0</v>
      </c>
    </row>
    <row r="17" spans="2:39" ht="25.05" customHeight="1">
      <c r="B17" s="13"/>
      <c r="C17" s="29" t="s">
        <v>44</v>
      </c>
      <c r="D17" s="178" t="s">
        <v>448</v>
      </c>
      <c r="E17" s="7" t="s">
        <v>41</v>
      </c>
      <c r="F17" s="8" t="s">
        <v>42</v>
      </c>
      <c r="G17" s="9">
        <v>0.79166666666666663</v>
      </c>
      <c r="H17" s="9">
        <v>0.83333333333333337</v>
      </c>
      <c r="I17" s="10">
        <f t="shared" ref="I17:I48" si="4">H17-G17</f>
        <v>4.1666666666666741E-2</v>
      </c>
      <c r="J17" s="11">
        <v>5</v>
      </c>
      <c r="K17" s="62" t="s">
        <v>42</v>
      </c>
      <c r="L17" s="64" t="s">
        <v>42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4"/>
    </row>
    <row r="18" spans="2:39" ht="25.05" customHeight="1">
      <c r="B18" s="13"/>
      <c r="C18" s="177"/>
      <c r="D18" s="161" t="s">
        <v>726</v>
      </c>
      <c r="E18" s="19" t="s">
        <v>734</v>
      </c>
      <c r="F18" s="8" t="s">
        <v>42</v>
      </c>
      <c r="G18" s="9">
        <v>0.10069444444444445</v>
      </c>
      <c r="H18" s="9">
        <v>0.12291666666666666</v>
      </c>
      <c r="I18" s="10">
        <f t="shared" si="4"/>
        <v>2.2222222222222213E-2</v>
      </c>
      <c r="J18" s="11">
        <v>4</v>
      </c>
      <c r="K18" s="11">
        <v>139.28</v>
      </c>
      <c r="L18" s="16">
        <f t="shared" ref="L18:L49" si="5">IFERROR(((K18/(J18*I18)/24)),"0")</f>
        <v>65.287500000000037</v>
      </c>
      <c r="M18" s="11"/>
      <c r="N18" s="11"/>
      <c r="O18" s="11"/>
      <c r="P18" s="11"/>
      <c r="Q18" s="11"/>
      <c r="R18" s="12"/>
      <c r="S18" s="12"/>
      <c r="T18" s="11"/>
      <c r="U18" s="11"/>
      <c r="V18" s="12">
        <v>2</v>
      </c>
      <c r="W18" s="12"/>
      <c r="X18" s="11"/>
      <c r="Y18" s="11"/>
      <c r="Z18" s="11"/>
      <c r="AA18" s="11"/>
      <c r="AB18" s="11"/>
      <c r="AC18" s="11"/>
      <c r="AD18" s="11">
        <v>32</v>
      </c>
      <c r="AE18" s="11"/>
      <c r="AF18" s="11"/>
      <c r="AG18" s="11"/>
      <c r="AH18" s="11"/>
      <c r="AI18" s="11"/>
      <c r="AJ18" s="11"/>
      <c r="AK18" s="11"/>
      <c r="AL18" s="11"/>
      <c r="AM18" s="14"/>
    </row>
    <row r="19" spans="2:39" ht="25.05" customHeight="1">
      <c r="B19" s="13"/>
      <c r="C19" s="29"/>
      <c r="D19" s="30"/>
      <c r="E19" s="19" t="s">
        <v>735</v>
      </c>
      <c r="F19" s="8" t="s">
        <v>42</v>
      </c>
      <c r="G19" s="9">
        <v>0.10069444444444445</v>
      </c>
      <c r="H19" s="9">
        <v>0.12986111111111112</v>
      </c>
      <c r="I19" s="10">
        <f t="shared" si="4"/>
        <v>2.9166666666666674E-2</v>
      </c>
      <c r="J19" s="11">
        <v>4</v>
      </c>
      <c r="K19" s="11">
        <v>140</v>
      </c>
      <c r="L19" s="16">
        <f t="shared" si="5"/>
        <v>49.999999999999993</v>
      </c>
      <c r="M19" s="11"/>
      <c r="N19" s="11"/>
      <c r="O19" s="11"/>
      <c r="P19" s="11"/>
      <c r="Q19" s="11"/>
      <c r="R19" s="12"/>
      <c r="S19" s="12"/>
      <c r="T19" s="11"/>
      <c r="U19" s="11"/>
      <c r="V19" s="12">
        <v>2</v>
      </c>
      <c r="W19" s="12"/>
      <c r="X19" s="11"/>
      <c r="Y19" s="11"/>
      <c r="Z19" s="11"/>
      <c r="AA19" s="11"/>
      <c r="AB19" s="11"/>
      <c r="AC19" s="11"/>
      <c r="AD19" s="11"/>
      <c r="AE19" s="11">
        <v>42</v>
      </c>
      <c r="AF19" s="11"/>
      <c r="AG19" s="11"/>
      <c r="AH19" s="11"/>
      <c r="AI19" s="11"/>
      <c r="AJ19" s="11"/>
      <c r="AK19" s="11"/>
      <c r="AL19" s="11"/>
      <c r="AM19" s="14"/>
    </row>
    <row r="20" spans="2:39" ht="25.05" customHeight="1">
      <c r="B20" s="13"/>
      <c r="C20" s="29"/>
      <c r="D20" s="30"/>
      <c r="E20" s="19" t="s">
        <v>736</v>
      </c>
      <c r="F20" s="8" t="s">
        <v>42</v>
      </c>
      <c r="G20" s="9">
        <v>0.10555555555555556</v>
      </c>
      <c r="H20" s="9">
        <v>0.13541666666666666</v>
      </c>
      <c r="I20" s="10">
        <f t="shared" si="4"/>
        <v>2.9861111111111102E-2</v>
      </c>
      <c r="J20" s="11">
        <v>4</v>
      </c>
      <c r="K20" s="11">
        <v>140</v>
      </c>
      <c r="L20" s="16">
        <f t="shared" si="5"/>
        <v>48.837209302325597</v>
      </c>
      <c r="M20" s="11"/>
      <c r="N20" s="11"/>
      <c r="O20" s="11"/>
      <c r="P20" s="11"/>
      <c r="Q20" s="11"/>
      <c r="R20" s="12"/>
      <c r="S20" s="12"/>
      <c r="T20" s="11"/>
      <c r="U20" s="11"/>
      <c r="V20" s="12">
        <v>2</v>
      </c>
      <c r="W20" s="12"/>
      <c r="X20" s="11"/>
      <c r="Y20" s="11"/>
      <c r="Z20" s="11"/>
      <c r="AA20" s="11"/>
      <c r="AB20" s="11">
        <v>43</v>
      </c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4"/>
    </row>
    <row r="21" spans="2:39" ht="25.05" customHeight="1">
      <c r="B21" s="13"/>
      <c r="C21" s="29"/>
      <c r="D21" s="30"/>
      <c r="E21" s="19" t="s">
        <v>737</v>
      </c>
      <c r="F21" s="8" t="s">
        <v>42</v>
      </c>
      <c r="G21" s="9">
        <v>0.13333333333333333</v>
      </c>
      <c r="H21" s="9">
        <v>0.15486111111111112</v>
      </c>
      <c r="I21" s="10">
        <f t="shared" si="4"/>
        <v>2.1527777777777785E-2</v>
      </c>
      <c r="J21" s="11">
        <v>4</v>
      </c>
      <c r="K21" s="11">
        <v>142.13999999999999</v>
      </c>
      <c r="L21" s="16">
        <f t="shared" si="5"/>
        <v>68.777419354838685</v>
      </c>
      <c r="M21" s="11"/>
      <c r="N21" s="11"/>
      <c r="O21" s="11"/>
      <c r="P21" s="11"/>
      <c r="Q21" s="11"/>
      <c r="R21" s="12"/>
      <c r="S21" s="12"/>
      <c r="T21" s="11"/>
      <c r="U21" s="11"/>
      <c r="V21" s="12">
        <v>2</v>
      </c>
      <c r="W21" s="12"/>
      <c r="X21" s="11"/>
      <c r="Y21" s="11"/>
      <c r="Z21" s="11"/>
      <c r="AA21" s="11"/>
      <c r="AB21" s="11"/>
      <c r="AC21" s="11"/>
      <c r="AD21" s="11"/>
      <c r="AE21" s="11">
        <v>31</v>
      </c>
      <c r="AF21" s="11"/>
      <c r="AG21" s="11"/>
      <c r="AH21" s="11"/>
      <c r="AI21" s="11"/>
      <c r="AJ21" s="11"/>
      <c r="AK21" s="11"/>
      <c r="AL21" s="11"/>
      <c r="AM21" s="14"/>
    </row>
    <row r="22" spans="2:39" ht="25.05" customHeight="1">
      <c r="B22" s="13"/>
      <c r="C22" s="29"/>
      <c r="D22" s="30"/>
      <c r="E22" s="19" t="s">
        <v>738</v>
      </c>
      <c r="F22" s="8" t="s">
        <v>42</v>
      </c>
      <c r="G22" s="9">
        <v>0.1388888888888889</v>
      </c>
      <c r="H22" s="9">
        <v>0.16527777777777777</v>
      </c>
      <c r="I22" s="10">
        <f t="shared" si="4"/>
        <v>2.6388888888888878E-2</v>
      </c>
      <c r="J22" s="11">
        <v>4</v>
      </c>
      <c r="K22" s="11">
        <v>140</v>
      </c>
      <c r="L22" s="16">
        <f t="shared" si="5"/>
        <v>55.263157894736871</v>
      </c>
      <c r="M22" s="11"/>
      <c r="N22" s="11"/>
      <c r="O22" s="11"/>
      <c r="P22" s="11"/>
      <c r="Q22" s="11"/>
      <c r="R22" s="12"/>
      <c r="S22" s="12"/>
      <c r="T22" s="11"/>
      <c r="U22" s="11"/>
      <c r="V22" s="12">
        <v>2</v>
      </c>
      <c r="W22" s="12"/>
      <c r="X22" s="11"/>
      <c r="Y22" s="11"/>
      <c r="Z22" s="11"/>
      <c r="AA22" s="11"/>
      <c r="AB22" s="11"/>
      <c r="AC22" s="11"/>
      <c r="AD22" s="11">
        <v>38</v>
      </c>
      <c r="AE22" s="11"/>
      <c r="AF22" s="11"/>
      <c r="AG22" s="11"/>
      <c r="AH22" s="11"/>
      <c r="AI22" s="11"/>
      <c r="AJ22" s="11"/>
      <c r="AK22" s="11"/>
      <c r="AL22" s="11"/>
      <c r="AM22" s="14"/>
    </row>
    <row r="23" spans="2:39" ht="25.05" customHeight="1">
      <c r="B23" s="13"/>
      <c r="C23" s="29"/>
      <c r="D23" s="30"/>
      <c r="E23" s="19" t="s">
        <v>739</v>
      </c>
      <c r="F23" s="8" t="s">
        <v>42</v>
      </c>
      <c r="G23" s="9">
        <v>0.15069444444444444</v>
      </c>
      <c r="H23" s="9">
        <v>0.1763888888888889</v>
      </c>
      <c r="I23" s="10">
        <f t="shared" si="4"/>
        <v>2.5694444444444464E-2</v>
      </c>
      <c r="J23" s="11">
        <v>4</v>
      </c>
      <c r="K23" s="11">
        <v>141.16999999999999</v>
      </c>
      <c r="L23" s="16">
        <f t="shared" si="5"/>
        <v>57.231081081081037</v>
      </c>
      <c r="M23" s="11"/>
      <c r="N23" s="11"/>
      <c r="O23" s="11"/>
      <c r="P23" s="11"/>
      <c r="Q23" s="11"/>
      <c r="R23" s="12"/>
      <c r="S23" s="12"/>
      <c r="T23" s="11"/>
      <c r="U23" s="11"/>
      <c r="V23" s="12">
        <v>2</v>
      </c>
      <c r="W23" s="12"/>
      <c r="X23" s="11"/>
      <c r="Y23" s="11"/>
      <c r="Z23" s="11"/>
      <c r="AA23" s="11"/>
      <c r="AB23" s="11">
        <v>37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4"/>
    </row>
    <row r="24" spans="2:39" ht="25.05" customHeight="1">
      <c r="B24" s="13"/>
      <c r="C24" s="29"/>
      <c r="D24" s="30"/>
      <c r="E24" s="19" t="s">
        <v>740</v>
      </c>
      <c r="F24" s="8" t="s">
        <v>42</v>
      </c>
      <c r="G24" s="9">
        <v>0.16250000000000001</v>
      </c>
      <c r="H24" s="9">
        <v>0.18888888888888888</v>
      </c>
      <c r="I24" s="10">
        <f t="shared" si="4"/>
        <v>2.6388888888888878E-2</v>
      </c>
      <c r="J24" s="11">
        <v>4</v>
      </c>
      <c r="K24" s="11">
        <v>140</v>
      </c>
      <c r="L24" s="16">
        <f t="shared" si="5"/>
        <v>55.263157894736871</v>
      </c>
      <c r="M24" s="11"/>
      <c r="N24" s="11"/>
      <c r="O24" s="11"/>
      <c r="P24" s="11"/>
      <c r="Q24" s="11"/>
      <c r="R24" s="12"/>
      <c r="S24" s="12"/>
      <c r="T24" s="11"/>
      <c r="U24" s="11"/>
      <c r="V24" s="12">
        <v>2</v>
      </c>
      <c r="W24" s="12"/>
      <c r="X24" s="11"/>
      <c r="Y24" s="11"/>
      <c r="Z24" s="11"/>
      <c r="AA24" s="11"/>
      <c r="AB24" s="11"/>
      <c r="AC24" s="11"/>
      <c r="AD24" s="11"/>
      <c r="AE24" s="11">
        <v>38</v>
      </c>
      <c r="AF24" s="11"/>
      <c r="AG24" s="11"/>
      <c r="AH24" s="11"/>
      <c r="AI24" s="11"/>
      <c r="AJ24" s="11"/>
      <c r="AK24" s="11"/>
      <c r="AL24" s="11"/>
      <c r="AM24" s="14"/>
    </row>
    <row r="25" spans="2:39" ht="25.05" customHeight="1">
      <c r="B25" s="13"/>
      <c r="C25" s="29"/>
      <c r="D25" s="30"/>
      <c r="E25" s="19" t="s">
        <v>741</v>
      </c>
      <c r="F25" s="8" t="s">
        <v>42</v>
      </c>
      <c r="G25" s="9">
        <v>0.16666666666666666</v>
      </c>
      <c r="H25" s="9">
        <v>0.19375000000000001</v>
      </c>
      <c r="I25" s="10">
        <f t="shared" si="4"/>
        <v>2.7083333333333348E-2</v>
      </c>
      <c r="J25" s="11">
        <v>4</v>
      </c>
      <c r="K25" s="11">
        <v>142.75</v>
      </c>
      <c r="L25" s="16">
        <f t="shared" si="5"/>
        <v>54.903846153846125</v>
      </c>
      <c r="M25" s="11"/>
      <c r="N25" s="11"/>
      <c r="O25" s="11"/>
      <c r="P25" s="11"/>
      <c r="Q25" s="11"/>
      <c r="R25" s="12"/>
      <c r="S25" s="12"/>
      <c r="T25" s="11"/>
      <c r="U25" s="11"/>
      <c r="V25" s="12">
        <v>2</v>
      </c>
      <c r="W25" s="12"/>
      <c r="X25" s="11"/>
      <c r="Y25" s="11"/>
      <c r="Z25" s="11"/>
      <c r="AA25" s="11"/>
      <c r="AB25" s="11"/>
      <c r="AC25" s="11">
        <v>39</v>
      </c>
      <c r="AD25" s="11"/>
      <c r="AE25" s="11"/>
      <c r="AF25" s="11"/>
      <c r="AG25" s="11"/>
      <c r="AH25" s="11"/>
      <c r="AI25" s="11"/>
      <c r="AJ25" s="11"/>
      <c r="AK25" s="11"/>
      <c r="AL25" s="11"/>
      <c r="AM25" s="14"/>
    </row>
    <row r="26" spans="2:39" ht="25.05" customHeight="1">
      <c r="B26" s="13"/>
      <c r="C26" s="29"/>
      <c r="D26" s="30"/>
      <c r="E26" s="19" t="s">
        <v>742</v>
      </c>
      <c r="F26" s="8" t="s">
        <v>42</v>
      </c>
      <c r="G26" s="9">
        <v>0.17708333333333334</v>
      </c>
      <c r="H26" s="9">
        <v>0.19930555555555557</v>
      </c>
      <c r="I26" s="10">
        <f t="shared" si="4"/>
        <v>2.2222222222222227E-2</v>
      </c>
      <c r="J26" s="11">
        <v>4</v>
      </c>
      <c r="K26" s="11">
        <v>140</v>
      </c>
      <c r="L26" s="16">
        <f t="shared" si="5"/>
        <v>65.624999999999986</v>
      </c>
      <c r="M26" s="11"/>
      <c r="N26" s="11"/>
      <c r="O26" s="11"/>
      <c r="P26" s="11"/>
      <c r="Q26" s="11"/>
      <c r="R26" s="12"/>
      <c r="S26" s="12"/>
      <c r="T26" s="11"/>
      <c r="U26" s="11"/>
      <c r="V26" s="12">
        <v>2</v>
      </c>
      <c r="W26" s="12"/>
      <c r="X26" s="11"/>
      <c r="Y26" s="11"/>
      <c r="Z26" s="11"/>
      <c r="AA26" s="11"/>
      <c r="AB26" s="11"/>
      <c r="AC26" s="11"/>
      <c r="AD26" s="11">
        <v>32</v>
      </c>
      <c r="AE26" s="11"/>
      <c r="AF26" s="11"/>
      <c r="AG26" s="11"/>
      <c r="AH26" s="11"/>
      <c r="AI26" s="11"/>
      <c r="AJ26" s="11"/>
      <c r="AK26" s="11"/>
      <c r="AL26" s="11"/>
      <c r="AM26" s="14"/>
    </row>
    <row r="27" spans="2:39" ht="25.05" customHeight="1">
      <c r="B27" s="13"/>
      <c r="C27" s="29"/>
      <c r="D27" s="30"/>
      <c r="E27" s="19" t="s">
        <v>743</v>
      </c>
      <c r="F27" s="8" t="s">
        <v>42</v>
      </c>
      <c r="G27" s="9">
        <v>0.19305555555555556</v>
      </c>
      <c r="H27" s="9">
        <v>0.21666666666666667</v>
      </c>
      <c r="I27" s="10">
        <f t="shared" si="4"/>
        <v>2.361111111111111E-2</v>
      </c>
      <c r="J27" s="11">
        <v>4</v>
      </c>
      <c r="K27" s="11">
        <v>139.04</v>
      </c>
      <c r="L27" s="16">
        <f t="shared" si="5"/>
        <v>61.341176470588238</v>
      </c>
      <c r="M27" s="11"/>
      <c r="N27" s="11"/>
      <c r="O27" s="11"/>
      <c r="P27" s="11"/>
      <c r="Q27" s="11"/>
      <c r="R27" s="12"/>
      <c r="S27" s="12"/>
      <c r="T27" s="11"/>
      <c r="U27" s="11"/>
      <c r="V27" s="12">
        <v>2</v>
      </c>
      <c r="W27" s="12"/>
      <c r="X27" s="11"/>
      <c r="Y27" s="11"/>
      <c r="Z27" s="11"/>
      <c r="AA27" s="11"/>
      <c r="AB27" s="11">
        <v>34</v>
      </c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4"/>
    </row>
    <row r="28" spans="2:39" ht="25.05" customHeight="1">
      <c r="B28" s="13"/>
      <c r="C28" s="29"/>
      <c r="D28" s="30"/>
      <c r="E28" s="19" t="s">
        <v>744</v>
      </c>
      <c r="F28" s="8" t="s">
        <v>42</v>
      </c>
      <c r="G28" s="9">
        <v>0.19305555555555556</v>
      </c>
      <c r="H28" s="9">
        <v>0.21666666666666667</v>
      </c>
      <c r="I28" s="10">
        <f t="shared" si="4"/>
        <v>2.361111111111111E-2</v>
      </c>
      <c r="J28" s="11">
        <v>4</v>
      </c>
      <c r="K28" s="11">
        <v>140.22999999999999</v>
      </c>
      <c r="L28" s="16">
        <f t="shared" si="5"/>
        <v>61.866176470588236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/>
      <c r="Y28" s="11"/>
      <c r="Z28" s="11"/>
      <c r="AA28" s="11"/>
      <c r="AB28" s="11"/>
      <c r="AC28" s="11"/>
      <c r="AD28" s="11"/>
      <c r="AE28" s="11">
        <v>34</v>
      </c>
      <c r="AF28" s="11"/>
      <c r="AG28" s="11"/>
      <c r="AH28" s="11"/>
      <c r="AI28" s="11"/>
      <c r="AJ28" s="11"/>
      <c r="AK28" s="11"/>
      <c r="AL28" s="11"/>
      <c r="AM28" s="14"/>
    </row>
    <row r="29" spans="2:39" ht="25.05" customHeight="1">
      <c r="B29" s="13"/>
      <c r="C29" s="29"/>
      <c r="D29" s="30"/>
      <c r="E29" s="19" t="s">
        <v>745</v>
      </c>
      <c r="F29" s="8" t="s">
        <v>42</v>
      </c>
      <c r="G29" s="9">
        <v>0.2013888888888889</v>
      </c>
      <c r="H29" s="9">
        <v>0.22500000000000001</v>
      </c>
      <c r="I29" s="10">
        <f t="shared" si="4"/>
        <v>2.361111111111111E-2</v>
      </c>
      <c r="J29" s="11">
        <v>4</v>
      </c>
      <c r="K29" s="11">
        <v>138.38999999999999</v>
      </c>
      <c r="L29" s="16">
        <f t="shared" si="5"/>
        <v>61.054411764705883</v>
      </c>
      <c r="M29" s="11"/>
      <c r="N29" s="11"/>
      <c r="O29" s="11"/>
      <c r="P29" s="11"/>
      <c r="Q29" s="11"/>
      <c r="R29" s="12"/>
      <c r="S29" s="12"/>
      <c r="T29" s="11"/>
      <c r="U29" s="11"/>
      <c r="V29" s="12">
        <v>2</v>
      </c>
      <c r="W29" s="12"/>
      <c r="X29" s="11"/>
      <c r="Y29" s="11"/>
      <c r="Z29" s="11"/>
      <c r="AA29" s="11"/>
      <c r="AB29" s="11"/>
      <c r="AC29" s="11"/>
      <c r="AD29" s="11">
        <v>34</v>
      </c>
      <c r="AE29" s="11"/>
      <c r="AF29" s="11"/>
      <c r="AG29" s="11"/>
      <c r="AH29" s="11"/>
      <c r="AI29" s="11"/>
      <c r="AJ29" s="11"/>
      <c r="AK29" s="11"/>
      <c r="AL29" s="11"/>
      <c r="AM29" s="14"/>
    </row>
    <row r="30" spans="2:39" ht="25.05" customHeight="1">
      <c r="B30" s="13"/>
      <c r="C30" s="29"/>
      <c r="D30" s="30"/>
      <c r="E30" s="19" t="s">
        <v>746</v>
      </c>
      <c r="F30" s="8" t="s">
        <v>42</v>
      </c>
      <c r="G30" s="9">
        <v>0.21111111111111111</v>
      </c>
      <c r="H30" s="9">
        <v>0.23472222222222222</v>
      </c>
      <c r="I30" s="10">
        <f t="shared" si="4"/>
        <v>2.361111111111111E-2</v>
      </c>
      <c r="J30" s="11">
        <v>4</v>
      </c>
      <c r="K30" s="11">
        <v>140.01</v>
      </c>
      <c r="L30" s="16">
        <f t="shared" si="5"/>
        <v>61.769117647058827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/>
      <c r="Y30" s="11"/>
      <c r="Z30" s="11"/>
      <c r="AA30" s="11"/>
      <c r="AB30" s="11"/>
      <c r="AC30" s="11">
        <v>32</v>
      </c>
      <c r="AD30" s="11"/>
      <c r="AE30" s="11"/>
      <c r="AF30" s="11"/>
      <c r="AG30" s="11"/>
      <c r="AH30" s="11"/>
      <c r="AI30" s="11"/>
      <c r="AJ30" s="11"/>
      <c r="AK30" s="11"/>
      <c r="AL30" s="11"/>
      <c r="AM30" s="14"/>
    </row>
    <row r="31" spans="2:39" ht="25.05" customHeight="1">
      <c r="B31" s="13"/>
      <c r="C31" s="29"/>
      <c r="D31" s="30"/>
      <c r="E31" s="19"/>
      <c r="F31" s="8" t="s">
        <v>42</v>
      </c>
      <c r="G31" s="9"/>
      <c r="H31" s="9"/>
      <c r="I31" s="10">
        <f t="shared" si="4"/>
        <v>0</v>
      </c>
      <c r="J31" s="11"/>
      <c r="K31" s="11"/>
      <c r="L31" s="16" t="str">
        <f t="shared" si="5"/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4"/>
    </row>
    <row r="32" spans="2:39" ht="25.05" customHeight="1">
      <c r="B32" s="13"/>
      <c r="C32" s="29"/>
      <c r="D32" s="6" t="s">
        <v>475</v>
      </c>
      <c r="E32" s="19" t="s">
        <v>747</v>
      </c>
      <c r="F32" s="8" t="s">
        <v>42</v>
      </c>
      <c r="G32" s="9">
        <v>0.85763888888888884</v>
      </c>
      <c r="H32" s="9">
        <v>0.86458333333333337</v>
      </c>
      <c r="I32" s="10">
        <f t="shared" si="4"/>
        <v>6.9444444444445308E-3</v>
      </c>
      <c r="J32" s="11">
        <v>2</v>
      </c>
      <c r="K32" s="11">
        <v>5.48</v>
      </c>
      <c r="L32" s="16">
        <f t="shared" si="5"/>
        <v>16.439999999999795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>
        <v>10</v>
      </c>
      <c r="AH32" s="11"/>
      <c r="AI32" s="11"/>
      <c r="AJ32" s="11"/>
      <c r="AK32" s="11"/>
      <c r="AL32" s="11"/>
      <c r="AM32" s="14"/>
    </row>
    <row r="33" spans="2:39" ht="25.05" customHeight="1">
      <c r="B33" s="13"/>
      <c r="C33" s="29"/>
      <c r="D33" s="30"/>
      <c r="E33" s="19"/>
      <c r="F33" s="8" t="s">
        <v>42</v>
      </c>
      <c r="G33" s="9"/>
      <c r="H33" s="9"/>
      <c r="I33" s="10">
        <f t="shared" si="4"/>
        <v>0</v>
      </c>
      <c r="J33" s="11"/>
      <c r="K33" s="11"/>
      <c r="L33" s="16" t="str">
        <f t="shared" si="5"/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4"/>
    </row>
    <row r="34" spans="2:39" ht="25.05" customHeight="1">
      <c r="B34" s="13"/>
      <c r="C34" s="29"/>
      <c r="D34" s="30" t="s">
        <v>579</v>
      </c>
      <c r="E34" s="176" t="s">
        <v>748</v>
      </c>
      <c r="F34" s="8" t="s">
        <v>42</v>
      </c>
      <c r="G34" s="9">
        <v>0.875</v>
      </c>
      <c r="H34" s="9">
        <v>0.92569444444444449</v>
      </c>
      <c r="I34" s="10">
        <f t="shared" si="4"/>
        <v>5.0694444444444486E-2</v>
      </c>
      <c r="J34" s="11">
        <v>2</v>
      </c>
      <c r="K34" s="11">
        <v>42.69</v>
      </c>
      <c r="L34" s="16">
        <f t="shared" si="5"/>
        <v>17.54383561643834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>
        <v>73</v>
      </c>
      <c r="AH34" s="11"/>
      <c r="AI34" s="11"/>
      <c r="AJ34" s="11"/>
      <c r="AK34" s="11"/>
      <c r="AL34" s="11"/>
      <c r="AM34" s="14"/>
    </row>
    <row r="35" spans="2:39" ht="25.05" customHeight="1">
      <c r="B35" s="13"/>
      <c r="C35" s="29"/>
      <c r="D35" s="30"/>
      <c r="E35" s="19" t="s">
        <v>604</v>
      </c>
      <c r="F35" s="8" t="s">
        <v>42</v>
      </c>
      <c r="G35" s="9">
        <v>0.92013888888888884</v>
      </c>
      <c r="H35" s="9">
        <v>0.93333333333333335</v>
      </c>
      <c r="I35" s="10">
        <f t="shared" si="4"/>
        <v>1.3194444444444509E-2</v>
      </c>
      <c r="J35" s="11">
        <v>4</v>
      </c>
      <c r="K35" s="11">
        <v>82.9</v>
      </c>
      <c r="L35" s="16">
        <f t="shared" si="5"/>
        <v>65.447368421052317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/>
      <c r="AC35" s="11"/>
      <c r="AD35" s="11">
        <v>19</v>
      </c>
      <c r="AE35" s="11"/>
      <c r="AF35" s="11"/>
      <c r="AG35" s="11"/>
      <c r="AH35" s="11"/>
      <c r="AI35" s="11"/>
      <c r="AJ35" s="11"/>
      <c r="AK35" s="11"/>
      <c r="AL35" s="11"/>
      <c r="AM35" s="14"/>
    </row>
    <row r="36" spans="2:39" ht="25.05" customHeight="1">
      <c r="B36" s="13"/>
      <c r="C36" s="29"/>
      <c r="D36" s="30"/>
      <c r="E36" s="19" t="s">
        <v>605</v>
      </c>
      <c r="F36" s="8" t="s">
        <v>42</v>
      </c>
      <c r="G36" s="9">
        <v>0.92013888888888884</v>
      </c>
      <c r="H36" s="9">
        <v>0.93333333333333335</v>
      </c>
      <c r="I36" s="10">
        <f t="shared" si="4"/>
        <v>1.3194444444444509E-2</v>
      </c>
      <c r="J36" s="11">
        <v>4</v>
      </c>
      <c r="K36" s="11">
        <v>82.97</v>
      </c>
      <c r="L36" s="16">
        <f t="shared" si="5"/>
        <v>65.502631578947046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/>
      <c r="AC36" s="11"/>
      <c r="AD36" s="11"/>
      <c r="AE36" s="11">
        <v>19</v>
      </c>
      <c r="AF36" s="11"/>
      <c r="AG36" s="11"/>
      <c r="AH36" s="11"/>
      <c r="AI36" s="11"/>
      <c r="AJ36" s="11"/>
      <c r="AK36" s="11"/>
      <c r="AL36" s="11"/>
      <c r="AM36" s="14"/>
    </row>
    <row r="37" spans="2:39" ht="25.05" customHeight="1">
      <c r="B37" s="13"/>
      <c r="C37" s="29"/>
      <c r="D37" s="17"/>
      <c r="E37" s="19" t="s">
        <v>606</v>
      </c>
      <c r="F37" s="8" t="s">
        <v>42</v>
      </c>
      <c r="G37" s="9">
        <v>0.93888888888888888</v>
      </c>
      <c r="H37" s="9">
        <v>0.95</v>
      </c>
      <c r="I37" s="10">
        <f t="shared" si="4"/>
        <v>1.1111111111111072E-2</v>
      </c>
      <c r="J37" s="11">
        <v>4</v>
      </c>
      <c r="K37" s="11">
        <v>82.14</v>
      </c>
      <c r="L37" s="16">
        <f t="shared" si="5"/>
        <v>77.006250000000279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/>
      <c r="AD37" s="11">
        <v>16</v>
      </c>
      <c r="AE37" s="11"/>
      <c r="AF37" s="11"/>
      <c r="AG37" s="11"/>
      <c r="AH37" s="11"/>
      <c r="AI37" s="11"/>
      <c r="AJ37" s="11"/>
      <c r="AK37" s="11"/>
      <c r="AL37" s="11"/>
      <c r="AM37" s="14"/>
    </row>
    <row r="38" spans="2:39" ht="25.05" customHeight="1">
      <c r="B38" s="13"/>
      <c r="C38" s="29"/>
      <c r="D38" s="30"/>
      <c r="E38" s="19" t="s">
        <v>607</v>
      </c>
      <c r="F38" s="8" t="s">
        <v>42</v>
      </c>
      <c r="G38" s="9">
        <v>0.93888888888888888</v>
      </c>
      <c r="H38" s="9">
        <v>0.95</v>
      </c>
      <c r="I38" s="10">
        <f t="shared" si="4"/>
        <v>1.1111111111111072E-2</v>
      </c>
      <c r="J38" s="11">
        <v>4</v>
      </c>
      <c r="K38" s="11">
        <v>82.14</v>
      </c>
      <c r="L38" s="16">
        <f t="shared" si="5"/>
        <v>77.006250000000279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/>
      <c r="AC38" s="11"/>
      <c r="AD38" s="11"/>
      <c r="AE38" s="11">
        <v>16</v>
      </c>
      <c r="AF38" s="11"/>
      <c r="AG38" s="11"/>
      <c r="AH38" s="11"/>
      <c r="AI38" s="11"/>
      <c r="AJ38" s="11"/>
      <c r="AK38" s="11"/>
      <c r="AL38" s="11"/>
      <c r="AM38" s="14"/>
    </row>
    <row r="39" spans="2:39" ht="25.05" customHeight="1">
      <c r="B39" s="13"/>
      <c r="C39" s="29"/>
      <c r="D39" s="30"/>
      <c r="E39" s="19" t="s">
        <v>608</v>
      </c>
      <c r="F39" s="8" t="s">
        <v>42</v>
      </c>
      <c r="G39" s="9">
        <v>0.95972222222222225</v>
      </c>
      <c r="H39" s="9">
        <v>0.97222222222222221</v>
      </c>
      <c r="I39" s="10">
        <f t="shared" si="4"/>
        <v>1.2499999999999956E-2</v>
      </c>
      <c r="J39" s="11">
        <v>4</v>
      </c>
      <c r="K39" s="11">
        <v>82</v>
      </c>
      <c r="L39" s="16">
        <f t="shared" si="5"/>
        <v>68.333333333333584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/>
      <c r="AC39" s="11"/>
      <c r="AD39" s="11">
        <v>18</v>
      </c>
      <c r="AE39" s="11"/>
      <c r="AF39" s="11"/>
      <c r="AG39" s="11"/>
      <c r="AH39" s="11"/>
      <c r="AI39" s="11"/>
      <c r="AJ39" s="11"/>
      <c r="AK39" s="11"/>
      <c r="AL39" s="11"/>
      <c r="AM39" s="14"/>
    </row>
    <row r="40" spans="2:39" ht="25.05" customHeight="1">
      <c r="B40" s="13"/>
      <c r="C40" s="29"/>
      <c r="D40" s="30"/>
      <c r="E40" s="19" t="s">
        <v>749</v>
      </c>
      <c r="F40" s="8" t="s">
        <v>42</v>
      </c>
      <c r="G40" s="9">
        <v>0.95972222222222225</v>
      </c>
      <c r="H40" s="9">
        <v>0.97291666666666665</v>
      </c>
      <c r="I40" s="10">
        <f t="shared" si="4"/>
        <v>1.3194444444444398E-2</v>
      </c>
      <c r="J40" s="11">
        <v>4</v>
      </c>
      <c r="K40" s="11">
        <v>82.01</v>
      </c>
      <c r="L40" s="16">
        <f t="shared" si="5"/>
        <v>64.744736842105496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/>
      <c r="AD40" s="11"/>
      <c r="AE40" s="11">
        <v>19</v>
      </c>
      <c r="AF40" s="11"/>
      <c r="AG40" s="11"/>
      <c r="AH40" s="11"/>
      <c r="AI40" s="11"/>
      <c r="AJ40" s="11"/>
      <c r="AK40" s="11"/>
      <c r="AL40" s="11"/>
      <c r="AM40" s="14"/>
    </row>
    <row r="41" spans="2:39" ht="25.05" customHeight="1">
      <c r="B41" s="13"/>
      <c r="C41" s="29"/>
      <c r="D41" s="30"/>
      <c r="E41" s="19" t="s">
        <v>750</v>
      </c>
      <c r="F41" s="8" t="s">
        <v>42</v>
      </c>
      <c r="G41" s="9">
        <v>0.97916666666666663</v>
      </c>
      <c r="H41" s="9">
        <v>0.9916666666666667</v>
      </c>
      <c r="I41" s="10">
        <f t="shared" si="4"/>
        <v>1.2500000000000067E-2</v>
      </c>
      <c r="J41" s="11">
        <v>4</v>
      </c>
      <c r="K41" s="11">
        <v>82.14</v>
      </c>
      <c r="L41" s="16">
        <f t="shared" si="5"/>
        <v>68.449999999999633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/>
      <c r="AD41" s="11">
        <v>18</v>
      </c>
      <c r="AE41" s="11"/>
      <c r="AF41" s="11"/>
      <c r="AG41" s="11"/>
      <c r="AH41" s="11"/>
      <c r="AI41" s="11"/>
      <c r="AJ41" s="11"/>
      <c r="AK41" s="11"/>
      <c r="AL41" s="11"/>
      <c r="AM41" s="14"/>
    </row>
    <row r="42" spans="2:39" ht="25.05" customHeight="1">
      <c r="B42" s="13"/>
      <c r="C42" s="29"/>
      <c r="D42" s="30"/>
      <c r="E42" s="19" t="s">
        <v>751</v>
      </c>
      <c r="F42" s="8" t="s">
        <v>42</v>
      </c>
      <c r="G42" s="9">
        <v>0.97916666666666663</v>
      </c>
      <c r="H42" s="9">
        <v>0.9916666666666667</v>
      </c>
      <c r="I42" s="10">
        <f t="shared" si="4"/>
        <v>1.2500000000000067E-2</v>
      </c>
      <c r="J42" s="11">
        <v>4</v>
      </c>
      <c r="K42" s="11">
        <v>82.14</v>
      </c>
      <c r="L42" s="16">
        <f t="shared" si="5"/>
        <v>68.449999999999633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/>
      <c r="AC42" s="11"/>
      <c r="AD42" s="11"/>
      <c r="AE42" s="11">
        <v>18</v>
      </c>
      <c r="AF42" s="11"/>
      <c r="AG42" s="11"/>
      <c r="AH42" s="11"/>
      <c r="AI42" s="11"/>
      <c r="AJ42" s="11"/>
      <c r="AK42" s="11"/>
      <c r="AL42" s="11"/>
      <c r="AM42" s="14"/>
    </row>
    <row r="43" spans="2:39" ht="25.05" customHeight="1">
      <c r="B43" s="13"/>
      <c r="C43" s="29"/>
      <c r="D43" s="30"/>
      <c r="E43" s="19" t="s">
        <v>752</v>
      </c>
      <c r="F43" s="14"/>
      <c r="G43" s="9">
        <v>46105.99722222222</v>
      </c>
      <c r="H43" s="9">
        <v>46106.009722222225</v>
      </c>
      <c r="I43" s="10">
        <f t="shared" si="4"/>
        <v>1.2500000004365575E-2</v>
      </c>
      <c r="J43" s="11">
        <v>4</v>
      </c>
      <c r="K43" s="11">
        <v>82.14</v>
      </c>
      <c r="L43" s="16">
        <f t="shared" si="5"/>
        <v>68.449999976094105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/>
      <c r="AD43" s="11">
        <v>18</v>
      </c>
      <c r="AE43" s="11"/>
      <c r="AF43" s="11"/>
      <c r="AG43" s="11"/>
      <c r="AH43" s="11"/>
      <c r="AI43" s="11"/>
      <c r="AJ43" s="11"/>
      <c r="AK43" s="11"/>
      <c r="AL43" s="11"/>
      <c r="AM43" s="14"/>
    </row>
    <row r="44" spans="2:39" ht="25.05" customHeight="1">
      <c r="B44" s="13"/>
      <c r="C44" s="29"/>
      <c r="D44" s="30"/>
      <c r="E44" s="19" t="s">
        <v>753</v>
      </c>
      <c r="F44" s="8" t="s">
        <v>42</v>
      </c>
      <c r="G44" s="9">
        <v>0</v>
      </c>
      <c r="H44" s="9">
        <v>1.2500000000000001E-2</v>
      </c>
      <c r="I44" s="10">
        <f t="shared" si="4"/>
        <v>1.2500000000000001E-2</v>
      </c>
      <c r="J44" s="11">
        <v>4</v>
      </c>
      <c r="K44" s="11">
        <v>81.5</v>
      </c>
      <c r="L44" s="16">
        <f t="shared" si="5"/>
        <v>67.916666666666671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/>
      <c r="AD44" s="11"/>
      <c r="AE44" s="11">
        <v>18</v>
      </c>
      <c r="AF44" s="11"/>
      <c r="AG44" s="11"/>
      <c r="AH44" s="11"/>
      <c r="AI44" s="11"/>
      <c r="AJ44" s="11"/>
      <c r="AK44" s="11"/>
      <c r="AL44" s="11"/>
      <c r="AM44" s="14"/>
    </row>
    <row r="45" spans="2:39" ht="25.05" customHeight="1">
      <c r="B45" s="13"/>
      <c r="C45" s="29"/>
      <c r="D45" s="30"/>
      <c r="E45" s="19" t="s">
        <v>754</v>
      </c>
      <c r="F45" s="8" t="s">
        <v>42</v>
      </c>
      <c r="G45" s="9">
        <v>1.7361111111111112E-2</v>
      </c>
      <c r="H45" s="9">
        <v>2.9861111111111113E-2</v>
      </c>
      <c r="I45" s="10">
        <f t="shared" si="4"/>
        <v>1.2500000000000001E-2</v>
      </c>
      <c r="J45" s="11">
        <v>4</v>
      </c>
      <c r="K45" s="11">
        <v>81.5</v>
      </c>
      <c r="L45" s="16">
        <f t="shared" si="5"/>
        <v>67.916666666666671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/>
      <c r="AC45" s="11"/>
      <c r="AD45" s="11">
        <v>18</v>
      </c>
      <c r="AE45" s="11"/>
      <c r="AF45" s="11"/>
      <c r="AG45" s="11"/>
      <c r="AH45" s="11"/>
      <c r="AI45" s="11"/>
      <c r="AJ45" s="11"/>
      <c r="AK45" s="11"/>
      <c r="AL45" s="11"/>
      <c r="AM45" s="14"/>
    </row>
    <row r="46" spans="2:39" ht="25.05" customHeight="1">
      <c r="B46" s="13"/>
      <c r="C46" s="29"/>
      <c r="D46" s="30"/>
      <c r="E46" s="19" t="s">
        <v>609</v>
      </c>
      <c r="F46" s="8" t="s">
        <v>42</v>
      </c>
      <c r="G46" s="9">
        <v>0.88263888888888886</v>
      </c>
      <c r="H46" s="9">
        <v>0.90069444444444446</v>
      </c>
      <c r="I46" s="10">
        <f t="shared" si="4"/>
        <v>1.8055555555555602E-2</v>
      </c>
      <c r="J46" s="11">
        <v>3</v>
      </c>
      <c r="K46" s="11">
        <v>143.04</v>
      </c>
      <c r="L46" s="16">
        <f t="shared" si="5"/>
        <v>110.03076923076894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>
        <v>26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4"/>
    </row>
    <row r="47" spans="2:39" ht="25.05" customHeight="1">
      <c r="B47" s="13"/>
      <c r="C47" s="29"/>
      <c r="D47" s="30"/>
      <c r="E47" s="19" t="s">
        <v>610</v>
      </c>
      <c r="F47" s="8" t="s">
        <v>42</v>
      </c>
      <c r="G47" s="9">
        <v>0.89097222222222228</v>
      </c>
      <c r="H47" s="9">
        <v>0.90694444444444444</v>
      </c>
      <c r="I47" s="10">
        <f t="shared" si="4"/>
        <v>1.5972222222222165E-2</v>
      </c>
      <c r="J47" s="11">
        <v>3</v>
      </c>
      <c r="K47" s="11">
        <v>141.33000000000001</v>
      </c>
      <c r="L47" s="16">
        <f t="shared" si="5"/>
        <v>122.89565217391349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/>
      <c r="AC47" s="11"/>
      <c r="AD47" s="11">
        <v>23</v>
      </c>
      <c r="AE47" s="11"/>
      <c r="AF47" s="11"/>
      <c r="AG47" s="11"/>
      <c r="AH47" s="11"/>
      <c r="AI47" s="11"/>
      <c r="AJ47" s="11"/>
      <c r="AK47" s="11"/>
      <c r="AL47" s="11"/>
      <c r="AM47" s="14"/>
    </row>
    <row r="48" spans="2:39" ht="25.05" customHeight="1">
      <c r="B48" s="13"/>
      <c r="C48" s="29"/>
      <c r="D48" s="30"/>
      <c r="E48" s="19" t="s">
        <v>755</v>
      </c>
      <c r="F48" s="8" t="s">
        <v>42</v>
      </c>
      <c r="G48" s="9">
        <v>0.89097222222222228</v>
      </c>
      <c r="H48" s="9">
        <v>0.90694444444444444</v>
      </c>
      <c r="I48" s="10">
        <f t="shared" si="4"/>
        <v>1.5972222222222165E-2</v>
      </c>
      <c r="J48" s="11">
        <v>3</v>
      </c>
      <c r="K48" s="11">
        <v>141.66</v>
      </c>
      <c r="L48" s="16">
        <f t="shared" si="5"/>
        <v>123.1826086956526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/>
      <c r="AE48" s="11">
        <v>23</v>
      </c>
      <c r="AF48" s="11"/>
      <c r="AG48" s="11"/>
      <c r="AH48" s="11"/>
      <c r="AI48" s="11"/>
      <c r="AJ48" s="11"/>
      <c r="AK48" s="11"/>
      <c r="AL48" s="11"/>
      <c r="AM48" s="14"/>
    </row>
    <row r="49" spans="2:39" ht="25.05" customHeight="1">
      <c r="B49" s="13"/>
      <c r="C49" s="29"/>
      <c r="D49" s="30"/>
      <c r="E49" s="19" t="s">
        <v>756</v>
      </c>
      <c r="F49" s="8" t="s">
        <v>42</v>
      </c>
      <c r="G49" s="9">
        <v>0.9</v>
      </c>
      <c r="H49" s="9">
        <v>0.91597222222222219</v>
      </c>
      <c r="I49" s="10">
        <f t="shared" ref="I49:I80" si="6">H49-G49</f>
        <v>1.5972222222222165E-2</v>
      </c>
      <c r="J49" s="11">
        <v>3</v>
      </c>
      <c r="K49" s="11">
        <v>143.01</v>
      </c>
      <c r="L49" s="16">
        <f t="shared" si="5"/>
        <v>124.35652173913087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/>
      <c r="AC49" s="11">
        <v>23</v>
      </c>
      <c r="AD49" s="11"/>
      <c r="AE49" s="11"/>
      <c r="AF49" s="11"/>
      <c r="AG49" s="11"/>
      <c r="AH49" s="11"/>
      <c r="AI49" s="11"/>
      <c r="AJ49" s="11"/>
      <c r="AK49" s="11"/>
      <c r="AL49" s="11"/>
      <c r="AM49" s="14"/>
    </row>
    <row r="50" spans="2:39" ht="25.05" customHeight="1">
      <c r="B50" s="13"/>
      <c r="C50" s="29"/>
      <c r="D50" s="30"/>
      <c r="E50" s="19" t="s">
        <v>757</v>
      </c>
      <c r="F50" s="8" t="s">
        <v>42</v>
      </c>
      <c r="G50" s="9">
        <v>0.92361111111111116</v>
      </c>
      <c r="H50" s="9">
        <v>0.93611111111111112</v>
      </c>
      <c r="I50" s="10">
        <f t="shared" si="6"/>
        <v>1.2499999999999956E-2</v>
      </c>
      <c r="J50" s="11">
        <v>3</v>
      </c>
      <c r="K50" s="11">
        <v>144.80000000000001</v>
      </c>
      <c r="L50" s="16">
        <f t="shared" ref="L50:L81" si="7">IFERROR(((K50/(J50*I50)/24)),"0")</f>
        <v>160.88888888888948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>
        <v>18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4"/>
    </row>
    <row r="51" spans="2:39" ht="25.05" customHeight="1">
      <c r="B51" s="13"/>
      <c r="C51" s="29"/>
      <c r="D51" s="30"/>
      <c r="E51" s="19" t="s">
        <v>758</v>
      </c>
      <c r="F51" s="8" t="s">
        <v>42</v>
      </c>
      <c r="G51" s="9">
        <v>0.93125000000000002</v>
      </c>
      <c r="H51" s="9">
        <v>0.93888888888888888</v>
      </c>
      <c r="I51" s="10">
        <f t="shared" si="6"/>
        <v>7.6388888888888618E-3</v>
      </c>
      <c r="J51" s="11">
        <v>3</v>
      </c>
      <c r="K51" s="11">
        <v>71.510000000000005</v>
      </c>
      <c r="L51" s="16">
        <f t="shared" si="7"/>
        <v>130.01818181818228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/>
      <c r="AB51" s="11"/>
      <c r="AC51" s="11">
        <v>11</v>
      </c>
      <c r="AD51" s="11"/>
      <c r="AE51" s="11"/>
      <c r="AF51" s="11"/>
      <c r="AG51" s="11"/>
      <c r="AH51" s="11"/>
      <c r="AI51" s="11"/>
      <c r="AJ51" s="11"/>
      <c r="AK51" s="11"/>
      <c r="AL51" s="11"/>
      <c r="AM51" s="14"/>
    </row>
    <row r="52" spans="2:39" ht="25.05" customHeight="1">
      <c r="B52" s="13"/>
      <c r="C52" s="29"/>
      <c r="D52" s="30"/>
      <c r="E52" s="19" t="s">
        <v>680</v>
      </c>
      <c r="F52" s="8" t="s">
        <v>42</v>
      </c>
      <c r="G52" s="9">
        <v>0.95625000000000004</v>
      </c>
      <c r="H52" s="9">
        <v>0.96111111111111114</v>
      </c>
      <c r="I52" s="10">
        <f t="shared" si="6"/>
        <v>4.8611111111110938E-3</v>
      </c>
      <c r="J52" s="11">
        <v>3</v>
      </c>
      <c r="K52" s="11">
        <v>68.37</v>
      </c>
      <c r="L52" s="16">
        <f t="shared" si="7"/>
        <v>195.34285714285784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>
        <v>7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4"/>
    </row>
    <row r="53" spans="2:39" ht="25.05" customHeight="1">
      <c r="B53" s="13"/>
      <c r="C53" s="29"/>
      <c r="D53" s="30"/>
      <c r="E53" s="19" t="s">
        <v>682</v>
      </c>
      <c r="F53" s="8" t="s">
        <v>42</v>
      </c>
      <c r="G53" s="9">
        <v>0.95625000000000004</v>
      </c>
      <c r="H53" s="9">
        <v>0.96111111111111114</v>
      </c>
      <c r="I53" s="10">
        <f t="shared" si="6"/>
        <v>4.8611111111110938E-3</v>
      </c>
      <c r="J53" s="11">
        <v>3</v>
      </c>
      <c r="K53" s="11">
        <v>68.37</v>
      </c>
      <c r="L53" s="16">
        <f t="shared" si="7"/>
        <v>195.34285714285784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>
        <v>7</v>
      </c>
      <c r="AD53" s="11"/>
      <c r="AE53" s="11"/>
      <c r="AF53" s="11"/>
      <c r="AG53" s="11"/>
      <c r="AH53" s="11"/>
      <c r="AI53" s="11"/>
      <c r="AJ53" s="11"/>
      <c r="AK53" s="11"/>
      <c r="AL53" s="11"/>
      <c r="AM53" s="14"/>
    </row>
    <row r="54" spans="2:39" ht="25.05" customHeight="1">
      <c r="B54" s="13"/>
      <c r="C54" s="29"/>
      <c r="D54" s="30"/>
      <c r="E54" s="19" t="s">
        <v>683</v>
      </c>
      <c r="F54" s="8" t="s">
        <v>42</v>
      </c>
      <c r="G54" s="9">
        <v>0.96458333333333335</v>
      </c>
      <c r="H54" s="9">
        <v>0.96944444444444444</v>
      </c>
      <c r="I54" s="10">
        <f t="shared" si="6"/>
        <v>4.8611111111110938E-3</v>
      </c>
      <c r="J54" s="11">
        <v>3</v>
      </c>
      <c r="K54" s="11">
        <v>68.37</v>
      </c>
      <c r="L54" s="16">
        <f t="shared" si="7"/>
        <v>195.34285714285784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>
        <v>7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4"/>
    </row>
    <row r="55" spans="2:39" ht="25.05" customHeight="1">
      <c r="B55" s="13"/>
      <c r="C55" s="29"/>
      <c r="D55" s="30"/>
      <c r="E55" s="19" t="s">
        <v>684</v>
      </c>
      <c r="F55" s="8" t="s">
        <v>42</v>
      </c>
      <c r="G55" s="9">
        <v>0.96458333333333335</v>
      </c>
      <c r="H55" s="9">
        <v>0.96944444444444444</v>
      </c>
      <c r="I55" s="10">
        <f t="shared" si="6"/>
        <v>4.8611111111110938E-3</v>
      </c>
      <c r="J55" s="11">
        <v>3</v>
      </c>
      <c r="K55" s="11">
        <v>68.37</v>
      </c>
      <c r="L55" s="16">
        <f t="shared" si="7"/>
        <v>195.34285714285784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/>
      <c r="AC55" s="11">
        <v>7</v>
      </c>
      <c r="AD55" s="11"/>
      <c r="AE55" s="11"/>
      <c r="AF55" s="11"/>
      <c r="AG55" s="11"/>
      <c r="AH55" s="11"/>
      <c r="AI55" s="11"/>
      <c r="AJ55" s="11"/>
      <c r="AK55" s="11"/>
      <c r="AL55" s="11"/>
      <c r="AM55" s="14"/>
    </row>
    <row r="56" spans="2:39" ht="25.05" customHeight="1">
      <c r="B56" s="13"/>
      <c r="C56" s="29"/>
      <c r="D56" s="30"/>
      <c r="E56" s="19" t="s">
        <v>685</v>
      </c>
      <c r="F56" s="8" t="s">
        <v>42</v>
      </c>
      <c r="G56" s="9">
        <v>0.97222222222222221</v>
      </c>
      <c r="H56" s="9">
        <v>0.9770833333333333</v>
      </c>
      <c r="I56" s="10">
        <f t="shared" si="6"/>
        <v>4.8611111111110938E-3</v>
      </c>
      <c r="J56" s="11">
        <v>3</v>
      </c>
      <c r="K56" s="11">
        <v>68.37</v>
      </c>
      <c r="L56" s="16">
        <f t="shared" si="7"/>
        <v>195.34285714285784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>
        <v>7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4"/>
    </row>
    <row r="57" spans="2:39" ht="25.05" customHeight="1">
      <c r="B57" s="13"/>
      <c r="C57" s="29"/>
      <c r="D57" s="30"/>
      <c r="E57" s="19" t="s">
        <v>686</v>
      </c>
      <c r="F57" s="8" t="s">
        <v>42</v>
      </c>
      <c r="G57" s="9">
        <v>0.97291666666666665</v>
      </c>
      <c r="H57" s="9">
        <v>0.97777777777777775</v>
      </c>
      <c r="I57" s="10">
        <f t="shared" si="6"/>
        <v>4.8611111111110938E-3</v>
      </c>
      <c r="J57" s="11">
        <v>3</v>
      </c>
      <c r="K57" s="11">
        <v>68.37</v>
      </c>
      <c r="L57" s="16">
        <f t="shared" si="7"/>
        <v>195.34285714285784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>
        <v>7</v>
      </c>
      <c r="AD57" s="11"/>
      <c r="AE57" s="11"/>
      <c r="AF57" s="11"/>
      <c r="AG57" s="11"/>
      <c r="AH57" s="11"/>
      <c r="AI57" s="11"/>
      <c r="AJ57" s="11"/>
      <c r="AK57" s="11"/>
      <c r="AL57" s="11"/>
      <c r="AM57" s="14"/>
    </row>
    <row r="58" spans="2:39" ht="25.05" customHeight="1">
      <c r="B58" s="13"/>
      <c r="C58" s="29"/>
      <c r="D58" s="30"/>
      <c r="E58" s="19" t="s">
        <v>687</v>
      </c>
      <c r="F58" s="8" t="s">
        <v>42</v>
      </c>
      <c r="G58" s="9">
        <v>0.97986111111111107</v>
      </c>
      <c r="H58" s="9">
        <v>0.98472222222222228</v>
      </c>
      <c r="I58" s="10">
        <f t="shared" si="6"/>
        <v>4.8611111111112049E-3</v>
      </c>
      <c r="J58" s="11">
        <v>3</v>
      </c>
      <c r="K58" s="11">
        <v>68.37</v>
      </c>
      <c r="L58" s="16">
        <f t="shared" si="7"/>
        <v>195.3428571428534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/>
      <c r="AA58" s="11"/>
      <c r="AB58" s="11">
        <v>7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4"/>
    </row>
    <row r="59" spans="2:39" ht="25.05" customHeight="1">
      <c r="B59" s="13"/>
      <c r="C59" s="29"/>
      <c r="D59" s="30"/>
      <c r="E59" s="19" t="s">
        <v>688</v>
      </c>
      <c r="F59" s="8" t="s">
        <v>42</v>
      </c>
      <c r="G59" s="9">
        <v>0.98055555555555551</v>
      </c>
      <c r="H59" s="9">
        <v>0.98541666666666672</v>
      </c>
      <c r="I59" s="10">
        <f t="shared" si="6"/>
        <v>4.8611111111112049E-3</v>
      </c>
      <c r="J59" s="11">
        <v>3</v>
      </c>
      <c r="K59" s="11">
        <v>68.37</v>
      </c>
      <c r="L59" s="16">
        <f t="shared" si="7"/>
        <v>195.3428571428534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/>
      <c r="Z59" s="11"/>
      <c r="AA59" s="11"/>
      <c r="AB59" s="11"/>
      <c r="AC59" s="11">
        <v>7</v>
      </c>
      <c r="AD59" s="11"/>
      <c r="AE59" s="11"/>
      <c r="AF59" s="11"/>
      <c r="AG59" s="11"/>
      <c r="AH59" s="11"/>
      <c r="AI59" s="11"/>
      <c r="AJ59" s="11"/>
      <c r="AK59" s="11"/>
      <c r="AL59" s="11"/>
      <c r="AM59" s="14"/>
    </row>
    <row r="60" spans="2:39" ht="25.05" customHeight="1">
      <c r="B60" s="13"/>
      <c r="C60" s="29"/>
      <c r="D60" s="30"/>
      <c r="E60" s="19" t="s">
        <v>689</v>
      </c>
      <c r="F60" s="8" t="s">
        <v>42</v>
      </c>
      <c r="G60" s="9">
        <v>0.98819444444444449</v>
      </c>
      <c r="H60" s="9">
        <v>0.99305555555555558</v>
      </c>
      <c r="I60" s="10">
        <f t="shared" si="6"/>
        <v>4.8611111111110938E-3</v>
      </c>
      <c r="J60" s="11">
        <v>3</v>
      </c>
      <c r="K60" s="11">
        <v>68.37</v>
      </c>
      <c r="L60" s="16">
        <f t="shared" si="7"/>
        <v>195.34285714285784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>
        <v>7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4"/>
    </row>
    <row r="61" spans="2:39" ht="25.05" customHeight="1">
      <c r="B61" s="13"/>
      <c r="C61" s="29"/>
      <c r="D61" s="30"/>
      <c r="E61" s="19" t="s">
        <v>690</v>
      </c>
      <c r="F61" s="8" t="s">
        <v>42</v>
      </c>
      <c r="G61" s="9">
        <v>0.98958333333333337</v>
      </c>
      <c r="H61" s="9">
        <v>0.99444444444444446</v>
      </c>
      <c r="I61" s="10">
        <f t="shared" si="6"/>
        <v>4.8611111111110938E-3</v>
      </c>
      <c r="J61" s="11">
        <v>3</v>
      </c>
      <c r="K61" s="11">
        <v>68.37</v>
      </c>
      <c r="L61" s="16">
        <f t="shared" si="7"/>
        <v>195.34285714285784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>
        <v>7</v>
      </c>
      <c r="AD61" s="11"/>
      <c r="AE61" s="11"/>
      <c r="AF61" s="11"/>
      <c r="AG61" s="11"/>
      <c r="AH61" s="11"/>
      <c r="AI61" s="11"/>
      <c r="AJ61" s="11"/>
      <c r="AK61" s="11"/>
      <c r="AL61" s="11"/>
      <c r="AM61" s="14"/>
    </row>
    <row r="62" spans="2:39" ht="25.05" customHeight="1">
      <c r="B62" s="13"/>
      <c r="C62" s="29"/>
      <c r="D62" s="30"/>
      <c r="E62" s="19" t="s">
        <v>759</v>
      </c>
      <c r="F62" s="8" t="s">
        <v>42</v>
      </c>
      <c r="G62" s="9">
        <v>46105.996527777781</v>
      </c>
      <c r="H62" s="9">
        <v>46106.001388888886</v>
      </c>
      <c r="I62" s="10">
        <f t="shared" si="6"/>
        <v>4.8611111051286571E-3</v>
      </c>
      <c r="J62" s="11">
        <v>3</v>
      </c>
      <c r="K62" s="11">
        <v>68.37</v>
      </c>
      <c r="L62" s="16">
        <f t="shared" si="7"/>
        <v>195.34285738326096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>
        <v>7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4"/>
    </row>
    <row r="63" spans="2:39" ht="25.05" customHeight="1">
      <c r="B63" s="13"/>
      <c r="C63" s="29"/>
      <c r="D63" s="30"/>
      <c r="E63" s="19" t="s">
        <v>760</v>
      </c>
      <c r="F63" s="8" t="s">
        <v>42</v>
      </c>
      <c r="G63" s="9">
        <v>46105.998611111114</v>
      </c>
      <c r="H63" s="9">
        <v>46106.003472222219</v>
      </c>
      <c r="I63" s="10">
        <f t="shared" si="6"/>
        <v>4.8611111051286571E-3</v>
      </c>
      <c r="J63" s="11">
        <v>3</v>
      </c>
      <c r="K63" s="11">
        <v>68.37</v>
      </c>
      <c r="L63" s="16">
        <f t="shared" si="7"/>
        <v>195.34285738326096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/>
      <c r="Y63" s="11"/>
      <c r="Z63" s="11"/>
      <c r="AA63" s="11"/>
      <c r="AB63" s="11"/>
      <c r="AC63" s="11">
        <v>7</v>
      </c>
      <c r="AD63" s="11"/>
      <c r="AE63" s="11"/>
      <c r="AF63" s="11"/>
      <c r="AG63" s="11"/>
      <c r="AH63" s="11"/>
      <c r="AI63" s="11"/>
      <c r="AJ63" s="11"/>
      <c r="AK63" s="11"/>
      <c r="AL63" s="11"/>
      <c r="AM63" s="14"/>
    </row>
    <row r="64" spans="2:39" ht="25.05" customHeight="1">
      <c r="B64" s="13"/>
      <c r="C64" s="29"/>
      <c r="D64" s="30"/>
      <c r="E64" s="19" t="s">
        <v>761</v>
      </c>
      <c r="F64" s="8" t="s">
        <v>42</v>
      </c>
      <c r="G64" s="9">
        <v>6.9444444444444448E-2</v>
      </c>
      <c r="H64" s="9">
        <v>7.4305555555555555E-2</v>
      </c>
      <c r="I64" s="10">
        <f t="shared" si="6"/>
        <v>4.8611111111111077E-3</v>
      </c>
      <c r="J64" s="11">
        <v>4</v>
      </c>
      <c r="K64" s="11">
        <v>68.37</v>
      </c>
      <c r="L64" s="16">
        <f t="shared" si="7"/>
        <v>146.50714285714295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>
        <v>7</v>
      </c>
      <c r="AD64" s="11"/>
      <c r="AE64" s="11"/>
      <c r="AF64" s="11"/>
      <c r="AG64" s="11"/>
      <c r="AH64" s="11"/>
      <c r="AI64" s="11"/>
      <c r="AJ64" s="11"/>
      <c r="AK64" s="11"/>
      <c r="AL64" s="11"/>
      <c r="AM64" s="14"/>
    </row>
    <row r="65" spans="2:39" ht="25.05" customHeight="1">
      <c r="B65" s="13"/>
      <c r="C65" s="29"/>
      <c r="D65" s="30"/>
      <c r="E65" s="19" t="s">
        <v>762</v>
      </c>
      <c r="F65" s="8" t="s">
        <v>42</v>
      </c>
      <c r="G65" s="9">
        <v>7.0833333333333331E-2</v>
      </c>
      <c r="H65" s="9">
        <v>7.5694444444444439E-2</v>
      </c>
      <c r="I65" s="10">
        <f t="shared" si="6"/>
        <v>4.8611111111111077E-3</v>
      </c>
      <c r="J65" s="11">
        <v>4</v>
      </c>
      <c r="K65" s="11">
        <v>68.37</v>
      </c>
      <c r="L65" s="16">
        <f t="shared" si="7"/>
        <v>146.50714285714295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/>
      <c r="Y65" s="11"/>
      <c r="Z65" s="11"/>
      <c r="AA65" s="11"/>
      <c r="AB65" s="11"/>
      <c r="AC65" s="11">
        <v>7</v>
      </c>
      <c r="AD65" s="11"/>
      <c r="AE65" s="11"/>
      <c r="AF65" s="11"/>
      <c r="AG65" s="11"/>
      <c r="AH65" s="11"/>
      <c r="AI65" s="11"/>
      <c r="AJ65" s="11"/>
      <c r="AK65" s="11"/>
      <c r="AL65" s="11"/>
      <c r="AM65" s="14"/>
    </row>
    <row r="66" spans="2:39" ht="25.05" customHeight="1">
      <c r="B66" s="13"/>
      <c r="C66" s="29"/>
      <c r="D66" s="30"/>
      <c r="E66" s="19" t="s">
        <v>763</v>
      </c>
      <c r="F66" s="8" t="s">
        <v>42</v>
      </c>
      <c r="G66" s="9">
        <v>7.6388888888888895E-2</v>
      </c>
      <c r="H66" s="9">
        <v>8.1250000000000003E-2</v>
      </c>
      <c r="I66" s="10">
        <f t="shared" si="6"/>
        <v>4.8611111111111077E-3</v>
      </c>
      <c r="J66" s="11">
        <v>4</v>
      </c>
      <c r="K66" s="11">
        <v>68.37</v>
      </c>
      <c r="L66" s="16">
        <f t="shared" si="7"/>
        <v>146.50714285714295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/>
      <c r="Y66" s="11"/>
      <c r="Z66" s="11"/>
      <c r="AA66" s="11"/>
      <c r="AB66" s="11"/>
      <c r="AC66" s="11">
        <v>7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4"/>
    </row>
    <row r="67" spans="2:39" ht="25.05" customHeight="1">
      <c r="B67" s="13"/>
      <c r="C67" s="29"/>
      <c r="D67" s="30"/>
      <c r="E67" s="19" t="s">
        <v>764</v>
      </c>
      <c r="F67" s="8" t="s">
        <v>42</v>
      </c>
      <c r="G67" s="9">
        <v>8.3333333333333329E-2</v>
      </c>
      <c r="H67" s="9">
        <v>8.819444444444445E-2</v>
      </c>
      <c r="I67" s="10">
        <f t="shared" si="6"/>
        <v>4.8611111111111216E-3</v>
      </c>
      <c r="J67" s="11">
        <v>4</v>
      </c>
      <c r="K67" s="11">
        <v>68.37</v>
      </c>
      <c r="L67" s="16">
        <f t="shared" si="7"/>
        <v>146.50714285714255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/>
      <c r="Z67" s="11"/>
      <c r="AA67" s="11"/>
      <c r="AB67" s="11"/>
      <c r="AC67" s="11">
        <v>7</v>
      </c>
      <c r="AD67" s="11"/>
      <c r="AE67" s="11"/>
      <c r="AF67" s="11"/>
      <c r="AG67" s="11"/>
      <c r="AH67" s="11"/>
      <c r="AI67" s="11"/>
      <c r="AJ67" s="11"/>
      <c r="AK67" s="11"/>
      <c r="AL67" s="11"/>
      <c r="AM67" s="14"/>
    </row>
    <row r="68" spans="2:39" ht="25.05" customHeight="1">
      <c r="B68" s="13"/>
      <c r="C68" s="29"/>
      <c r="D68" s="30"/>
      <c r="E68" s="19" t="s">
        <v>765</v>
      </c>
      <c r="F68" s="8" t="s">
        <v>42</v>
      </c>
      <c r="G68" s="9">
        <v>9.166666666666666E-2</v>
      </c>
      <c r="H68" s="9">
        <v>9.6527777777777782E-2</v>
      </c>
      <c r="I68" s="10">
        <f t="shared" si="6"/>
        <v>4.8611111111111216E-3</v>
      </c>
      <c r="J68" s="11">
        <v>4</v>
      </c>
      <c r="K68" s="11">
        <v>68.37</v>
      </c>
      <c r="L68" s="16">
        <f t="shared" si="7"/>
        <v>146.50714285714255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/>
      <c r="Y68" s="11"/>
      <c r="Z68" s="11"/>
      <c r="AA68" s="11"/>
      <c r="AB68" s="11"/>
      <c r="AC68" s="11">
        <v>7</v>
      </c>
      <c r="AD68" s="11"/>
      <c r="AE68" s="11"/>
      <c r="AF68" s="11"/>
      <c r="AG68" s="11"/>
      <c r="AH68" s="11"/>
      <c r="AI68" s="11"/>
      <c r="AJ68" s="11"/>
      <c r="AK68" s="11"/>
      <c r="AL68" s="11"/>
      <c r="AM68" s="14"/>
    </row>
    <row r="69" spans="2:39" ht="25.05" customHeight="1">
      <c r="B69" s="13"/>
      <c r="C69" s="29"/>
      <c r="D69" s="30"/>
      <c r="E69" s="19" t="s">
        <v>766</v>
      </c>
      <c r="F69" s="8" t="s">
        <v>42</v>
      </c>
      <c r="G69" s="9">
        <v>0.1</v>
      </c>
      <c r="H69" s="9">
        <v>0.10486111111111111</v>
      </c>
      <c r="I69" s="10">
        <f t="shared" si="6"/>
        <v>4.8611111111111077E-3</v>
      </c>
      <c r="J69" s="11">
        <v>4</v>
      </c>
      <c r="K69" s="11">
        <v>68.37</v>
      </c>
      <c r="L69" s="16">
        <f t="shared" si="7"/>
        <v>146.50714285714295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/>
      <c r="AB69" s="11"/>
      <c r="AC69" s="11">
        <v>7</v>
      </c>
      <c r="AD69" s="11"/>
      <c r="AE69" s="11"/>
      <c r="AF69" s="11"/>
      <c r="AG69" s="11"/>
      <c r="AH69" s="11"/>
      <c r="AI69" s="11"/>
      <c r="AJ69" s="11"/>
      <c r="AK69" s="11"/>
      <c r="AL69" s="11"/>
      <c r="AM69" s="14"/>
    </row>
    <row r="70" spans="2:39" ht="25.05" customHeight="1">
      <c r="B70" s="13"/>
      <c r="C70" s="29"/>
      <c r="D70" s="30"/>
      <c r="E70" s="19" t="s">
        <v>767</v>
      </c>
      <c r="F70" s="8" t="s">
        <v>42</v>
      </c>
      <c r="G70" s="9">
        <v>0.10833333333333334</v>
      </c>
      <c r="H70" s="9">
        <v>0.11319444444444444</v>
      </c>
      <c r="I70" s="10">
        <f t="shared" si="6"/>
        <v>4.8611111111111077E-3</v>
      </c>
      <c r="J70" s="11">
        <v>4</v>
      </c>
      <c r="K70" s="11">
        <v>68.37</v>
      </c>
      <c r="L70" s="16">
        <f t="shared" si="7"/>
        <v>146.50714285714295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/>
      <c r="AC70" s="11">
        <v>7</v>
      </c>
      <c r="AD70" s="11"/>
      <c r="AE70" s="11"/>
      <c r="AF70" s="11"/>
      <c r="AG70" s="11"/>
      <c r="AH70" s="11"/>
      <c r="AI70" s="11"/>
      <c r="AJ70" s="11"/>
      <c r="AK70" s="11"/>
      <c r="AL70" s="11"/>
      <c r="AM70" s="14"/>
    </row>
    <row r="71" spans="2:39" ht="25.05" customHeight="1">
      <c r="B71" s="13"/>
      <c r="C71" s="29"/>
      <c r="D71" s="30"/>
      <c r="E71" s="19" t="s">
        <v>768</v>
      </c>
      <c r="F71" s="8" t="s">
        <v>42</v>
      </c>
      <c r="G71" s="9">
        <v>0.11666666666666667</v>
      </c>
      <c r="H71" s="9">
        <v>0.12152777777777778</v>
      </c>
      <c r="I71" s="10">
        <f t="shared" si="6"/>
        <v>4.8611111111111077E-3</v>
      </c>
      <c r="J71" s="11">
        <v>4</v>
      </c>
      <c r="K71" s="11">
        <v>68.37</v>
      </c>
      <c r="L71" s="16">
        <f t="shared" si="7"/>
        <v>146.50714285714295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>
        <v>7</v>
      </c>
      <c r="AD71" s="11"/>
      <c r="AE71" s="11"/>
      <c r="AF71" s="11"/>
      <c r="AG71" s="11"/>
      <c r="AH71" s="11"/>
      <c r="AI71" s="11"/>
      <c r="AJ71" s="11"/>
      <c r="AK71" s="11"/>
      <c r="AL71" s="11"/>
      <c r="AM71" s="14"/>
    </row>
    <row r="72" spans="2:39" ht="25.05" customHeight="1">
      <c r="B72" s="13"/>
      <c r="C72" s="29"/>
      <c r="D72" s="30"/>
      <c r="E72" s="19" t="s">
        <v>769</v>
      </c>
      <c r="F72" s="8" t="s">
        <v>42</v>
      </c>
      <c r="G72" s="9">
        <v>0.125</v>
      </c>
      <c r="H72" s="9">
        <v>0.12986111111111112</v>
      </c>
      <c r="I72" s="10">
        <f t="shared" si="6"/>
        <v>4.8611111111111216E-3</v>
      </c>
      <c r="J72" s="11">
        <v>4</v>
      </c>
      <c r="K72" s="11">
        <v>68.37</v>
      </c>
      <c r="L72" s="16">
        <f t="shared" si="7"/>
        <v>146.50714285714255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/>
      <c r="Y72" s="11"/>
      <c r="Z72" s="11"/>
      <c r="AA72" s="11"/>
      <c r="AB72" s="11"/>
      <c r="AC72" s="11">
        <v>7</v>
      </c>
      <c r="AD72" s="11"/>
      <c r="AE72" s="11"/>
      <c r="AF72" s="11"/>
      <c r="AG72" s="11"/>
      <c r="AH72" s="11"/>
      <c r="AI72" s="11"/>
      <c r="AJ72" s="11"/>
      <c r="AK72" s="11"/>
      <c r="AL72" s="11"/>
      <c r="AM72" s="14"/>
    </row>
    <row r="73" spans="2:39" ht="25.05" customHeight="1">
      <c r="B73" s="13"/>
      <c r="C73" s="29"/>
      <c r="D73" s="30"/>
      <c r="E73" s="19" t="s">
        <v>770</v>
      </c>
      <c r="F73" s="8" t="s">
        <v>42</v>
      </c>
      <c r="G73" s="9">
        <v>0.13333333333333333</v>
      </c>
      <c r="H73" s="9">
        <v>0.13819444444444445</v>
      </c>
      <c r="I73" s="10">
        <f t="shared" si="6"/>
        <v>4.8611111111111216E-3</v>
      </c>
      <c r="J73" s="11">
        <v>4</v>
      </c>
      <c r="K73" s="11">
        <v>68.37</v>
      </c>
      <c r="L73" s="16">
        <f t="shared" si="7"/>
        <v>146.50714285714255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/>
      <c r="Y73" s="11"/>
      <c r="Z73" s="11"/>
      <c r="AA73" s="11"/>
      <c r="AB73" s="11"/>
      <c r="AC73" s="11">
        <v>7</v>
      </c>
      <c r="AD73" s="11"/>
      <c r="AE73" s="11"/>
      <c r="AF73" s="11"/>
      <c r="AG73" s="11"/>
      <c r="AH73" s="11"/>
      <c r="AI73" s="11"/>
      <c r="AJ73" s="11"/>
      <c r="AK73" s="11"/>
      <c r="AL73" s="11"/>
      <c r="AM73" s="14"/>
    </row>
    <row r="74" spans="2:39" ht="25.05" customHeight="1">
      <c r="B74" s="13"/>
      <c r="C74" s="29"/>
      <c r="D74" s="30"/>
      <c r="E74" s="19" t="s">
        <v>771</v>
      </c>
      <c r="F74" s="8" t="s">
        <v>42</v>
      </c>
      <c r="G74" s="9">
        <v>0.14166666666666666</v>
      </c>
      <c r="H74" s="9">
        <v>0.14652777777777778</v>
      </c>
      <c r="I74" s="10">
        <f t="shared" si="6"/>
        <v>4.8611111111111216E-3</v>
      </c>
      <c r="J74" s="11">
        <v>4</v>
      </c>
      <c r="K74" s="11">
        <v>68.37</v>
      </c>
      <c r="L74" s="16">
        <f t="shared" si="7"/>
        <v>146.50714285714255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/>
      <c r="Y74" s="11"/>
      <c r="Z74" s="11"/>
      <c r="AA74" s="11"/>
      <c r="AB74" s="11"/>
      <c r="AC74" s="11">
        <v>7</v>
      </c>
      <c r="AD74" s="11"/>
      <c r="AE74" s="11"/>
      <c r="AF74" s="11"/>
      <c r="AG74" s="11"/>
      <c r="AH74" s="11"/>
      <c r="AI74" s="11"/>
      <c r="AJ74" s="11"/>
      <c r="AK74" s="11"/>
      <c r="AL74" s="11"/>
      <c r="AM74" s="14"/>
    </row>
    <row r="75" spans="2:39" ht="25.05" customHeight="1">
      <c r="B75" s="13"/>
      <c r="C75" s="29"/>
      <c r="D75" s="30"/>
      <c r="E75" s="19" t="s">
        <v>691</v>
      </c>
      <c r="F75" s="8" t="s">
        <v>42</v>
      </c>
      <c r="G75" s="9">
        <v>0.96736111111111112</v>
      </c>
      <c r="H75" s="9">
        <v>0.97569444444444442</v>
      </c>
      <c r="I75" s="10">
        <f t="shared" si="6"/>
        <v>8.3333333333333037E-3</v>
      </c>
      <c r="J75" s="11">
        <v>3</v>
      </c>
      <c r="K75" s="11">
        <v>60.31</v>
      </c>
      <c r="L75" s="16">
        <f t="shared" si="7"/>
        <v>100.51666666666704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>
        <v>12</v>
      </c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4"/>
    </row>
    <row r="76" spans="2:39" ht="25.05" customHeight="1">
      <c r="B76" s="13"/>
      <c r="C76" s="29"/>
      <c r="D76" s="30"/>
      <c r="E76" s="19" t="s">
        <v>692</v>
      </c>
      <c r="F76" s="8" t="s">
        <v>42</v>
      </c>
      <c r="G76" s="9">
        <v>0.96944444444444444</v>
      </c>
      <c r="H76" s="9">
        <v>0.97777777777777775</v>
      </c>
      <c r="I76" s="10">
        <f t="shared" si="6"/>
        <v>8.3333333333333037E-3</v>
      </c>
      <c r="J76" s="11">
        <v>3</v>
      </c>
      <c r="K76" s="11">
        <v>71.56</v>
      </c>
      <c r="L76" s="16">
        <f t="shared" si="7"/>
        <v>119.26666666666709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>
        <v>12</v>
      </c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4"/>
    </row>
    <row r="77" spans="2:39" ht="25.05" customHeight="1">
      <c r="B77" s="13"/>
      <c r="C77" s="29"/>
      <c r="D77" s="30"/>
      <c r="E77" s="19" t="s">
        <v>693</v>
      </c>
      <c r="F77" s="8" t="s">
        <v>42</v>
      </c>
      <c r="G77" s="9">
        <v>0.97083333333333333</v>
      </c>
      <c r="H77" s="9">
        <v>0.97916666666666663</v>
      </c>
      <c r="I77" s="10">
        <f t="shared" si="6"/>
        <v>8.3333333333333037E-3</v>
      </c>
      <c r="J77" s="11">
        <v>3</v>
      </c>
      <c r="K77" s="11">
        <v>60.26</v>
      </c>
      <c r="L77" s="16">
        <f t="shared" si="7"/>
        <v>100.43333333333368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>
        <v>12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4"/>
    </row>
    <row r="78" spans="2:39" ht="25.05" customHeight="1">
      <c r="B78" s="13"/>
      <c r="C78" s="29"/>
      <c r="D78" s="30"/>
      <c r="E78" s="19" t="s">
        <v>694</v>
      </c>
      <c r="F78" s="8" t="s">
        <v>42</v>
      </c>
      <c r="G78" s="9">
        <v>0.97222222222222221</v>
      </c>
      <c r="H78" s="9">
        <v>0.98055555555555551</v>
      </c>
      <c r="I78" s="10">
        <f t="shared" si="6"/>
        <v>8.3333333333333037E-3</v>
      </c>
      <c r="J78" s="11">
        <v>3</v>
      </c>
      <c r="K78" s="11">
        <v>72.73</v>
      </c>
      <c r="L78" s="16">
        <f t="shared" si="7"/>
        <v>121.21666666666709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/>
      <c r="Z78" s="11"/>
      <c r="AA78" s="11">
        <v>12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4"/>
    </row>
    <row r="79" spans="2:39" ht="25.05" customHeight="1">
      <c r="B79" s="13"/>
      <c r="C79" s="29"/>
      <c r="D79" s="30"/>
      <c r="E79" s="19" t="s">
        <v>695</v>
      </c>
      <c r="F79" s="8" t="s">
        <v>42</v>
      </c>
      <c r="G79" s="9">
        <v>0.98124999999999996</v>
      </c>
      <c r="H79" s="9">
        <v>0.98958333333333337</v>
      </c>
      <c r="I79" s="10">
        <f t="shared" si="6"/>
        <v>8.3333333333334147E-3</v>
      </c>
      <c r="J79" s="11">
        <v>3</v>
      </c>
      <c r="K79" s="11">
        <v>78.06</v>
      </c>
      <c r="L79" s="16">
        <f t="shared" si="7"/>
        <v>130.09999999999874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>
        <v>12</v>
      </c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4"/>
    </row>
    <row r="80" spans="2:39" ht="25.05" customHeight="1">
      <c r="B80" s="13"/>
      <c r="C80" s="29"/>
      <c r="D80" s="30"/>
      <c r="E80" s="19" t="s">
        <v>696</v>
      </c>
      <c r="F80" s="8" t="s">
        <v>42</v>
      </c>
      <c r="G80" s="9">
        <v>0.98402777777777772</v>
      </c>
      <c r="H80" s="9">
        <v>0.99236111111111114</v>
      </c>
      <c r="I80" s="10">
        <f t="shared" si="6"/>
        <v>8.3333333333334147E-3</v>
      </c>
      <c r="J80" s="11">
        <v>3</v>
      </c>
      <c r="K80" s="11">
        <v>62.74</v>
      </c>
      <c r="L80" s="16">
        <f t="shared" si="7"/>
        <v>104.56666666666564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/>
      <c r="Y80" s="11">
        <v>12</v>
      </c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4"/>
    </row>
    <row r="81" spans="2:39" ht="25.05" customHeight="1">
      <c r="B81" s="13"/>
      <c r="C81" s="29"/>
      <c r="D81" s="30"/>
      <c r="E81" s="19" t="s">
        <v>697</v>
      </c>
      <c r="F81" s="8" t="s">
        <v>42</v>
      </c>
      <c r="G81" s="9">
        <v>0.98958333333333337</v>
      </c>
      <c r="H81" s="9">
        <v>0.99791666666666667</v>
      </c>
      <c r="I81" s="10">
        <f t="shared" ref="I81:I100" si="8">H81-G81</f>
        <v>8.3333333333333037E-3</v>
      </c>
      <c r="J81" s="11">
        <v>3</v>
      </c>
      <c r="K81" s="11">
        <v>74.44</v>
      </c>
      <c r="L81" s="16">
        <f t="shared" si="7"/>
        <v>124.0666666666671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/>
      <c r="Z81" s="11">
        <v>12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4"/>
    </row>
    <row r="82" spans="2:39" ht="25.05" customHeight="1">
      <c r="B82" s="13"/>
      <c r="C82" s="29"/>
      <c r="D82" s="30"/>
      <c r="E82" s="19" t="s">
        <v>698</v>
      </c>
      <c r="F82" s="8" t="s">
        <v>42</v>
      </c>
      <c r="G82" s="9">
        <v>46105.991666666669</v>
      </c>
      <c r="H82" s="9">
        <v>46106</v>
      </c>
      <c r="I82" s="10">
        <f t="shared" si="8"/>
        <v>8.333333331393078E-3</v>
      </c>
      <c r="J82" s="11">
        <v>3</v>
      </c>
      <c r="K82" s="11">
        <v>61.58</v>
      </c>
      <c r="L82" s="16">
        <f t="shared" ref="L82:L101" si="9">IFERROR(((K82/(J82*I82)/24)),"0")</f>
        <v>102.63333335722952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2</v>
      </c>
      <c r="X82" s="11"/>
      <c r="Y82" s="11"/>
      <c r="Z82" s="11"/>
      <c r="AA82" s="11">
        <v>12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4"/>
    </row>
    <row r="83" spans="2:39" ht="25.05" customHeight="1">
      <c r="B83" s="13"/>
      <c r="C83" s="29"/>
      <c r="D83" s="30"/>
      <c r="E83" s="19" t="s">
        <v>699</v>
      </c>
      <c r="F83" s="8" t="s">
        <v>42</v>
      </c>
      <c r="G83" s="9">
        <v>0</v>
      </c>
      <c r="H83" s="9">
        <v>8.3333333333333332E-3</v>
      </c>
      <c r="I83" s="10">
        <f t="shared" si="8"/>
        <v>8.3333333333333332E-3</v>
      </c>
      <c r="J83" s="11">
        <v>3</v>
      </c>
      <c r="K83" s="11">
        <v>75.94</v>
      </c>
      <c r="L83" s="16">
        <f t="shared" si="9"/>
        <v>126.56666666666666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2</v>
      </c>
      <c r="X83" s="11">
        <v>12</v>
      </c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4"/>
    </row>
    <row r="84" spans="2:39" ht="25.05" customHeight="1">
      <c r="B84" s="13"/>
      <c r="C84" s="29"/>
      <c r="D84" s="30"/>
      <c r="E84" s="19" t="s">
        <v>700</v>
      </c>
      <c r="F84" s="8" t="s">
        <v>42</v>
      </c>
      <c r="G84" s="9">
        <v>2.7777777777777779E-3</v>
      </c>
      <c r="H84" s="9">
        <v>1.1111111111111112E-2</v>
      </c>
      <c r="I84" s="10">
        <f t="shared" si="8"/>
        <v>8.3333333333333332E-3</v>
      </c>
      <c r="J84" s="11">
        <v>3</v>
      </c>
      <c r="K84" s="11">
        <v>63.08</v>
      </c>
      <c r="L84" s="16">
        <f t="shared" si="9"/>
        <v>105.13333333333333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/>
      <c r="Y84" s="11">
        <v>12</v>
      </c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4"/>
    </row>
    <row r="85" spans="2:39" ht="25.05" customHeight="1">
      <c r="B85" s="13"/>
      <c r="C85" s="29"/>
      <c r="D85" s="30"/>
      <c r="E85" s="19" t="s">
        <v>772</v>
      </c>
      <c r="F85" s="8" t="s">
        <v>42</v>
      </c>
      <c r="G85" s="9">
        <v>5.5555555555555558E-3</v>
      </c>
      <c r="H85" s="9">
        <v>1.3888888888888888E-2</v>
      </c>
      <c r="I85" s="10">
        <f t="shared" si="8"/>
        <v>8.3333333333333315E-3</v>
      </c>
      <c r="J85" s="11">
        <v>3</v>
      </c>
      <c r="K85" s="11">
        <v>79.040000000000006</v>
      </c>
      <c r="L85" s="16">
        <f t="shared" si="9"/>
        <v>131.73333333333338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/>
      <c r="Y85" s="11"/>
      <c r="Z85" s="11">
        <v>12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4"/>
    </row>
    <row r="86" spans="2:39" ht="25.05" customHeight="1">
      <c r="B86" s="13"/>
      <c r="C86" s="29"/>
      <c r="D86" s="30"/>
      <c r="E86" s="19" t="s">
        <v>773</v>
      </c>
      <c r="F86" s="8" t="s">
        <v>42</v>
      </c>
      <c r="G86" s="9">
        <v>8.3333333333333332E-3</v>
      </c>
      <c r="H86" s="9">
        <v>1.6666666666666666E-2</v>
      </c>
      <c r="I86" s="10">
        <f t="shared" si="8"/>
        <v>8.3333333333333332E-3</v>
      </c>
      <c r="J86" s="11">
        <v>3</v>
      </c>
      <c r="K86" s="11">
        <v>60.04</v>
      </c>
      <c r="L86" s="16">
        <f t="shared" si="9"/>
        <v>100.06666666666666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/>
      <c r="Z86" s="11"/>
      <c r="AA86" s="11">
        <v>12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4"/>
    </row>
    <row r="87" spans="2:39" ht="25.05" customHeight="1">
      <c r="B87" s="13"/>
      <c r="C87" s="29"/>
      <c r="D87" s="30"/>
      <c r="E87" s="19" t="s">
        <v>774</v>
      </c>
      <c r="F87" s="8" t="s">
        <v>42</v>
      </c>
      <c r="G87" s="9">
        <v>9.7222222222222224E-2</v>
      </c>
      <c r="H87" s="9">
        <v>0.10555555555555556</v>
      </c>
      <c r="I87" s="10">
        <f t="shared" si="8"/>
        <v>8.3333333333333315E-3</v>
      </c>
      <c r="J87" s="11">
        <v>3</v>
      </c>
      <c r="K87" s="11">
        <v>73.900000000000006</v>
      </c>
      <c r="L87" s="16">
        <f t="shared" si="9"/>
        <v>123.1666666666667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>
        <v>12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4"/>
    </row>
    <row r="88" spans="2:39" ht="25.05" customHeight="1">
      <c r="B88" s="13"/>
      <c r="C88" s="29"/>
      <c r="D88" s="30"/>
      <c r="E88" s="19" t="s">
        <v>775</v>
      </c>
      <c r="F88" s="8" t="s">
        <v>42</v>
      </c>
      <c r="G88" s="9">
        <v>0.1</v>
      </c>
      <c r="H88" s="9">
        <v>0.10833333333333334</v>
      </c>
      <c r="I88" s="10">
        <f t="shared" si="8"/>
        <v>8.3333333333333315E-3</v>
      </c>
      <c r="J88" s="11">
        <v>3</v>
      </c>
      <c r="K88" s="11">
        <v>71.59</v>
      </c>
      <c r="L88" s="16">
        <f t="shared" si="9"/>
        <v>119.31666666666671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>
        <v>12</v>
      </c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4"/>
    </row>
    <row r="89" spans="2:39" ht="25.05" customHeight="1">
      <c r="B89" s="13"/>
      <c r="C89" s="29"/>
      <c r="D89" s="30"/>
      <c r="E89" s="19" t="s">
        <v>776</v>
      </c>
      <c r="F89" s="8" t="s">
        <v>42</v>
      </c>
      <c r="G89" s="9">
        <v>0.10902777777777778</v>
      </c>
      <c r="H89" s="9">
        <v>0.11736111111111111</v>
      </c>
      <c r="I89" s="10">
        <f t="shared" si="8"/>
        <v>8.3333333333333315E-3</v>
      </c>
      <c r="J89" s="11">
        <v>3</v>
      </c>
      <c r="K89" s="11">
        <v>74.44</v>
      </c>
      <c r="L89" s="16">
        <f t="shared" si="9"/>
        <v>124.06666666666668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>
        <v>12</v>
      </c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4"/>
    </row>
    <row r="90" spans="2:39" ht="25.05" customHeight="1">
      <c r="B90" s="13"/>
      <c r="C90" s="29"/>
      <c r="D90" s="30"/>
      <c r="E90" s="19" t="s">
        <v>777</v>
      </c>
      <c r="F90" s="8" t="s">
        <v>42</v>
      </c>
      <c r="G90" s="9">
        <v>0.1125</v>
      </c>
      <c r="H90" s="9">
        <v>0.12083333333333333</v>
      </c>
      <c r="I90" s="10">
        <f t="shared" si="8"/>
        <v>8.3333333333333315E-3</v>
      </c>
      <c r="J90" s="11">
        <v>3</v>
      </c>
      <c r="K90" s="11">
        <v>74.069999999999993</v>
      </c>
      <c r="L90" s="16">
        <f t="shared" si="9"/>
        <v>123.45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>
        <v>12</v>
      </c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4"/>
    </row>
    <row r="91" spans="2:39" ht="25.05" customHeight="1">
      <c r="B91" s="13"/>
      <c r="C91" s="29"/>
      <c r="D91" s="30"/>
      <c r="E91" s="19" t="s">
        <v>778</v>
      </c>
      <c r="F91" s="8" t="s">
        <v>42</v>
      </c>
      <c r="G91" s="9">
        <v>0.12222222222222222</v>
      </c>
      <c r="H91" s="9">
        <v>0.13055555555555556</v>
      </c>
      <c r="I91" s="10">
        <f t="shared" si="8"/>
        <v>8.3333333333333454E-3</v>
      </c>
      <c r="J91" s="11">
        <v>3</v>
      </c>
      <c r="K91" s="11">
        <v>74.2</v>
      </c>
      <c r="L91" s="16">
        <f t="shared" si="9"/>
        <v>123.6666666666665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>
        <v>12</v>
      </c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4"/>
    </row>
    <row r="92" spans="2:39" ht="25.05" customHeight="1">
      <c r="B92" s="13"/>
      <c r="C92" s="29"/>
      <c r="D92" s="30"/>
      <c r="E92" s="19" t="s">
        <v>779</v>
      </c>
      <c r="F92" s="8" t="s">
        <v>42</v>
      </c>
      <c r="G92" s="9">
        <v>0.12638888888888888</v>
      </c>
      <c r="H92" s="9">
        <v>0.13472222222222222</v>
      </c>
      <c r="I92" s="10">
        <f t="shared" si="8"/>
        <v>8.3333333333333315E-3</v>
      </c>
      <c r="J92" s="11">
        <v>3</v>
      </c>
      <c r="K92" s="11">
        <v>75.599999999999994</v>
      </c>
      <c r="L92" s="16">
        <f t="shared" si="9"/>
        <v>126.00000000000001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>
        <v>12</v>
      </c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4"/>
    </row>
    <row r="93" spans="2:39" ht="25.05" customHeight="1">
      <c r="B93" s="13"/>
      <c r="C93" s="29"/>
      <c r="D93" s="30"/>
      <c r="E93" s="19" t="s">
        <v>780</v>
      </c>
      <c r="F93" s="8" t="s">
        <v>42</v>
      </c>
      <c r="G93" s="9">
        <v>0.1361111111111111</v>
      </c>
      <c r="H93" s="9">
        <v>0.14444444444444443</v>
      </c>
      <c r="I93" s="10">
        <f t="shared" si="8"/>
        <v>8.3333333333333315E-3</v>
      </c>
      <c r="J93" s="11">
        <v>3</v>
      </c>
      <c r="K93" s="11">
        <v>74.86</v>
      </c>
      <c r="L93" s="16">
        <f t="shared" si="9"/>
        <v>124.76666666666669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2</v>
      </c>
      <c r="X93" s="11">
        <v>12</v>
      </c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4"/>
    </row>
    <row r="94" spans="2:39" ht="25.05" customHeight="1">
      <c r="B94" s="13"/>
      <c r="C94" s="29"/>
      <c r="D94" s="30"/>
      <c r="E94" s="19" t="s">
        <v>781</v>
      </c>
      <c r="F94" s="8" t="s">
        <v>42</v>
      </c>
      <c r="G94" s="9">
        <v>0.1388888888888889</v>
      </c>
      <c r="H94" s="9">
        <v>0.14722222222222223</v>
      </c>
      <c r="I94" s="10">
        <f t="shared" si="8"/>
        <v>8.3333333333333315E-3</v>
      </c>
      <c r="J94" s="11">
        <v>3</v>
      </c>
      <c r="K94" s="11">
        <v>71.510000000000005</v>
      </c>
      <c r="L94" s="16">
        <f t="shared" si="9"/>
        <v>119.18333333333338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2</v>
      </c>
      <c r="X94" s="11"/>
      <c r="Y94" s="11">
        <v>12</v>
      </c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4"/>
    </row>
    <row r="95" spans="2:39" ht="25.05" customHeight="1">
      <c r="B95" s="13"/>
      <c r="C95" s="29"/>
      <c r="D95" s="30"/>
      <c r="E95" s="19" t="s">
        <v>782</v>
      </c>
      <c r="F95" s="8" t="s">
        <v>42</v>
      </c>
      <c r="G95" s="9">
        <v>0.14930555555555555</v>
      </c>
      <c r="H95" s="9">
        <v>0.15763888888888888</v>
      </c>
      <c r="I95" s="10">
        <f t="shared" si="8"/>
        <v>8.3333333333333315E-3</v>
      </c>
      <c r="J95" s="11">
        <v>3</v>
      </c>
      <c r="K95" s="11">
        <v>74.55</v>
      </c>
      <c r="L95" s="16">
        <f t="shared" si="9"/>
        <v>124.25000000000001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2</v>
      </c>
      <c r="X95" s="11">
        <v>12</v>
      </c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4"/>
    </row>
    <row r="96" spans="2:39" ht="25.05" customHeight="1">
      <c r="B96" s="13"/>
      <c r="C96" s="29"/>
      <c r="D96" s="30"/>
      <c r="E96" s="19" t="s">
        <v>783</v>
      </c>
      <c r="F96" s="8" t="s">
        <v>42</v>
      </c>
      <c r="G96" s="9">
        <v>0.15277777777777779</v>
      </c>
      <c r="H96" s="9">
        <v>0.16111111111111112</v>
      </c>
      <c r="I96" s="10">
        <f t="shared" si="8"/>
        <v>8.3333333333333315E-3</v>
      </c>
      <c r="J96" s="11">
        <v>3</v>
      </c>
      <c r="K96" s="11">
        <v>73.98</v>
      </c>
      <c r="L96" s="16">
        <f t="shared" si="9"/>
        <v>123.30000000000003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2</v>
      </c>
      <c r="X96" s="11"/>
      <c r="Y96" s="11">
        <v>12</v>
      </c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4"/>
    </row>
    <row r="97" spans="1:39" ht="25.05" customHeight="1">
      <c r="B97" s="13"/>
      <c r="C97" s="29"/>
      <c r="D97" s="30"/>
      <c r="E97" s="19" t="s">
        <v>784</v>
      </c>
      <c r="F97" s="8" t="s">
        <v>42</v>
      </c>
      <c r="G97" s="9">
        <v>0.16111111111111112</v>
      </c>
      <c r="H97" s="9">
        <v>0.16944444444444445</v>
      </c>
      <c r="I97" s="10">
        <f t="shared" si="8"/>
        <v>8.3333333333333315E-3</v>
      </c>
      <c r="J97" s="11">
        <v>3</v>
      </c>
      <c r="K97" s="11">
        <v>79.72</v>
      </c>
      <c r="L97" s="16">
        <f t="shared" si="9"/>
        <v>132.8666666666667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2</v>
      </c>
      <c r="X97" s="11">
        <v>12</v>
      </c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4"/>
    </row>
    <row r="98" spans="1:39" ht="25.05" customHeight="1">
      <c r="B98" s="13"/>
      <c r="C98" s="29"/>
      <c r="D98" s="30"/>
      <c r="E98" s="19"/>
      <c r="F98" s="8" t="s">
        <v>42</v>
      </c>
      <c r="G98" s="9"/>
      <c r="H98" s="9"/>
      <c r="I98" s="10">
        <f t="shared" si="8"/>
        <v>0</v>
      </c>
      <c r="J98" s="11"/>
      <c r="K98" s="11"/>
      <c r="L98" s="16" t="str">
        <f t="shared" si="9"/>
        <v>0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4"/>
    </row>
    <row r="99" spans="1:39" ht="25.05" customHeight="1">
      <c r="B99" s="13"/>
      <c r="C99" s="29"/>
      <c r="D99" s="30" t="s">
        <v>730</v>
      </c>
      <c r="E99" s="19" t="s">
        <v>785</v>
      </c>
      <c r="F99" s="8" t="s">
        <v>42</v>
      </c>
      <c r="G99" s="9">
        <v>0.23125000000000001</v>
      </c>
      <c r="H99" s="9">
        <v>0.24027777777777778</v>
      </c>
      <c r="I99" s="10">
        <f t="shared" si="8"/>
        <v>9.0277777777777735E-3</v>
      </c>
      <c r="J99" s="11">
        <v>4</v>
      </c>
      <c r="K99" s="11">
        <v>58.06</v>
      </c>
      <c r="L99" s="16">
        <f t="shared" si="9"/>
        <v>66.992307692307733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/>
      <c r="X99" s="11"/>
      <c r="Y99" s="11"/>
      <c r="Z99" s="11"/>
      <c r="AA99" s="11">
        <v>13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4"/>
    </row>
    <row r="100" spans="1:39" ht="25.05" customHeight="1">
      <c r="B100" s="13"/>
      <c r="C100" s="29"/>
      <c r="D100" s="30"/>
      <c r="E100" s="19"/>
      <c r="F100" s="8" t="s">
        <v>42</v>
      </c>
      <c r="G100" s="9"/>
      <c r="H100" s="9"/>
      <c r="I100" s="10">
        <f t="shared" si="8"/>
        <v>0</v>
      </c>
      <c r="J100" s="11"/>
      <c r="K100" s="11"/>
      <c r="L100" s="16" t="str">
        <f t="shared" si="9"/>
        <v>0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4"/>
    </row>
    <row r="101" spans="1:39" ht="25.05" customHeight="1">
      <c r="B101" s="13"/>
      <c r="C101" s="29"/>
      <c r="D101" s="30"/>
      <c r="E101" s="19"/>
      <c r="F101" s="8" t="s">
        <v>42</v>
      </c>
      <c r="G101" s="9"/>
      <c r="H101" s="9"/>
      <c r="I101" s="10">
        <v>4</v>
      </c>
      <c r="J101" s="11"/>
      <c r="K101" s="11"/>
      <c r="L101" s="16" t="str">
        <f t="shared" si="9"/>
        <v>0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4"/>
    </row>
    <row r="102" spans="1:39" s="28" customFormat="1" ht="25.5" customHeight="1" thickBot="1">
      <c r="A102" s="2"/>
      <c r="B102" s="32"/>
      <c r="C102" s="33"/>
      <c r="D102" s="34"/>
      <c r="E102" s="35"/>
      <c r="F102" s="35"/>
      <c r="G102" s="36"/>
      <c r="H102" s="36"/>
      <c r="I102" s="37"/>
      <c r="J102" s="38"/>
      <c r="K102" s="38">
        <f t="shared" ref="K102:AD102" si="10">SUM(K17:K101)</f>
        <v>6828.8799999999965</v>
      </c>
      <c r="L102" s="39">
        <f t="shared" si="10"/>
        <v>9084.818114355543</v>
      </c>
      <c r="M102" s="38">
        <f t="shared" si="10"/>
        <v>0</v>
      </c>
      <c r="N102" s="38">
        <f t="shared" si="10"/>
        <v>0</v>
      </c>
      <c r="O102" s="38">
        <f t="shared" si="10"/>
        <v>0</v>
      </c>
      <c r="P102" s="38">
        <f t="shared" si="10"/>
        <v>0</v>
      </c>
      <c r="Q102" s="38">
        <f t="shared" si="10"/>
        <v>0</v>
      </c>
      <c r="R102" s="38">
        <f t="shared" si="10"/>
        <v>0</v>
      </c>
      <c r="S102" s="38">
        <f t="shared" si="10"/>
        <v>0</v>
      </c>
      <c r="T102" s="38">
        <f t="shared" si="10"/>
        <v>0</v>
      </c>
      <c r="U102" s="38">
        <f t="shared" si="10"/>
        <v>0</v>
      </c>
      <c r="V102" s="38">
        <f t="shared" si="10"/>
        <v>60</v>
      </c>
      <c r="W102" s="38">
        <f t="shared" si="10"/>
        <v>46</v>
      </c>
      <c r="X102" s="38">
        <f t="shared" si="10"/>
        <v>108</v>
      </c>
      <c r="Y102" s="38">
        <f t="shared" si="10"/>
        <v>96</v>
      </c>
      <c r="Z102" s="38">
        <f t="shared" si="10"/>
        <v>36</v>
      </c>
      <c r="AA102" s="38">
        <f t="shared" si="10"/>
        <v>49</v>
      </c>
      <c r="AB102" s="38">
        <f t="shared" si="10"/>
        <v>200</v>
      </c>
      <c r="AC102" s="38">
        <f t="shared" si="10"/>
        <v>224</v>
      </c>
      <c r="AD102" s="38">
        <f t="shared" si="10"/>
        <v>266</v>
      </c>
      <c r="AE102" s="38"/>
      <c r="AF102" s="38">
        <f t="shared" ref="AF102:AM102" si="11">SUM(AF17:AF101)</f>
        <v>0</v>
      </c>
      <c r="AG102" s="38">
        <f t="shared" si="11"/>
        <v>83</v>
      </c>
      <c r="AH102" s="38">
        <f t="shared" si="11"/>
        <v>0</v>
      </c>
      <c r="AI102" s="38">
        <f t="shared" si="11"/>
        <v>0</v>
      </c>
      <c r="AJ102" s="38">
        <f t="shared" si="11"/>
        <v>0</v>
      </c>
      <c r="AK102" s="38">
        <f t="shared" si="11"/>
        <v>0</v>
      </c>
      <c r="AL102" s="38">
        <f t="shared" si="11"/>
        <v>0</v>
      </c>
      <c r="AM102" s="38">
        <f t="shared" si="11"/>
        <v>0</v>
      </c>
    </row>
    <row r="103" spans="1:39" ht="38.1" customHeight="1" thickBot="1">
      <c r="B103" s="40" t="s">
        <v>45</v>
      </c>
      <c r="C103" s="41"/>
      <c r="D103" s="41"/>
      <c r="E103" s="41"/>
      <c r="F103" s="41"/>
      <c r="G103" s="41"/>
      <c r="H103" s="41"/>
      <c r="I103" s="41"/>
      <c r="J103" s="41"/>
      <c r="K103" s="42">
        <f>K13+K16+K102</f>
        <v>7266.8599999999969</v>
      </c>
      <c r="L103" s="42">
        <f>L13+L16+L102</f>
        <v>9406.0793863840117</v>
      </c>
      <c r="M103" s="43">
        <f t="shared" ref="M103:AM103" si="12">(M13+M16+M102)/(480-15-30)</f>
        <v>0</v>
      </c>
      <c r="N103" s="43">
        <f t="shared" si="12"/>
        <v>0</v>
      </c>
      <c r="O103" s="43">
        <f t="shared" si="12"/>
        <v>0</v>
      </c>
      <c r="P103" s="43">
        <f t="shared" si="12"/>
        <v>0</v>
      </c>
      <c r="Q103" s="43">
        <f t="shared" si="12"/>
        <v>0</v>
      </c>
      <c r="R103" s="43">
        <f t="shared" si="12"/>
        <v>0</v>
      </c>
      <c r="S103" s="43">
        <f t="shared" si="12"/>
        <v>0</v>
      </c>
      <c r="T103" s="43">
        <f t="shared" si="12"/>
        <v>0</v>
      </c>
      <c r="U103" s="43">
        <f t="shared" si="12"/>
        <v>0</v>
      </c>
      <c r="V103" s="43">
        <f t="shared" si="12"/>
        <v>0.13793103448275862</v>
      </c>
      <c r="W103" s="43">
        <f t="shared" si="12"/>
        <v>0.10574712643678161</v>
      </c>
      <c r="X103" s="43">
        <f t="shared" si="12"/>
        <v>0.24827586206896551</v>
      </c>
      <c r="Y103" s="43">
        <f t="shared" si="12"/>
        <v>0.22068965517241379</v>
      </c>
      <c r="Z103" s="43">
        <f t="shared" si="12"/>
        <v>8.2758620689655171E-2</v>
      </c>
      <c r="AA103" s="43">
        <f t="shared" si="12"/>
        <v>0.11264367816091954</v>
      </c>
      <c r="AB103" s="43">
        <f t="shared" si="12"/>
        <v>0.45977011494252873</v>
      </c>
      <c r="AC103" s="43">
        <f t="shared" si="12"/>
        <v>0.51494252873563218</v>
      </c>
      <c r="AD103" s="43">
        <f t="shared" si="12"/>
        <v>0.61149425287356318</v>
      </c>
      <c r="AE103" s="43">
        <f t="shared" si="12"/>
        <v>0</v>
      </c>
      <c r="AF103" s="43">
        <f t="shared" si="12"/>
        <v>0</v>
      </c>
      <c r="AG103" s="43">
        <f t="shared" si="12"/>
        <v>0.19080459770114944</v>
      </c>
      <c r="AH103" s="43">
        <f t="shared" si="12"/>
        <v>0</v>
      </c>
      <c r="AI103" s="43">
        <f t="shared" si="12"/>
        <v>0</v>
      </c>
      <c r="AJ103" s="43">
        <f t="shared" si="12"/>
        <v>0</v>
      </c>
      <c r="AK103" s="43">
        <f t="shared" si="12"/>
        <v>0</v>
      </c>
      <c r="AL103" s="43">
        <f t="shared" si="12"/>
        <v>0</v>
      </c>
      <c r="AM103" s="43">
        <f t="shared" si="12"/>
        <v>0</v>
      </c>
    </row>
    <row r="104" spans="1:39" ht="25.05" customHeight="1">
      <c r="B104" s="44"/>
      <c r="C104" s="44"/>
      <c r="D104" s="44"/>
      <c r="E104" s="45"/>
      <c r="F104" s="45"/>
      <c r="G104" s="45"/>
      <c r="H104" s="45"/>
      <c r="I104" s="46"/>
      <c r="J104" s="46"/>
      <c r="K104" s="45"/>
      <c r="L104" s="47"/>
      <c r="M104" s="47"/>
      <c r="N104" s="47"/>
      <c r="O104" s="47"/>
      <c r="P104" s="47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  <c r="AK104" s="45"/>
    </row>
    <row r="105" spans="1:39" ht="25.05" customHeight="1">
      <c r="B105" s="44"/>
      <c r="C105" s="44"/>
      <c r="D105" s="44"/>
      <c r="E105" s="45"/>
      <c r="F105" s="45"/>
      <c r="G105" s="45"/>
      <c r="H105" s="45"/>
      <c r="I105" s="48" t="s">
        <v>46</v>
      </c>
      <c r="J105" s="46"/>
      <c r="K105" s="45"/>
      <c r="L105" s="47"/>
      <c r="M105" s="47"/>
      <c r="N105" s="47"/>
      <c r="O105" s="47"/>
      <c r="P105" s="47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  <c r="AK105" s="45"/>
    </row>
    <row r="106" spans="1:39" ht="25.05" customHeight="1">
      <c r="B106" s="44"/>
      <c r="C106" s="44"/>
      <c r="D106" s="44"/>
      <c r="E106" s="45"/>
      <c r="F106" s="45"/>
      <c r="G106" s="45"/>
      <c r="H106" s="45"/>
      <c r="I106" s="49" t="s">
        <v>47</v>
      </c>
      <c r="J106" s="9">
        <v>0</v>
      </c>
      <c r="K106" s="11">
        <v>8</v>
      </c>
      <c r="L106" s="11" t="s">
        <v>48</v>
      </c>
      <c r="M106" s="47"/>
      <c r="N106" s="14">
        <v>2</v>
      </c>
      <c r="O106" s="14"/>
      <c r="P106" s="14"/>
      <c r="Q106" s="50" t="s">
        <v>49</v>
      </c>
      <c r="R106" s="51"/>
      <c r="S106" s="45"/>
      <c r="T106" s="45"/>
      <c r="U106" s="45"/>
      <c r="V106" s="45"/>
      <c r="W106" s="45"/>
      <c r="X106" s="45"/>
      <c r="Y106" s="45"/>
      <c r="Z106" s="45"/>
      <c r="AA106" s="45"/>
      <c r="AC106" s="45"/>
      <c r="AD106" s="45"/>
      <c r="AE106" s="45"/>
      <c r="AF106" s="45"/>
      <c r="AG106" s="45"/>
      <c r="AH106" s="45"/>
      <c r="AI106" s="45"/>
    </row>
    <row r="107" spans="1:39" ht="25.05" customHeight="1">
      <c r="B107" s="44"/>
      <c r="C107" s="44"/>
      <c r="D107" s="44"/>
      <c r="E107" s="45"/>
      <c r="F107" s="45"/>
      <c r="G107" s="45"/>
      <c r="H107" s="45"/>
      <c r="I107" s="49" t="s">
        <v>50</v>
      </c>
      <c r="J107" s="9">
        <v>0</v>
      </c>
      <c r="K107" s="11">
        <v>0</v>
      </c>
      <c r="L107" s="11" t="s">
        <v>48</v>
      </c>
      <c r="M107" s="47"/>
      <c r="N107" s="14">
        <v>0</v>
      </c>
      <c r="O107" s="14"/>
      <c r="P107" s="14"/>
      <c r="Q107" s="50" t="s">
        <v>51</v>
      </c>
      <c r="R107" s="51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</row>
    <row r="108" spans="1:39" ht="25.05" customHeight="1">
      <c r="B108" s="44"/>
      <c r="C108" s="44"/>
      <c r="D108" s="44"/>
      <c r="E108" s="45"/>
      <c r="F108" s="45"/>
      <c r="G108" s="45"/>
      <c r="H108" s="45"/>
      <c r="I108" s="49" t="s">
        <v>52</v>
      </c>
      <c r="J108" s="9">
        <v>0</v>
      </c>
      <c r="K108" s="11">
        <v>17</v>
      </c>
      <c r="L108" s="11" t="s">
        <v>48</v>
      </c>
      <c r="M108" s="47"/>
      <c r="N108" s="14">
        <v>1</v>
      </c>
      <c r="O108" s="14"/>
      <c r="P108" s="14"/>
      <c r="Q108" s="50" t="s">
        <v>53</v>
      </c>
      <c r="R108" s="51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</row>
    <row r="109" spans="1:39" ht="25.05" customHeight="1">
      <c r="B109" s="44"/>
      <c r="C109" s="44"/>
      <c r="D109" s="44"/>
      <c r="E109" s="45"/>
      <c r="F109" s="45"/>
      <c r="G109" s="45"/>
      <c r="H109" s="45"/>
      <c r="I109" s="52" t="s">
        <v>54</v>
      </c>
      <c r="J109" s="53">
        <v>0</v>
      </c>
      <c r="K109" s="11">
        <v>2</v>
      </c>
      <c r="L109" s="54" t="s">
        <v>48</v>
      </c>
      <c r="M109" s="47"/>
      <c r="N109" s="14">
        <v>2</v>
      </c>
      <c r="O109" s="14"/>
      <c r="P109" s="14"/>
      <c r="Q109" s="50" t="s">
        <v>55</v>
      </c>
      <c r="R109" s="51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  <c r="AI109" s="45"/>
    </row>
    <row r="110" spans="1:39" ht="25.05" customHeight="1">
      <c r="B110" s="44"/>
      <c r="C110" s="44"/>
      <c r="D110" s="44"/>
      <c r="E110" s="45"/>
      <c r="F110" s="45"/>
      <c r="G110" s="45"/>
      <c r="H110" s="45"/>
      <c r="I110" s="49" t="s">
        <v>56</v>
      </c>
      <c r="J110" s="9">
        <v>0</v>
      </c>
      <c r="K110" s="11">
        <f>SUM(K106:K109)</f>
        <v>27</v>
      </c>
      <c r="L110" s="11" t="s">
        <v>48</v>
      </c>
      <c r="M110" s="47"/>
      <c r="N110"/>
      <c r="O110"/>
      <c r="P110"/>
      <c r="Q110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</row>
    <row r="111" spans="1:39" ht="25.05" customHeight="1">
      <c r="B111" s="44"/>
      <c r="C111" s="44"/>
      <c r="D111" s="44"/>
      <c r="E111" s="45"/>
      <c r="F111" s="45"/>
      <c r="G111" s="45"/>
      <c r="H111" s="45"/>
      <c r="M111" s="47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</row>
    <row r="112" spans="1:39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M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88C51-28CC-41A3-9885-DE5265013001}">
  <sheetPr>
    <pageSetUpPr fitToPage="1"/>
  </sheetPr>
  <dimension ref="A1:AL132"/>
  <sheetViews>
    <sheetView zoomScale="70" zoomScaleNormal="7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:E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786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32" si="0">H4-G4</f>
        <v>2.0833333333333315E-2</v>
      </c>
      <c r="J4" s="11"/>
      <c r="K4" s="11"/>
      <c r="L4" s="16" t="str">
        <f t="shared" ref="L4:L32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223" t="s">
        <v>787</v>
      </c>
      <c r="E5" s="224"/>
      <c r="F5" s="8" t="s">
        <v>42</v>
      </c>
      <c r="G5" s="9">
        <v>0.29166666666666669</v>
      </c>
      <c r="H5" s="9">
        <v>0.4375</v>
      </c>
      <c r="I5" s="10">
        <f t="shared" si="0"/>
        <v>0.14583333333333331</v>
      </c>
      <c r="J5" s="11"/>
      <c r="K5" s="11"/>
      <c r="L5" s="16" t="str">
        <f t="shared" si="1"/>
        <v>0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216" t="s">
        <v>788</v>
      </c>
      <c r="E6" s="217"/>
      <c r="F6" s="8" t="s">
        <v>42</v>
      </c>
      <c r="G6" s="9">
        <v>0.4375</v>
      </c>
      <c r="H6" s="9">
        <v>0.47916666666666669</v>
      </c>
      <c r="I6" s="10">
        <f t="shared" si="0"/>
        <v>4.1666666666666685E-2</v>
      </c>
      <c r="J6" s="11"/>
      <c r="K6" s="11"/>
      <c r="L6" s="16" t="str">
        <f t="shared" si="1"/>
        <v>0</v>
      </c>
      <c r="M6" s="11"/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216" t="s">
        <v>789</v>
      </c>
      <c r="E7" s="217"/>
      <c r="F7" s="8" t="s">
        <v>42</v>
      </c>
      <c r="G7" s="9">
        <v>0.47916666666666669</v>
      </c>
      <c r="H7" s="9"/>
      <c r="I7" s="10">
        <f t="shared" si="0"/>
        <v>-0.47916666666666669</v>
      </c>
      <c r="J7" s="11"/>
      <c r="K7" s="11"/>
      <c r="L7" s="16" t="str">
        <f t="shared" si="1"/>
        <v>0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/>
      <c r="F8" s="8" t="s">
        <v>42</v>
      </c>
      <c r="G8" s="9"/>
      <c r="H8" s="9"/>
      <c r="I8" s="10">
        <f t="shared" si="0"/>
        <v>0</v>
      </c>
      <c r="J8" s="11"/>
      <c r="K8" s="11"/>
      <c r="L8" s="16" t="str">
        <f t="shared" si="1"/>
        <v>0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/>
      <c r="F9" s="8" t="s">
        <v>42</v>
      </c>
      <c r="G9" s="9"/>
      <c r="H9" s="9"/>
      <c r="I9" s="10">
        <f t="shared" si="0"/>
        <v>0</v>
      </c>
      <c r="J9" s="11"/>
      <c r="K9" s="11"/>
      <c r="L9" s="16" t="str">
        <f t="shared" si="1"/>
        <v>0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/>
      <c r="F10" s="8" t="s">
        <v>42</v>
      </c>
      <c r="G10" s="9"/>
      <c r="H10" s="9"/>
      <c r="I10" s="10">
        <f t="shared" si="0"/>
        <v>0</v>
      </c>
      <c r="J10" s="11"/>
      <c r="K10" s="11"/>
      <c r="L10" s="16" t="str">
        <f t="shared" si="1"/>
        <v>0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/>
      <c r="F11" s="8" t="s">
        <v>42</v>
      </c>
      <c r="G11" s="9"/>
      <c r="H11" s="9"/>
      <c r="I11" s="10">
        <f t="shared" si="0"/>
        <v>0</v>
      </c>
      <c r="J11" s="11"/>
      <c r="K11" s="11"/>
      <c r="L11" s="16" t="str">
        <f t="shared" si="1"/>
        <v>0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/>
      <c r="F12" s="8" t="s">
        <v>42</v>
      </c>
      <c r="G12" s="9"/>
      <c r="H12" s="9"/>
      <c r="I12" s="10">
        <f t="shared" si="0"/>
        <v>0</v>
      </c>
      <c r="J12" s="11"/>
      <c r="K12" s="11"/>
      <c r="L12" s="16" t="str">
        <f t="shared" si="1"/>
        <v>0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/>
      <c r="F13" s="8" t="s">
        <v>42</v>
      </c>
      <c r="G13" s="9"/>
      <c r="H13" s="9"/>
      <c r="I13" s="10">
        <f t="shared" si="0"/>
        <v>0</v>
      </c>
      <c r="J13" s="11"/>
      <c r="K13" s="11"/>
      <c r="L13" s="16" t="str">
        <f t="shared" si="1"/>
        <v>0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/>
      <c r="F14" s="8" t="s">
        <v>42</v>
      </c>
      <c r="G14" s="9"/>
      <c r="H14" s="9"/>
      <c r="I14" s="10">
        <f t="shared" si="0"/>
        <v>0</v>
      </c>
      <c r="J14" s="11"/>
      <c r="K14" s="11"/>
      <c r="L14" s="16" t="str">
        <f t="shared" si="1"/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/>
      <c r="F15" s="8" t="s">
        <v>42</v>
      </c>
      <c r="G15" s="9"/>
      <c r="H15" s="9"/>
      <c r="I15" s="10">
        <f t="shared" si="0"/>
        <v>0</v>
      </c>
      <c r="J15" s="11"/>
      <c r="K15" s="11"/>
      <c r="L15" s="16" t="str">
        <f t="shared" si="1"/>
        <v>0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/>
      <c r="F16" s="8" t="s">
        <v>42</v>
      </c>
      <c r="G16" s="9"/>
      <c r="H16" s="9"/>
      <c r="I16" s="10">
        <f t="shared" si="0"/>
        <v>0</v>
      </c>
      <c r="J16" s="11"/>
      <c r="K16" s="11"/>
      <c r="L16" s="16" t="str">
        <f t="shared" si="1"/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2:38" ht="25.05" customHeight="1">
      <c r="B17" s="13"/>
      <c r="C17" s="14"/>
      <c r="D17" s="6"/>
      <c r="E17" s="15"/>
      <c r="F17" s="8" t="s">
        <v>42</v>
      </c>
      <c r="G17" s="9"/>
      <c r="H17" s="9"/>
      <c r="I17" s="10">
        <f t="shared" si="0"/>
        <v>0</v>
      </c>
      <c r="J17" s="11"/>
      <c r="K17" s="11"/>
      <c r="L17" s="16" t="str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2:38" ht="25.5" customHeight="1">
      <c r="B18" s="13"/>
      <c r="C18" s="14"/>
      <c r="D18" s="6"/>
      <c r="E18" s="15"/>
      <c r="F18" s="8" t="s">
        <v>42</v>
      </c>
      <c r="G18" s="9"/>
      <c r="H18" s="9"/>
      <c r="I18" s="10">
        <f t="shared" si="0"/>
        <v>0</v>
      </c>
      <c r="J18" s="11"/>
      <c r="K18" s="11"/>
      <c r="L18" s="16" t="str">
        <f t="shared" si="1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2:38" ht="25.5" customHeight="1">
      <c r="B19" s="13"/>
      <c r="C19" s="14"/>
      <c r="D19" s="6"/>
      <c r="E19" s="15"/>
      <c r="F19" s="8" t="s">
        <v>42</v>
      </c>
      <c r="G19" s="9"/>
      <c r="H19" s="9"/>
      <c r="I19" s="10">
        <f t="shared" si="0"/>
        <v>0</v>
      </c>
      <c r="J19" s="11"/>
      <c r="K19" s="11"/>
      <c r="L19" s="16" t="str">
        <f t="shared" si="1"/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2:38" ht="25.05" customHeight="1">
      <c r="B20" s="13"/>
      <c r="C20" s="14"/>
      <c r="D20" s="6"/>
      <c r="E20" s="15"/>
      <c r="F20" s="8" t="s">
        <v>42</v>
      </c>
      <c r="G20" s="9"/>
      <c r="H20" s="9"/>
      <c r="I20" s="10">
        <f t="shared" si="0"/>
        <v>0</v>
      </c>
      <c r="J20" s="11"/>
      <c r="K20" s="11"/>
      <c r="L20" s="16" t="str">
        <f t="shared" si="1"/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2:38" ht="25.05" customHeight="1">
      <c r="B21" s="13"/>
      <c r="C21" s="14"/>
      <c r="D21" s="6"/>
      <c r="E21" s="15"/>
      <c r="F21" s="8" t="s">
        <v>42</v>
      </c>
      <c r="G21" s="9"/>
      <c r="H21" s="9"/>
      <c r="I21" s="10">
        <f t="shared" si="0"/>
        <v>0</v>
      </c>
      <c r="J21" s="11"/>
      <c r="K21" s="11"/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2:38" ht="25.05" customHeight="1">
      <c r="B22" s="13"/>
      <c r="C22" s="14"/>
      <c r="D22" s="6"/>
      <c r="E22" s="15"/>
      <c r="F22" s="8" t="s">
        <v>42</v>
      </c>
      <c r="G22" s="9"/>
      <c r="H22" s="9"/>
      <c r="I22" s="10">
        <f t="shared" si="0"/>
        <v>0</v>
      </c>
      <c r="J22" s="11"/>
      <c r="K22" s="11"/>
      <c r="L22" s="16" t="str">
        <f t="shared" si="1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2:38" ht="25.05" customHeight="1">
      <c r="B23" s="13"/>
      <c r="C23" s="14"/>
      <c r="D23" s="6"/>
      <c r="E23" s="15"/>
      <c r="F23" s="8" t="s">
        <v>42</v>
      </c>
      <c r="G23" s="9"/>
      <c r="H23" s="9"/>
      <c r="I23" s="10">
        <f t="shared" si="0"/>
        <v>0</v>
      </c>
      <c r="J23" s="11"/>
      <c r="K23" s="11"/>
      <c r="L23" s="16" t="str">
        <f t="shared" si="1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2:38" ht="25.05" customHeight="1">
      <c r="B24" s="13"/>
      <c r="C24" s="14"/>
      <c r="D24" s="6"/>
      <c r="E24" s="15"/>
      <c r="F24" s="8" t="s">
        <v>42</v>
      </c>
      <c r="G24" s="9"/>
      <c r="H24" s="9"/>
      <c r="I24" s="10">
        <f t="shared" si="0"/>
        <v>0</v>
      </c>
      <c r="J24" s="11"/>
      <c r="K24" s="11"/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2:38" ht="25.05" customHeight="1">
      <c r="B25" s="13"/>
      <c r="C25" s="14"/>
      <c r="D25" s="6"/>
      <c r="E25" s="15"/>
      <c r="F25" s="8" t="s">
        <v>42</v>
      </c>
      <c r="G25" s="9"/>
      <c r="H25" s="9"/>
      <c r="I25" s="10">
        <f t="shared" si="0"/>
        <v>0</v>
      </c>
      <c r="J25" s="11"/>
      <c r="K25" s="11"/>
      <c r="L25" s="16" t="str">
        <f t="shared" si="1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2:38" ht="25.05" customHeight="1">
      <c r="B26" s="13"/>
      <c r="C26" s="14"/>
      <c r="D26" s="6"/>
      <c r="E26" s="15"/>
      <c r="F26" s="8" t="s">
        <v>42</v>
      </c>
      <c r="G26" s="9"/>
      <c r="H26" s="9"/>
      <c r="I26" s="10">
        <f t="shared" si="0"/>
        <v>0</v>
      </c>
      <c r="J26" s="11"/>
      <c r="K26" s="11"/>
      <c r="L26" s="16" t="str">
        <f t="shared" si="1"/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2:38" ht="25.05" customHeight="1">
      <c r="B27" s="13"/>
      <c r="C27" s="14"/>
      <c r="D27" s="6"/>
      <c r="E27" s="15"/>
      <c r="F27" s="8" t="s">
        <v>42</v>
      </c>
      <c r="G27" s="9"/>
      <c r="H27" s="9"/>
      <c r="I27" s="10">
        <f t="shared" si="0"/>
        <v>0</v>
      </c>
      <c r="J27" s="11"/>
      <c r="K27" s="11"/>
      <c r="L27" s="16" t="str">
        <f t="shared" si="1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2:38" ht="25.05" customHeight="1">
      <c r="B28" s="13"/>
      <c r="C28" s="14"/>
      <c r="D28" s="6"/>
      <c r="E28" s="15"/>
      <c r="F28" s="8" t="s">
        <v>42</v>
      </c>
      <c r="G28" s="9"/>
      <c r="H28" s="9"/>
      <c r="I28" s="10">
        <f t="shared" si="0"/>
        <v>0</v>
      </c>
      <c r="J28" s="11"/>
      <c r="K28" s="11"/>
      <c r="L28" s="16" t="str">
        <f t="shared" si="1"/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2:38" ht="25.05" customHeight="1">
      <c r="B29" s="13"/>
      <c r="C29" s="14"/>
      <c r="D29" s="6"/>
      <c r="E29" s="15"/>
      <c r="F29" s="8" t="s">
        <v>42</v>
      </c>
      <c r="G29" s="9"/>
      <c r="H29" s="9"/>
      <c r="I29" s="10">
        <f t="shared" si="0"/>
        <v>0</v>
      </c>
      <c r="J29" s="11"/>
      <c r="K29" s="11"/>
      <c r="L29" s="16" t="str">
        <f t="shared" si="1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2:38" ht="25.05" customHeight="1">
      <c r="B30" s="13"/>
      <c r="C30" s="14"/>
      <c r="D30" s="6"/>
      <c r="E30" s="15"/>
      <c r="F30" s="8" t="s">
        <v>42</v>
      </c>
      <c r="G30" s="9"/>
      <c r="H30" s="9"/>
      <c r="I30" s="10">
        <f t="shared" si="0"/>
        <v>0</v>
      </c>
      <c r="J30" s="11"/>
      <c r="K30" s="11"/>
      <c r="L30" s="16" t="str">
        <f t="shared" si="1"/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2:38" ht="25.05" customHeight="1">
      <c r="B31" s="13"/>
      <c r="C31" s="14"/>
      <c r="D31" s="6"/>
      <c r="E31" s="15"/>
      <c r="F31" s="8" t="s">
        <v>42</v>
      </c>
      <c r="G31" s="9"/>
      <c r="H31" s="9"/>
      <c r="I31" s="10">
        <f t="shared" si="0"/>
        <v>0</v>
      </c>
      <c r="J31" s="11"/>
      <c r="K31" s="11"/>
      <c r="L31" s="16" t="str">
        <f t="shared" si="1"/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2:38" ht="25.05" customHeight="1">
      <c r="B32" s="13"/>
      <c r="C32" s="14"/>
      <c r="D32" s="6"/>
      <c r="E32" s="15"/>
      <c r="F32" s="8" t="s">
        <v>42</v>
      </c>
      <c r="G32" s="9"/>
      <c r="H32" s="9"/>
      <c r="I32" s="10">
        <f t="shared" si="0"/>
        <v>0</v>
      </c>
      <c r="J32" s="11"/>
      <c r="K32" s="11"/>
      <c r="L32" s="16" t="str">
        <f t="shared" si="1"/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s="28" customFormat="1" ht="25.05" customHeight="1">
      <c r="A33" s="2"/>
      <c r="B33" s="21"/>
      <c r="C33" s="22"/>
      <c r="D33" s="23"/>
      <c r="E33" s="24"/>
      <c r="F33" s="24"/>
      <c r="G33" s="25"/>
      <c r="H33" s="25"/>
      <c r="I33" s="26"/>
      <c r="J33" s="27"/>
      <c r="K33" s="27">
        <f t="shared" ref="K33:AI33" si="2">SUM(K4:K25)</f>
        <v>0</v>
      </c>
      <c r="L33" s="39">
        <f t="shared" si="2"/>
        <v>0</v>
      </c>
      <c r="M33" s="27">
        <f t="shared" si="2"/>
        <v>0</v>
      </c>
      <c r="N33" s="27">
        <f t="shared" si="2"/>
        <v>0</v>
      </c>
      <c r="O33" s="27">
        <f t="shared" si="2"/>
        <v>0</v>
      </c>
      <c r="P33" s="27">
        <f t="shared" si="2"/>
        <v>0</v>
      </c>
      <c r="Q33" s="27">
        <f t="shared" si="2"/>
        <v>0</v>
      </c>
      <c r="R33" s="27">
        <f t="shared" si="2"/>
        <v>0</v>
      </c>
      <c r="S33" s="27">
        <f t="shared" si="2"/>
        <v>0</v>
      </c>
      <c r="T33" s="27">
        <f t="shared" si="2"/>
        <v>0</v>
      </c>
      <c r="U33" s="27">
        <f t="shared" si="2"/>
        <v>0</v>
      </c>
      <c r="V33" s="27">
        <f t="shared" si="2"/>
        <v>0</v>
      </c>
      <c r="W33" s="27">
        <f t="shared" si="2"/>
        <v>0</v>
      </c>
      <c r="X33" s="27">
        <f t="shared" si="2"/>
        <v>0</v>
      </c>
      <c r="Y33" s="27">
        <f t="shared" si="2"/>
        <v>0</v>
      </c>
      <c r="Z33" s="27">
        <f t="shared" si="2"/>
        <v>0</v>
      </c>
      <c r="AA33" s="27">
        <f t="shared" si="2"/>
        <v>0</v>
      </c>
      <c r="AB33" s="27">
        <f t="shared" si="2"/>
        <v>0</v>
      </c>
      <c r="AC33" s="27">
        <f t="shared" si="2"/>
        <v>0</v>
      </c>
      <c r="AD33" s="27">
        <f t="shared" si="2"/>
        <v>0</v>
      </c>
      <c r="AE33" s="27">
        <f t="shared" si="2"/>
        <v>0</v>
      </c>
      <c r="AF33" s="27">
        <f t="shared" si="2"/>
        <v>0</v>
      </c>
      <c r="AG33" s="27">
        <f t="shared" si="2"/>
        <v>0</v>
      </c>
      <c r="AH33" s="27">
        <f t="shared" si="2"/>
        <v>0</v>
      </c>
      <c r="AI33" s="27">
        <f t="shared" si="2"/>
        <v>0</v>
      </c>
      <c r="AJ33" s="27">
        <f>SUM(AJ4:AJ25)</f>
        <v>0</v>
      </c>
      <c r="AK33" s="27">
        <f>SUM(AK4:AK25)</f>
        <v>0</v>
      </c>
      <c r="AL33" s="27">
        <f>SUM(AL4:AL25)</f>
        <v>0</v>
      </c>
    </row>
    <row r="34" spans="1:38" ht="25.05" customHeight="1">
      <c r="B34" s="5" t="s">
        <v>786</v>
      </c>
      <c r="C34" s="14" t="s">
        <v>43</v>
      </c>
      <c r="D34" s="6"/>
      <c r="E34" s="7" t="s">
        <v>41</v>
      </c>
      <c r="F34" s="8" t="s">
        <v>42</v>
      </c>
      <c r="G34" s="9"/>
      <c r="H34" s="9"/>
      <c r="I34" s="10">
        <f>H34-G34</f>
        <v>0</v>
      </c>
      <c r="J34" s="11"/>
      <c r="K34" s="11"/>
      <c r="L34" s="16" t="str">
        <f>IFERROR(((K34/(J34*I34)/24)),"0")</f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25.05" customHeight="1">
      <c r="B35" s="13"/>
      <c r="C35" s="14"/>
      <c r="D35" s="18"/>
      <c r="E35" s="6"/>
      <c r="F35" s="14"/>
      <c r="G35" s="9"/>
      <c r="H35" s="9"/>
      <c r="I35" s="10"/>
      <c r="J35" s="11"/>
      <c r="K35" s="11"/>
      <c r="L35" s="16"/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s="28" customFormat="1" ht="25.05" customHeight="1">
      <c r="A36" s="2"/>
      <c r="B36" s="21"/>
      <c r="C36" s="22"/>
      <c r="D36" s="23"/>
      <c r="E36" s="24"/>
      <c r="F36" s="22"/>
      <c r="G36" s="25"/>
      <c r="H36" s="25"/>
      <c r="I36" s="26"/>
      <c r="J36" s="27"/>
      <c r="K36" s="27">
        <f t="shared" ref="K36:AI36" si="3">SUM(K34:K35)</f>
        <v>0</v>
      </c>
      <c r="L36" s="27">
        <f t="shared" si="3"/>
        <v>0</v>
      </c>
      <c r="M36" s="27">
        <f t="shared" si="3"/>
        <v>0</v>
      </c>
      <c r="N36" s="27">
        <f t="shared" si="3"/>
        <v>0</v>
      </c>
      <c r="O36" s="27">
        <f t="shared" si="3"/>
        <v>0</v>
      </c>
      <c r="P36" s="27">
        <f t="shared" si="3"/>
        <v>0</v>
      </c>
      <c r="Q36" s="27">
        <f t="shared" si="3"/>
        <v>0</v>
      </c>
      <c r="R36" s="27">
        <f t="shared" si="3"/>
        <v>0</v>
      </c>
      <c r="S36" s="27">
        <f t="shared" si="3"/>
        <v>0</v>
      </c>
      <c r="T36" s="27">
        <f t="shared" si="3"/>
        <v>0</v>
      </c>
      <c r="U36" s="27">
        <f t="shared" si="3"/>
        <v>0</v>
      </c>
      <c r="V36" s="27">
        <f t="shared" si="3"/>
        <v>0</v>
      </c>
      <c r="W36" s="27">
        <f t="shared" si="3"/>
        <v>0</v>
      </c>
      <c r="X36" s="27">
        <f t="shared" si="3"/>
        <v>0</v>
      </c>
      <c r="Y36" s="27">
        <f t="shared" si="3"/>
        <v>0</v>
      </c>
      <c r="Z36" s="27">
        <f t="shared" si="3"/>
        <v>0</v>
      </c>
      <c r="AA36" s="27">
        <f t="shared" si="3"/>
        <v>0</v>
      </c>
      <c r="AB36" s="27">
        <f t="shared" si="3"/>
        <v>0</v>
      </c>
      <c r="AC36" s="27">
        <f t="shared" si="3"/>
        <v>0</v>
      </c>
      <c r="AD36" s="27">
        <f t="shared" si="3"/>
        <v>0</v>
      </c>
      <c r="AE36" s="27">
        <f t="shared" si="3"/>
        <v>0</v>
      </c>
      <c r="AF36" s="27">
        <f t="shared" si="3"/>
        <v>0</v>
      </c>
      <c r="AG36" s="27">
        <f t="shared" si="3"/>
        <v>0</v>
      </c>
      <c r="AH36" s="27">
        <f t="shared" si="3"/>
        <v>0</v>
      </c>
      <c r="AI36" s="27">
        <f t="shared" si="3"/>
        <v>0</v>
      </c>
      <c r="AJ36" s="27">
        <f>SUM(AJ34:AJ35)</f>
        <v>0</v>
      </c>
      <c r="AK36" s="27">
        <f>SUM(AK34:AK35)</f>
        <v>0</v>
      </c>
      <c r="AL36" s="27">
        <f>SUM(AL34:AL35)</f>
        <v>0</v>
      </c>
    </row>
    <row r="37" spans="1:38" ht="25.05" customHeight="1">
      <c r="B37" s="5" t="s">
        <v>786</v>
      </c>
      <c r="C37" s="29" t="s">
        <v>44</v>
      </c>
      <c r="D37" s="30"/>
      <c r="E37" s="7" t="s">
        <v>41</v>
      </c>
      <c r="F37" s="8" t="s">
        <v>42</v>
      </c>
      <c r="G37" s="9">
        <v>0.29166666666666669</v>
      </c>
      <c r="H37" s="9">
        <v>0.33333333333333331</v>
      </c>
      <c r="I37" s="10">
        <f t="shared" ref="I37:I62" si="4">H37-G37</f>
        <v>4.166666666666663E-2</v>
      </c>
      <c r="J37" s="11"/>
      <c r="K37" s="11"/>
      <c r="L37" s="16" t="str">
        <f t="shared" ref="L37:L62" si="5">IFERROR(((K37/(J37*I37)/24)),"0")</f>
        <v>0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223" t="s">
        <v>787</v>
      </c>
      <c r="E38" s="224"/>
      <c r="F38" s="8" t="s">
        <v>42</v>
      </c>
      <c r="G38" s="9">
        <v>0.33333333333333331</v>
      </c>
      <c r="H38" s="9">
        <v>0.45833333333333331</v>
      </c>
      <c r="I38" s="10">
        <f t="shared" si="4"/>
        <v>0.125</v>
      </c>
      <c r="J38" s="11"/>
      <c r="K38" s="11"/>
      <c r="L38" s="16" t="str">
        <f t="shared" si="5"/>
        <v>0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216" t="s">
        <v>788</v>
      </c>
      <c r="E39" s="217"/>
      <c r="F39" s="8" t="s">
        <v>42</v>
      </c>
      <c r="G39" s="9">
        <v>0.45833333333333331</v>
      </c>
      <c r="H39" s="9">
        <v>0.5</v>
      </c>
      <c r="I39" s="10">
        <f t="shared" si="4"/>
        <v>4.1666666666666685E-2</v>
      </c>
      <c r="J39" s="11"/>
      <c r="K39" s="11"/>
      <c r="L39" s="16" t="str">
        <f t="shared" si="5"/>
        <v>0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216" t="s">
        <v>789</v>
      </c>
      <c r="E40" s="217"/>
      <c r="F40" s="8" t="s">
        <v>42</v>
      </c>
      <c r="G40" s="9">
        <v>0.5</v>
      </c>
      <c r="H40" s="9"/>
      <c r="I40" s="10">
        <f t="shared" si="4"/>
        <v>-0.5</v>
      </c>
      <c r="J40" s="11"/>
      <c r="K40" s="11"/>
      <c r="L40" s="16" t="str">
        <f t="shared" si="5"/>
        <v>0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/>
      <c r="F41" s="8" t="s">
        <v>42</v>
      </c>
      <c r="G41" s="9"/>
      <c r="H41" s="9"/>
      <c r="I41" s="10">
        <f t="shared" si="4"/>
        <v>0</v>
      </c>
      <c r="J41" s="11"/>
      <c r="K41" s="11"/>
      <c r="L41" s="16" t="str">
        <f t="shared" si="5"/>
        <v>0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/>
      <c r="F42" s="8" t="s">
        <v>42</v>
      </c>
      <c r="G42" s="9"/>
      <c r="H42" s="9"/>
      <c r="I42" s="10">
        <f t="shared" si="4"/>
        <v>0</v>
      </c>
      <c r="J42" s="11"/>
      <c r="K42" s="11"/>
      <c r="L42" s="16" t="str">
        <f t="shared" si="5"/>
        <v>0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/>
      <c r="F43" s="8" t="s">
        <v>42</v>
      </c>
      <c r="G43" s="9"/>
      <c r="H43" s="9"/>
      <c r="I43" s="10">
        <f t="shared" si="4"/>
        <v>0</v>
      </c>
      <c r="J43" s="11"/>
      <c r="K43" s="11"/>
      <c r="L43" s="16" t="str">
        <f t="shared" si="5"/>
        <v>0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/>
      <c r="F44" s="8" t="s">
        <v>42</v>
      </c>
      <c r="G44" s="9"/>
      <c r="H44" s="9"/>
      <c r="I44" s="10">
        <f t="shared" si="4"/>
        <v>0</v>
      </c>
      <c r="J44" s="11"/>
      <c r="K44" s="11"/>
      <c r="L44" s="16" t="str">
        <f t="shared" si="5"/>
        <v>0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/>
      <c r="F45" s="8" t="s">
        <v>42</v>
      </c>
      <c r="G45" s="9"/>
      <c r="H45" s="9"/>
      <c r="I45" s="10">
        <f t="shared" si="4"/>
        <v>0</v>
      </c>
      <c r="J45" s="11"/>
      <c r="K45" s="11"/>
      <c r="L45" s="16" t="str">
        <f t="shared" si="5"/>
        <v>0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/>
      <c r="F46" s="8" t="s">
        <v>42</v>
      </c>
      <c r="G46" s="9"/>
      <c r="H46" s="9"/>
      <c r="I46" s="10">
        <f t="shared" si="4"/>
        <v>0</v>
      </c>
      <c r="J46" s="11"/>
      <c r="K46" s="11"/>
      <c r="L46" s="16" t="str">
        <f t="shared" si="5"/>
        <v>0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/>
      <c r="F47" s="8" t="s">
        <v>42</v>
      </c>
      <c r="G47" s="9"/>
      <c r="H47" s="9"/>
      <c r="I47" s="10">
        <f t="shared" si="4"/>
        <v>0</v>
      </c>
      <c r="J47" s="11"/>
      <c r="K47" s="11"/>
      <c r="L47" s="16" t="str">
        <f t="shared" si="5"/>
        <v>0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/>
      <c r="F48" s="8" t="s">
        <v>42</v>
      </c>
      <c r="G48" s="9"/>
      <c r="H48" s="9"/>
      <c r="I48" s="10">
        <f t="shared" si="4"/>
        <v>0</v>
      </c>
      <c r="J48" s="11"/>
      <c r="K48" s="11"/>
      <c r="L48" s="16" t="str">
        <f t="shared" si="5"/>
        <v>0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/>
      <c r="F49" s="8" t="s">
        <v>42</v>
      </c>
      <c r="G49" s="9"/>
      <c r="H49" s="9"/>
      <c r="I49" s="10">
        <f t="shared" si="4"/>
        <v>0</v>
      </c>
      <c r="J49" s="11"/>
      <c r="K49" s="11"/>
      <c r="L49" s="16" t="str">
        <f t="shared" si="5"/>
        <v>0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/>
      <c r="F50" s="8" t="s">
        <v>42</v>
      </c>
      <c r="G50" s="9"/>
      <c r="H50" s="9"/>
      <c r="I50" s="10">
        <f t="shared" si="4"/>
        <v>0</v>
      </c>
      <c r="J50" s="11"/>
      <c r="K50" s="11"/>
      <c r="L50" s="16" t="str">
        <f t="shared" si="5"/>
        <v>0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/>
      <c r="F51" s="8" t="s">
        <v>42</v>
      </c>
      <c r="G51" s="9"/>
      <c r="H51" s="9"/>
      <c r="I51" s="10">
        <f t="shared" si="4"/>
        <v>0</v>
      </c>
      <c r="J51" s="11"/>
      <c r="K51" s="11"/>
      <c r="L51" s="16" t="str">
        <f t="shared" si="5"/>
        <v>0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/>
      <c r="F52" s="8" t="s">
        <v>42</v>
      </c>
      <c r="G52" s="9"/>
      <c r="H52" s="9"/>
      <c r="I52" s="10">
        <f t="shared" si="4"/>
        <v>0</v>
      </c>
      <c r="J52" s="11"/>
      <c r="K52" s="11"/>
      <c r="L52" s="16" t="str">
        <f t="shared" si="5"/>
        <v>0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/>
      <c r="F53" s="8" t="s">
        <v>42</v>
      </c>
      <c r="G53" s="9"/>
      <c r="H53" s="9"/>
      <c r="I53" s="10">
        <f t="shared" si="4"/>
        <v>0</v>
      </c>
      <c r="J53" s="11"/>
      <c r="K53" s="11"/>
      <c r="L53" s="16" t="str">
        <f t="shared" si="5"/>
        <v>0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/>
      <c r="F54" s="8" t="s">
        <v>42</v>
      </c>
      <c r="G54" s="9"/>
      <c r="H54" s="9"/>
      <c r="I54" s="10">
        <f t="shared" si="4"/>
        <v>0</v>
      </c>
      <c r="J54" s="11"/>
      <c r="K54" s="11"/>
      <c r="L54" s="16" t="str">
        <f t="shared" si="5"/>
        <v>0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/>
      <c r="F55" s="8" t="s">
        <v>42</v>
      </c>
      <c r="G55" s="9"/>
      <c r="H55" s="9"/>
      <c r="I55" s="10">
        <f t="shared" si="4"/>
        <v>0</v>
      </c>
      <c r="J55" s="11"/>
      <c r="K55" s="11"/>
      <c r="L55" s="16" t="str">
        <f t="shared" si="5"/>
        <v>0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/>
      <c r="F56" s="8" t="s">
        <v>42</v>
      </c>
      <c r="G56" s="9"/>
      <c r="H56" s="9"/>
      <c r="I56" s="10">
        <f t="shared" si="4"/>
        <v>0</v>
      </c>
      <c r="J56" s="11"/>
      <c r="K56" s="11"/>
      <c r="L56" s="16" t="str">
        <f t="shared" si="5"/>
        <v>0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/>
      <c r="F57" s="8" t="s">
        <v>42</v>
      </c>
      <c r="G57" s="9"/>
      <c r="H57" s="9"/>
      <c r="I57" s="10">
        <f t="shared" si="4"/>
        <v>0</v>
      </c>
      <c r="J57" s="11"/>
      <c r="K57" s="11"/>
      <c r="L57" s="16" t="str">
        <f t="shared" si="5"/>
        <v>0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/>
      <c r="F58" s="8" t="s">
        <v>42</v>
      </c>
      <c r="G58" s="9"/>
      <c r="H58" s="9"/>
      <c r="I58" s="10">
        <f t="shared" si="4"/>
        <v>0</v>
      </c>
      <c r="J58" s="11"/>
      <c r="K58" s="11"/>
      <c r="L58" s="16" t="str">
        <f t="shared" si="5"/>
        <v>0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/>
      <c r="F59" s="8" t="s">
        <v>42</v>
      </c>
      <c r="G59" s="9"/>
      <c r="H59" s="9"/>
      <c r="I59" s="10">
        <f t="shared" si="4"/>
        <v>0</v>
      </c>
      <c r="J59" s="11"/>
      <c r="K59" s="11"/>
      <c r="L59" s="16" t="str">
        <f t="shared" si="5"/>
        <v>0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/>
      <c r="F60" s="8" t="s">
        <v>42</v>
      </c>
      <c r="G60" s="9"/>
      <c r="H60" s="9"/>
      <c r="I60" s="10">
        <f t="shared" si="4"/>
        <v>0</v>
      </c>
      <c r="J60" s="11"/>
      <c r="K60" s="11"/>
      <c r="L60" s="16" t="str">
        <f t="shared" si="5"/>
        <v>0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/>
      <c r="F61" s="8" t="s">
        <v>42</v>
      </c>
      <c r="G61" s="9"/>
      <c r="H61" s="9"/>
      <c r="I61" s="10">
        <f t="shared" si="4"/>
        <v>0</v>
      </c>
      <c r="J61" s="11"/>
      <c r="K61" s="11"/>
      <c r="L61" s="16" t="str">
        <f t="shared" si="5"/>
        <v>0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/>
      <c r="F62" s="8" t="s">
        <v>42</v>
      </c>
      <c r="G62" s="9"/>
      <c r="H62" s="9"/>
      <c r="I62" s="10">
        <f t="shared" si="4"/>
        <v>0</v>
      </c>
      <c r="J62" s="11"/>
      <c r="K62" s="11"/>
      <c r="L62" s="16" t="str">
        <f t="shared" si="5"/>
        <v>0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/>
      <c r="F63" s="14"/>
      <c r="G63" s="9"/>
      <c r="H63" s="9"/>
      <c r="I63" s="10"/>
      <c r="J63" s="11"/>
      <c r="K63" s="11"/>
      <c r="L63" s="16"/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/>
      <c r="F64" s="8" t="s">
        <v>42</v>
      </c>
      <c r="G64" s="9"/>
      <c r="H64" s="9"/>
      <c r="I64" s="10">
        <f t="shared" ref="I64:I75" si="6">H64-G64</f>
        <v>0</v>
      </c>
      <c r="J64" s="11"/>
      <c r="K64" s="11"/>
      <c r="L64" s="16" t="str">
        <f t="shared" ref="L64:L75" si="7">IFERROR(((K64/(J64*I64)/24)),"0")</f>
        <v>0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/>
      <c r="F65" s="8" t="s">
        <v>42</v>
      </c>
      <c r="G65" s="9"/>
      <c r="H65" s="9"/>
      <c r="I65" s="10">
        <f t="shared" si="6"/>
        <v>0</v>
      </c>
      <c r="J65" s="11"/>
      <c r="K65" s="11"/>
      <c r="L65" s="16" t="str">
        <f t="shared" si="7"/>
        <v>0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/>
      <c r="F66" s="8" t="s">
        <v>42</v>
      </c>
      <c r="G66" s="9"/>
      <c r="H66" s="9"/>
      <c r="I66" s="10">
        <f t="shared" si="6"/>
        <v>0</v>
      </c>
      <c r="J66" s="11"/>
      <c r="K66" s="11"/>
      <c r="L66" s="16" t="str">
        <f t="shared" si="7"/>
        <v>0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/>
      <c r="F67" s="8" t="s">
        <v>42</v>
      </c>
      <c r="G67" s="9"/>
      <c r="H67" s="9"/>
      <c r="I67" s="10">
        <f t="shared" si="6"/>
        <v>0</v>
      </c>
      <c r="J67" s="11"/>
      <c r="K67" s="11"/>
      <c r="L67" s="16" t="str">
        <f t="shared" si="7"/>
        <v>0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/>
      <c r="F68" s="8" t="s">
        <v>42</v>
      </c>
      <c r="G68" s="9"/>
      <c r="H68" s="9"/>
      <c r="I68" s="10">
        <f t="shared" si="6"/>
        <v>0</v>
      </c>
      <c r="J68" s="11"/>
      <c r="K68" s="11"/>
      <c r="L68" s="16" t="str">
        <f t="shared" si="7"/>
        <v>0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/>
      <c r="F69" s="8" t="s">
        <v>42</v>
      </c>
      <c r="G69" s="9"/>
      <c r="H69" s="9"/>
      <c r="I69" s="10">
        <f t="shared" si="6"/>
        <v>0</v>
      </c>
      <c r="J69" s="11"/>
      <c r="K69" s="11"/>
      <c r="L69" s="16" t="str">
        <f t="shared" si="7"/>
        <v>0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/>
      <c r="F70" s="8" t="s">
        <v>42</v>
      </c>
      <c r="G70" s="9"/>
      <c r="H70" s="9"/>
      <c r="I70" s="10">
        <f t="shared" si="6"/>
        <v>0</v>
      </c>
      <c r="J70" s="11"/>
      <c r="K70" s="11"/>
      <c r="L70" s="16" t="str">
        <f t="shared" si="7"/>
        <v>0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/>
      <c r="F71" s="8" t="s">
        <v>42</v>
      </c>
      <c r="G71" s="9"/>
      <c r="H71" s="9"/>
      <c r="I71" s="10">
        <f t="shared" si="6"/>
        <v>0</v>
      </c>
      <c r="J71" s="11"/>
      <c r="K71" s="11"/>
      <c r="L71" s="16" t="str">
        <f t="shared" si="7"/>
        <v>0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/>
      <c r="F72" s="8" t="s">
        <v>42</v>
      </c>
      <c r="G72" s="9"/>
      <c r="H72" s="9"/>
      <c r="I72" s="10">
        <f t="shared" si="6"/>
        <v>0</v>
      </c>
      <c r="J72" s="11"/>
      <c r="K72" s="11"/>
      <c r="L72" s="16" t="str">
        <f t="shared" si="7"/>
        <v>0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/>
      <c r="F73" s="8" t="s">
        <v>42</v>
      </c>
      <c r="G73" s="9"/>
      <c r="H73" s="9"/>
      <c r="I73" s="10">
        <f t="shared" si="6"/>
        <v>0</v>
      </c>
      <c r="J73" s="11"/>
      <c r="K73" s="11"/>
      <c r="L73" s="16" t="str">
        <f t="shared" si="7"/>
        <v>0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/>
      <c r="F74" s="8" t="s">
        <v>42</v>
      </c>
      <c r="G74" s="9"/>
      <c r="H74" s="9"/>
      <c r="I74" s="10">
        <f t="shared" si="6"/>
        <v>0</v>
      </c>
      <c r="J74" s="11"/>
      <c r="K74" s="11"/>
      <c r="L74" s="16" t="str">
        <f t="shared" si="7"/>
        <v>0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/>
      <c r="F75" s="8" t="s">
        <v>42</v>
      </c>
      <c r="G75" s="9"/>
      <c r="H75" s="9"/>
      <c r="I75" s="10">
        <f t="shared" si="6"/>
        <v>0</v>
      </c>
      <c r="J75" s="11"/>
      <c r="K75" s="11"/>
      <c r="L75" s="16" t="str">
        <f t="shared" si="7"/>
        <v>0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/>
      <c r="F76" s="14"/>
      <c r="G76" s="9"/>
      <c r="H76" s="9"/>
      <c r="I76" s="10"/>
      <c r="J76" s="11"/>
      <c r="K76" s="11"/>
      <c r="L76" s="16"/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/>
      <c r="F77" s="8" t="s">
        <v>42</v>
      </c>
      <c r="G77" s="9"/>
      <c r="H77" s="9"/>
      <c r="I77" s="10">
        <f t="shared" ref="I77:I89" si="8">H77-G77</f>
        <v>0</v>
      </c>
      <c r="J77" s="11"/>
      <c r="K77" s="11"/>
      <c r="L77" s="16" t="str">
        <f t="shared" ref="L77:L89" si="9">IFERROR(((K77/(J77*I77)/24)),"0")</f>
        <v>0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/>
      <c r="F78" s="8" t="s">
        <v>42</v>
      </c>
      <c r="G78" s="9"/>
      <c r="H78" s="9"/>
      <c r="I78" s="10">
        <f t="shared" si="8"/>
        <v>0</v>
      </c>
      <c r="J78" s="11"/>
      <c r="K78" s="11"/>
      <c r="L78" s="16" t="str">
        <f t="shared" si="9"/>
        <v>0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/>
      <c r="F79" s="8" t="s">
        <v>42</v>
      </c>
      <c r="G79" s="9"/>
      <c r="H79" s="9"/>
      <c r="I79" s="10">
        <f t="shared" si="8"/>
        <v>0</v>
      </c>
      <c r="J79" s="11"/>
      <c r="K79" s="11"/>
      <c r="L79" s="16" t="str">
        <f t="shared" si="9"/>
        <v>0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/>
      <c r="F80" s="8" t="s">
        <v>42</v>
      </c>
      <c r="G80" s="9"/>
      <c r="H80" s="9"/>
      <c r="I80" s="10">
        <f t="shared" si="8"/>
        <v>0</v>
      </c>
      <c r="J80" s="11"/>
      <c r="K80" s="11"/>
      <c r="L80" s="16" t="str">
        <f t="shared" si="9"/>
        <v>0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/>
      <c r="F81" s="8" t="s">
        <v>42</v>
      </c>
      <c r="G81" s="9"/>
      <c r="H81" s="9"/>
      <c r="I81" s="10">
        <f t="shared" si="8"/>
        <v>0</v>
      </c>
      <c r="J81" s="11"/>
      <c r="K81" s="11"/>
      <c r="L81" s="16" t="str">
        <f t="shared" si="9"/>
        <v>0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/>
      <c r="F82" s="8" t="s">
        <v>42</v>
      </c>
      <c r="G82" s="9"/>
      <c r="H82" s="9"/>
      <c r="I82" s="10">
        <f t="shared" si="8"/>
        <v>0</v>
      </c>
      <c r="J82" s="11"/>
      <c r="K82" s="11"/>
      <c r="L82" s="16" t="str">
        <f t="shared" si="9"/>
        <v>0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/>
      <c r="F83" s="8" t="s">
        <v>42</v>
      </c>
      <c r="G83" s="9"/>
      <c r="H83" s="9"/>
      <c r="I83" s="10">
        <f t="shared" si="8"/>
        <v>0</v>
      </c>
      <c r="J83" s="11"/>
      <c r="K83" s="11"/>
      <c r="L83" s="16" t="str">
        <f t="shared" si="9"/>
        <v>0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/>
      <c r="F84" s="8" t="s">
        <v>42</v>
      </c>
      <c r="G84" s="9"/>
      <c r="H84" s="9"/>
      <c r="I84" s="10">
        <f t="shared" si="8"/>
        <v>0</v>
      </c>
      <c r="J84" s="11"/>
      <c r="K84" s="11"/>
      <c r="L84" s="16" t="str">
        <f t="shared" si="9"/>
        <v>0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/>
      <c r="F85" s="8" t="s">
        <v>42</v>
      </c>
      <c r="G85" s="9"/>
      <c r="H85" s="9"/>
      <c r="I85" s="10">
        <f t="shared" si="8"/>
        <v>0</v>
      </c>
      <c r="J85" s="11"/>
      <c r="K85" s="11"/>
      <c r="L85" s="16" t="str">
        <f t="shared" si="9"/>
        <v>0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/>
      <c r="F86" s="8" t="s">
        <v>42</v>
      </c>
      <c r="G86" s="9"/>
      <c r="H86" s="9"/>
      <c r="I86" s="10">
        <f t="shared" si="8"/>
        <v>0</v>
      </c>
      <c r="J86" s="11"/>
      <c r="K86" s="11"/>
      <c r="L86" s="16" t="str">
        <f t="shared" si="9"/>
        <v>0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/>
      <c r="F87" s="8" t="s">
        <v>42</v>
      </c>
      <c r="G87" s="9"/>
      <c r="H87" s="9"/>
      <c r="I87" s="10">
        <f t="shared" si="8"/>
        <v>0</v>
      </c>
      <c r="J87" s="11"/>
      <c r="K87" s="11"/>
      <c r="L87" s="16" t="str">
        <f t="shared" si="9"/>
        <v>0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/>
      <c r="F88" s="8" t="s">
        <v>42</v>
      </c>
      <c r="G88" s="9"/>
      <c r="H88" s="9"/>
      <c r="I88" s="10">
        <f t="shared" si="8"/>
        <v>0</v>
      </c>
      <c r="J88" s="11"/>
      <c r="K88" s="11"/>
      <c r="L88" s="16" t="str">
        <f t="shared" si="9"/>
        <v>0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/>
      <c r="F89" s="8" t="s">
        <v>42</v>
      </c>
      <c r="G89" s="9"/>
      <c r="H89" s="9"/>
      <c r="I89" s="10">
        <f t="shared" si="8"/>
        <v>0</v>
      </c>
      <c r="J89" s="11"/>
      <c r="K89" s="11"/>
      <c r="L89" s="16" t="str">
        <f t="shared" si="9"/>
        <v>0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/>
      <c r="F90" s="8" t="s">
        <v>42</v>
      </c>
      <c r="G90" s="9"/>
      <c r="H90" s="9"/>
      <c r="I90" s="10"/>
      <c r="J90" s="11"/>
      <c r="K90" s="11"/>
      <c r="L90" s="16"/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/>
      <c r="F91" s="8" t="s">
        <v>42</v>
      </c>
      <c r="G91" s="9"/>
      <c r="H91" s="9"/>
      <c r="I91" s="10">
        <f t="shared" ref="I91:I99" si="10">H91-G91</f>
        <v>0</v>
      </c>
      <c r="J91" s="11"/>
      <c r="K91" s="11"/>
      <c r="L91" s="16" t="str">
        <f t="shared" ref="L91:L99" si="11">IFERROR(((K91/(J91*I91)/24)),"0")</f>
        <v>0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/>
      <c r="F92" s="8" t="s">
        <v>42</v>
      </c>
      <c r="G92" s="9"/>
      <c r="H92" s="9"/>
      <c r="I92" s="10">
        <f t="shared" si="10"/>
        <v>0</v>
      </c>
      <c r="J92" s="11"/>
      <c r="K92" s="11"/>
      <c r="L92" s="16" t="str">
        <f t="shared" si="11"/>
        <v>0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/>
      <c r="F93" s="8" t="s">
        <v>42</v>
      </c>
      <c r="G93" s="9"/>
      <c r="H93" s="9"/>
      <c r="I93" s="10">
        <f t="shared" si="10"/>
        <v>0</v>
      </c>
      <c r="J93" s="11"/>
      <c r="K93" s="11"/>
      <c r="L93" s="16" t="str">
        <f t="shared" si="11"/>
        <v>0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/>
      <c r="F94" s="8" t="s">
        <v>42</v>
      </c>
      <c r="G94" s="9"/>
      <c r="H94" s="9"/>
      <c r="I94" s="10">
        <f t="shared" si="10"/>
        <v>0</v>
      </c>
      <c r="J94" s="11"/>
      <c r="K94" s="11"/>
      <c r="L94" s="16" t="str">
        <f t="shared" si="11"/>
        <v>0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/>
      <c r="F95" s="8" t="s">
        <v>42</v>
      </c>
      <c r="G95" s="9"/>
      <c r="H95" s="9"/>
      <c r="I95" s="10">
        <f t="shared" si="10"/>
        <v>0</v>
      </c>
      <c r="J95" s="11"/>
      <c r="K95" s="11"/>
      <c r="L95" s="16" t="str">
        <f t="shared" si="11"/>
        <v>0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/>
      <c r="F96" s="8" t="s">
        <v>42</v>
      </c>
      <c r="G96" s="9"/>
      <c r="H96" s="9"/>
      <c r="I96" s="10">
        <f t="shared" si="10"/>
        <v>0</v>
      </c>
      <c r="J96" s="11"/>
      <c r="K96" s="11"/>
      <c r="L96" s="16" t="str">
        <f t="shared" si="11"/>
        <v>0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/>
      <c r="F97" s="8" t="s">
        <v>42</v>
      </c>
      <c r="G97" s="9"/>
      <c r="H97" s="9"/>
      <c r="I97" s="10">
        <f t="shared" si="10"/>
        <v>0</v>
      </c>
      <c r="J97" s="11"/>
      <c r="K97" s="11"/>
      <c r="L97" s="16" t="str">
        <f t="shared" si="11"/>
        <v>0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/>
      <c r="F98" s="8" t="s">
        <v>42</v>
      </c>
      <c r="G98" s="9"/>
      <c r="H98" s="9"/>
      <c r="I98" s="10">
        <f t="shared" si="10"/>
        <v>0</v>
      </c>
      <c r="J98" s="11"/>
      <c r="K98" s="11"/>
      <c r="L98" s="16" t="str">
        <f t="shared" si="11"/>
        <v>0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/>
      <c r="F99" s="8" t="s">
        <v>42</v>
      </c>
      <c r="G99" s="9"/>
      <c r="H99" s="9"/>
      <c r="I99" s="10">
        <f t="shared" si="10"/>
        <v>0</v>
      </c>
      <c r="J99" s="11"/>
      <c r="K99" s="11"/>
      <c r="L99" s="16" t="str">
        <f t="shared" si="11"/>
        <v>0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/>
      <c r="F100" s="8" t="s">
        <v>42</v>
      </c>
      <c r="G100" s="9"/>
      <c r="H100" s="9"/>
      <c r="I100" s="10"/>
      <c r="J100" s="11"/>
      <c r="K100" s="11"/>
      <c r="L100" s="16"/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/>
      <c r="F101" s="8" t="s">
        <v>42</v>
      </c>
      <c r="G101" s="9"/>
      <c r="H101" s="9"/>
      <c r="I101" s="10">
        <f t="shared" ref="I101:I114" si="12">H101-G101</f>
        <v>0</v>
      </c>
      <c r="J101" s="11"/>
      <c r="K101" s="11"/>
      <c r="L101" s="16" t="str">
        <f t="shared" ref="L101:L114" si="13">IFERROR(((K101/(J101*I101)/24)),"0")</f>
        <v>0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/>
      <c r="F102" s="8" t="s">
        <v>42</v>
      </c>
      <c r="G102" s="9"/>
      <c r="H102" s="9"/>
      <c r="I102" s="10">
        <f t="shared" si="12"/>
        <v>0</v>
      </c>
      <c r="J102" s="11"/>
      <c r="K102" s="11"/>
      <c r="L102" s="16" t="str">
        <f t="shared" si="13"/>
        <v>0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/>
      <c r="F103" s="8" t="s">
        <v>42</v>
      </c>
      <c r="G103" s="9"/>
      <c r="H103" s="9"/>
      <c r="I103" s="10">
        <f t="shared" si="12"/>
        <v>0</v>
      </c>
      <c r="J103" s="11"/>
      <c r="K103" s="11"/>
      <c r="L103" s="16" t="str">
        <f t="shared" si="13"/>
        <v>0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/>
      <c r="F104" s="8" t="s">
        <v>42</v>
      </c>
      <c r="G104" s="9"/>
      <c r="H104" s="9"/>
      <c r="I104" s="10">
        <f t="shared" si="12"/>
        <v>0</v>
      </c>
      <c r="J104" s="11"/>
      <c r="K104" s="11"/>
      <c r="L104" s="16" t="str">
        <f t="shared" si="13"/>
        <v>0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/>
      <c r="F105" s="8" t="s">
        <v>42</v>
      </c>
      <c r="G105" s="9"/>
      <c r="H105" s="9"/>
      <c r="I105" s="10">
        <f t="shared" si="12"/>
        <v>0</v>
      </c>
      <c r="J105" s="11"/>
      <c r="K105" s="11"/>
      <c r="L105" s="16" t="str">
        <f t="shared" si="13"/>
        <v>0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/>
      <c r="F106" s="8" t="s">
        <v>42</v>
      </c>
      <c r="G106" s="9"/>
      <c r="H106" s="9"/>
      <c r="I106" s="10">
        <f t="shared" si="12"/>
        <v>0</v>
      </c>
      <c r="J106" s="11"/>
      <c r="K106" s="11"/>
      <c r="L106" s="16" t="str">
        <f t="shared" si="13"/>
        <v>0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/>
      <c r="F107" s="8" t="s">
        <v>42</v>
      </c>
      <c r="G107" s="9"/>
      <c r="H107" s="9"/>
      <c r="I107" s="10">
        <f t="shared" si="12"/>
        <v>0</v>
      </c>
      <c r="J107" s="11"/>
      <c r="K107" s="11"/>
      <c r="L107" s="16" t="str">
        <f t="shared" si="13"/>
        <v>0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/>
      <c r="F108" s="8" t="s">
        <v>42</v>
      </c>
      <c r="G108" s="9"/>
      <c r="H108" s="9"/>
      <c r="I108" s="10">
        <f t="shared" si="12"/>
        <v>0</v>
      </c>
      <c r="J108" s="11"/>
      <c r="K108" s="11"/>
      <c r="L108" s="16" t="str">
        <f t="shared" si="13"/>
        <v>0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/>
      <c r="F109" s="8" t="s">
        <v>42</v>
      </c>
      <c r="G109" s="9"/>
      <c r="H109" s="9"/>
      <c r="I109" s="10">
        <f t="shared" si="12"/>
        <v>0</v>
      </c>
      <c r="J109" s="11"/>
      <c r="K109" s="11"/>
      <c r="L109" s="16" t="str">
        <f t="shared" si="13"/>
        <v>0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/>
      <c r="F110" s="8" t="s">
        <v>42</v>
      </c>
      <c r="G110" s="9"/>
      <c r="H110" s="9"/>
      <c r="I110" s="10">
        <f t="shared" si="12"/>
        <v>0</v>
      </c>
      <c r="J110" s="11"/>
      <c r="K110" s="11"/>
      <c r="L110" s="16" t="str">
        <f t="shared" si="13"/>
        <v>0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/>
      <c r="F111" s="8" t="s">
        <v>42</v>
      </c>
      <c r="G111" s="9"/>
      <c r="H111" s="9"/>
      <c r="I111" s="10">
        <f t="shared" si="12"/>
        <v>0</v>
      </c>
      <c r="J111" s="11"/>
      <c r="K111" s="11"/>
      <c r="L111" s="16" t="str">
        <f t="shared" si="13"/>
        <v>0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/>
      <c r="F112" s="8" t="s">
        <v>42</v>
      </c>
      <c r="G112" s="9"/>
      <c r="H112" s="9"/>
      <c r="I112" s="10">
        <f t="shared" si="12"/>
        <v>0</v>
      </c>
      <c r="J112" s="11"/>
      <c r="K112" s="11"/>
      <c r="L112" s="16" t="str">
        <f t="shared" si="13"/>
        <v>0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1:38" ht="25.05" customHeight="1">
      <c r="B113" s="13"/>
      <c r="C113" s="29"/>
      <c r="D113" s="30"/>
      <c r="E113" s="19"/>
      <c r="F113" s="8" t="s">
        <v>42</v>
      </c>
      <c r="G113" s="9"/>
      <c r="H113" s="9"/>
      <c r="I113" s="10">
        <f t="shared" si="12"/>
        <v>0</v>
      </c>
      <c r="J113" s="11"/>
      <c r="K113" s="11"/>
      <c r="L113" s="16" t="str">
        <f t="shared" si="13"/>
        <v>0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1:38" ht="25.05" customHeight="1">
      <c r="B114" s="13"/>
      <c r="C114" s="29"/>
      <c r="D114" s="30"/>
      <c r="E114" s="19"/>
      <c r="F114" s="8" t="s">
        <v>42</v>
      </c>
      <c r="G114" s="9"/>
      <c r="H114" s="9"/>
      <c r="I114" s="10">
        <f t="shared" si="12"/>
        <v>0</v>
      </c>
      <c r="J114" s="11"/>
      <c r="K114" s="11"/>
      <c r="L114" s="16" t="str">
        <f t="shared" si="13"/>
        <v>0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1:38" ht="25.05" customHeight="1">
      <c r="B115" s="13"/>
      <c r="C115" s="29"/>
      <c r="D115" s="30"/>
      <c r="E115" s="19"/>
      <c r="F115" s="8" t="s">
        <v>42</v>
      </c>
      <c r="G115" s="9"/>
      <c r="H115" s="9"/>
      <c r="I115" s="10"/>
      <c r="J115" s="11"/>
      <c r="K115" s="11"/>
      <c r="L115" s="16"/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1:38" ht="25.05" customHeight="1">
      <c r="B116" s="13"/>
      <c r="C116" s="29"/>
      <c r="D116" s="30"/>
      <c r="E116" s="19"/>
      <c r="F116" s="8" t="s">
        <v>42</v>
      </c>
      <c r="G116" s="9"/>
      <c r="H116" s="9"/>
      <c r="I116" s="10">
        <f>H116-G116</f>
        <v>0</v>
      </c>
      <c r="J116" s="11"/>
      <c r="K116" s="11"/>
      <c r="L116" s="16" t="str">
        <f t="shared" ref="L116:L121" si="14">IFERROR(((K116/(J116*I116)/24)),"0")</f>
        <v>0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1:38" ht="25.05" customHeight="1">
      <c r="B117" s="13"/>
      <c r="C117" s="29"/>
      <c r="D117" s="30"/>
      <c r="E117" s="19"/>
      <c r="F117" s="8" t="s">
        <v>42</v>
      </c>
      <c r="G117" s="9"/>
      <c r="H117" s="9"/>
      <c r="I117" s="10">
        <f>H117-G117</f>
        <v>0</v>
      </c>
      <c r="J117" s="11"/>
      <c r="K117" s="11"/>
      <c r="L117" s="16" t="str">
        <f t="shared" si="14"/>
        <v>0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1:38" ht="25.05" customHeight="1">
      <c r="B118" s="13"/>
      <c r="C118" s="29"/>
      <c r="D118" s="30"/>
      <c r="E118" s="19"/>
      <c r="F118" s="8" t="s">
        <v>42</v>
      </c>
      <c r="G118" s="9"/>
      <c r="H118" s="9"/>
      <c r="I118" s="10">
        <f>H118-G118</f>
        <v>0</v>
      </c>
      <c r="J118" s="11"/>
      <c r="K118" s="11"/>
      <c r="L118" s="16" t="str">
        <f t="shared" si="14"/>
        <v>0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1:38" ht="25.05" customHeight="1">
      <c r="B119" s="13"/>
      <c r="C119" s="29"/>
      <c r="D119" s="30"/>
      <c r="E119" s="19"/>
      <c r="F119" s="8" t="s">
        <v>42</v>
      </c>
      <c r="G119" s="9"/>
      <c r="H119" s="9"/>
      <c r="I119" s="10">
        <f>H119-G119</f>
        <v>0</v>
      </c>
      <c r="J119" s="11"/>
      <c r="K119" s="11"/>
      <c r="L119" s="16" t="str">
        <f t="shared" si="14"/>
        <v>0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1:38" ht="25.05" customHeight="1">
      <c r="B120" s="13"/>
      <c r="C120" s="29"/>
      <c r="D120" s="30"/>
      <c r="E120" s="19"/>
      <c r="F120" s="8" t="s">
        <v>42</v>
      </c>
      <c r="G120" s="9"/>
      <c r="H120" s="9"/>
      <c r="I120" s="10">
        <f>H120-G120</f>
        <v>0</v>
      </c>
      <c r="J120" s="11"/>
      <c r="K120" s="11"/>
      <c r="L120" s="16" t="str">
        <f t="shared" si="14"/>
        <v>0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1:38" ht="25.05" customHeight="1">
      <c r="B121" s="13"/>
      <c r="C121" s="29"/>
      <c r="D121" s="30"/>
      <c r="E121" s="19"/>
      <c r="F121" s="8" t="s">
        <v>42</v>
      </c>
      <c r="G121" s="9"/>
      <c r="H121" s="9"/>
      <c r="I121" s="10">
        <v>4</v>
      </c>
      <c r="J121" s="11"/>
      <c r="K121" s="11"/>
      <c r="L121" s="16" t="str">
        <f t="shared" si="14"/>
        <v>0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1:38" s="28" customFormat="1" ht="25.5" customHeight="1" thickBot="1">
      <c r="A122" s="2"/>
      <c r="B122" s="32"/>
      <c r="C122" s="33"/>
      <c r="D122" s="34"/>
      <c r="E122" s="35"/>
      <c r="F122" s="35"/>
      <c r="G122" s="36"/>
      <c r="H122" s="36"/>
      <c r="I122" s="37"/>
      <c r="J122" s="38"/>
      <c r="K122" s="38">
        <f t="shared" ref="K122:AJ122" si="15">SUM(K37:K121)</f>
        <v>0</v>
      </c>
      <c r="L122" s="39">
        <f t="shared" si="15"/>
        <v>0</v>
      </c>
      <c r="M122" s="38">
        <f t="shared" si="15"/>
        <v>0</v>
      </c>
      <c r="N122" s="38">
        <f t="shared" si="15"/>
        <v>0</v>
      </c>
      <c r="O122" s="38">
        <f t="shared" si="15"/>
        <v>0</v>
      </c>
      <c r="P122" s="38">
        <f t="shared" si="15"/>
        <v>0</v>
      </c>
      <c r="Q122" s="38">
        <f t="shared" si="15"/>
        <v>0</v>
      </c>
      <c r="R122" s="38">
        <f t="shared" si="15"/>
        <v>0</v>
      </c>
      <c r="S122" s="38">
        <f t="shared" si="15"/>
        <v>0</v>
      </c>
      <c r="T122" s="38">
        <f t="shared" si="15"/>
        <v>0</v>
      </c>
      <c r="U122" s="38">
        <f t="shared" si="15"/>
        <v>0</v>
      </c>
      <c r="V122" s="38">
        <f t="shared" si="15"/>
        <v>0</v>
      </c>
      <c r="W122" s="38">
        <f t="shared" si="15"/>
        <v>0</v>
      </c>
      <c r="X122" s="38">
        <f t="shared" si="15"/>
        <v>0</v>
      </c>
      <c r="Y122" s="38">
        <f t="shared" si="15"/>
        <v>0</v>
      </c>
      <c r="Z122" s="38">
        <f t="shared" si="15"/>
        <v>0</v>
      </c>
      <c r="AA122" s="38">
        <f t="shared" si="15"/>
        <v>0</v>
      </c>
      <c r="AB122" s="38">
        <f t="shared" si="15"/>
        <v>0</v>
      </c>
      <c r="AC122" s="38">
        <f t="shared" si="15"/>
        <v>0</v>
      </c>
      <c r="AD122" s="38">
        <f t="shared" si="15"/>
        <v>0</v>
      </c>
      <c r="AE122" s="38">
        <f t="shared" si="15"/>
        <v>0</v>
      </c>
      <c r="AF122" s="38">
        <f t="shared" si="15"/>
        <v>0</v>
      </c>
      <c r="AG122" s="38">
        <f t="shared" si="15"/>
        <v>0</v>
      </c>
      <c r="AH122" s="38">
        <f t="shared" si="15"/>
        <v>0</v>
      </c>
      <c r="AI122" s="38">
        <f t="shared" si="15"/>
        <v>0</v>
      </c>
      <c r="AJ122" s="38">
        <f t="shared" si="15"/>
        <v>0</v>
      </c>
      <c r="AK122" s="38">
        <f>SUM(AK37:AK121)</f>
        <v>0</v>
      </c>
      <c r="AL122" s="38">
        <f>SUM(AL37:AL121)</f>
        <v>0</v>
      </c>
    </row>
    <row r="123" spans="1:38" ht="38.1" customHeight="1" thickBot="1">
      <c r="B123" s="40" t="s">
        <v>45</v>
      </c>
      <c r="C123" s="41"/>
      <c r="D123" s="41"/>
      <c r="E123" s="41"/>
      <c r="F123" s="41"/>
      <c r="G123" s="41"/>
      <c r="H123" s="41"/>
      <c r="I123" s="41"/>
      <c r="J123" s="41"/>
      <c r="K123" s="42">
        <f>K33+K36+K122</f>
        <v>0</v>
      </c>
      <c r="L123" s="42">
        <f>L33+L36+L122</f>
        <v>0</v>
      </c>
      <c r="M123" s="43">
        <f t="shared" ref="M123:AJ123" si="16">(M33+M36+M122)/(480-15-30)</f>
        <v>0</v>
      </c>
      <c r="N123" s="43">
        <f t="shared" si="16"/>
        <v>0</v>
      </c>
      <c r="O123" s="43">
        <f t="shared" si="16"/>
        <v>0</v>
      </c>
      <c r="P123" s="43">
        <f t="shared" si="16"/>
        <v>0</v>
      </c>
      <c r="Q123" s="43">
        <f t="shared" si="16"/>
        <v>0</v>
      </c>
      <c r="R123" s="43">
        <f t="shared" si="16"/>
        <v>0</v>
      </c>
      <c r="S123" s="43">
        <f t="shared" si="16"/>
        <v>0</v>
      </c>
      <c r="T123" s="43">
        <f t="shared" si="16"/>
        <v>0</v>
      </c>
      <c r="U123" s="43">
        <f t="shared" si="16"/>
        <v>0</v>
      </c>
      <c r="V123" s="43">
        <f t="shared" si="16"/>
        <v>0</v>
      </c>
      <c r="W123" s="43">
        <f t="shared" si="16"/>
        <v>0</v>
      </c>
      <c r="X123" s="43">
        <f t="shared" si="16"/>
        <v>0</v>
      </c>
      <c r="Y123" s="43">
        <f t="shared" si="16"/>
        <v>0</v>
      </c>
      <c r="Z123" s="43">
        <f t="shared" si="16"/>
        <v>0</v>
      </c>
      <c r="AA123" s="43">
        <f t="shared" si="16"/>
        <v>0</v>
      </c>
      <c r="AB123" s="43">
        <f t="shared" si="16"/>
        <v>0</v>
      </c>
      <c r="AC123" s="43">
        <f t="shared" si="16"/>
        <v>0</v>
      </c>
      <c r="AD123" s="43">
        <f t="shared" si="16"/>
        <v>0</v>
      </c>
      <c r="AE123" s="43">
        <f t="shared" si="16"/>
        <v>0</v>
      </c>
      <c r="AF123" s="43">
        <f t="shared" si="16"/>
        <v>0</v>
      </c>
      <c r="AG123" s="43">
        <f t="shared" si="16"/>
        <v>0</v>
      </c>
      <c r="AH123" s="43">
        <f t="shared" si="16"/>
        <v>0</v>
      </c>
      <c r="AI123" s="43">
        <f t="shared" si="16"/>
        <v>0</v>
      </c>
      <c r="AJ123" s="43">
        <f t="shared" si="16"/>
        <v>0</v>
      </c>
      <c r="AK123" s="43">
        <f>(AK33+AK36+AK122)/(480-15-30)</f>
        <v>0</v>
      </c>
      <c r="AL123" s="43">
        <f>(AL33+AL36+AL122)/(480-15-30)</f>
        <v>0</v>
      </c>
    </row>
    <row r="124" spans="1:38" ht="25.05" customHeight="1">
      <c r="B124" s="44"/>
      <c r="C124" s="44"/>
      <c r="D124" s="44"/>
      <c r="E124" s="45"/>
      <c r="F124" s="45"/>
      <c r="G124" s="45"/>
      <c r="H124" s="45"/>
      <c r="I124" s="46"/>
      <c r="J124" s="46"/>
      <c r="K124" s="45"/>
      <c r="L124" s="47"/>
      <c r="M124" s="47"/>
      <c r="N124" s="47"/>
      <c r="O124" s="47"/>
      <c r="P124" s="47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</row>
    <row r="125" spans="1:38" ht="25.05" customHeight="1">
      <c r="B125" s="44"/>
      <c r="C125" s="44"/>
      <c r="D125" s="44"/>
      <c r="E125" s="45"/>
      <c r="F125" s="45"/>
      <c r="G125" s="45"/>
      <c r="H125" s="45"/>
      <c r="I125" s="48" t="s">
        <v>46</v>
      </c>
      <c r="J125" s="46"/>
      <c r="K125" s="45"/>
      <c r="L125" s="47"/>
      <c r="M125" s="47"/>
      <c r="N125" s="47"/>
      <c r="O125" s="47"/>
      <c r="P125" s="47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  <c r="AI125" s="45"/>
      <c r="AJ125" s="45"/>
    </row>
    <row r="126" spans="1:38" ht="25.05" customHeight="1">
      <c r="B126" s="44"/>
      <c r="C126" s="44"/>
      <c r="D126" s="44"/>
      <c r="E126" s="45"/>
      <c r="F126" s="45"/>
      <c r="G126" s="45"/>
      <c r="H126" s="45"/>
      <c r="I126" s="49" t="s">
        <v>47</v>
      </c>
      <c r="J126" s="9">
        <v>0</v>
      </c>
      <c r="K126" s="11">
        <v>6</v>
      </c>
      <c r="L126" s="11" t="s">
        <v>48</v>
      </c>
      <c r="M126" s="47"/>
      <c r="N126" s="14">
        <v>2</v>
      </c>
      <c r="O126" s="14"/>
      <c r="P126" s="14"/>
      <c r="Q126" s="50" t="s">
        <v>49</v>
      </c>
      <c r="R126" s="51"/>
      <c r="S126" s="45"/>
      <c r="T126" s="45"/>
      <c r="U126" s="45"/>
      <c r="V126" s="45"/>
      <c r="W126" s="45"/>
      <c r="X126" s="45"/>
      <c r="Y126" s="45"/>
      <c r="Z126" s="45"/>
      <c r="AA126" s="45"/>
      <c r="AC126" s="45"/>
      <c r="AD126" s="45"/>
      <c r="AE126" s="45"/>
      <c r="AF126" s="45"/>
      <c r="AG126" s="45"/>
      <c r="AH126" s="45"/>
    </row>
    <row r="127" spans="1:38" ht="25.05" customHeight="1">
      <c r="B127" s="44"/>
      <c r="C127" s="44"/>
      <c r="D127" s="44"/>
      <c r="E127" s="45"/>
      <c r="F127" s="45"/>
      <c r="G127" s="45"/>
      <c r="H127" s="45"/>
      <c r="I127" s="49" t="s">
        <v>50</v>
      </c>
      <c r="J127" s="9">
        <v>0</v>
      </c>
      <c r="K127" s="11">
        <v>0</v>
      </c>
      <c r="L127" s="11" t="s">
        <v>48</v>
      </c>
      <c r="M127" s="47"/>
      <c r="N127" s="14">
        <v>0</v>
      </c>
      <c r="O127" s="14"/>
      <c r="P127" s="14"/>
      <c r="Q127" s="50" t="s">
        <v>51</v>
      </c>
      <c r="R127" s="51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</row>
    <row r="128" spans="1:38" ht="25.05" customHeight="1">
      <c r="B128" s="44"/>
      <c r="C128" s="44"/>
      <c r="D128" s="44"/>
      <c r="E128" s="45"/>
      <c r="F128" s="45"/>
      <c r="G128" s="45"/>
      <c r="H128" s="45"/>
      <c r="I128" s="49" t="s">
        <v>52</v>
      </c>
      <c r="J128" s="9">
        <v>0</v>
      </c>
      <c r="K128" s="11">
        <v>12</v>
      </c>
      <c r="L128" s="11" t="s">
        <v>48</v>
      </c>
      <c r="M128" s="47"/>
      <c r="N128" s="14">
        <v>0</v>
      </c>
      <c r="O128" s="14"/>
      <c r="P128" s="14"/>
      <c r="Q128" s="50" t="s">
        <v>53</v>
      </c>
      <c r="R128" s="51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</row>
    <row r="129" spans="2:34" ht="25.05" customHeight="1">
      <c r="B129" s="44"/>
      <c r="C129" s="44"/>
      <c r="D129" s="44"/>
      <c r="E129" s="45"/>
      <c r="F129" s="45"/>
      <c r="G129" s="45"/>
      <c r="H129" s="45"/>
      <c r="I129" s="52" t="s">
        <v>54</v>
      </c>
      <c r="J129" s="53">
        <v>0</v>
      </c>
      <c r="K129" s="11">
        <v>2</v>
      </c>
      <c r="L129" s="54" t="s">
        <v>48</v>
      </c>
      <c r="M129" s="47"/>
      <c r="N129" s="14">
        <v>3</v>
      </c>
      <c r="O129" s="14"/>
      <c r="P129" s="14"/>
      <c r="Q129" s="50" t="s">
        <v>55</v>
      </c>
      <c r="R129" s="51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</row>
    <row r="130" spans="2:34" ht="25.05" customHeight="1">
      <c r="B130" s="44"/>
      <c r="C130" s="44"/>
      <c r="D130" s="44"/>
      <c r="E130" s="45"/>
      <c r="F130" s="45"/>
      <c r="G130" s="45"/>
      <c r="H130" s="45"/>
      <c r="I130" s="49" t="s">
        <v>56</v>
      </c>
      <c r="J130" s="9">
        <v>0</v>
      </c>
      <c r="K130" s="11">
        <v>20</v>
      </c>
      <c r="L130" s="11" t="s">
        <v>48</v>
      </c>
      <c r="M130" s="47"/>
      <c r="N130"/>
      <c r="O130"/>
      <c r="P130"/>
      <c r="Q130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</row>
    <row r="131" spans="2:34" ht="25.05" customHeight="1">
      <c r="B131" s="44"/>
      <c r="C131" s="44"/>
      <c r="D131" s="44"/>
      <c r="E131" s="45"/>
      <c r="F131" s="45"/>
      <c r="G131" s="45"/>
      <c r="H131" s="45"/>
      <c r="M131" s="47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</row>
    <row r="132" spans="2:34" ht="25.05" customHeight="1"/>
  </sheetData>
  <mergeCells count="17">
    <mergeCell ref="D6:E6"/>
    <mergeCell ref="D38:E38"/>
    <mergeCell ref="D39:E39"/>
    <mergeCell ref="D7:E7"/>
    <mergeCell ref="D40:E40"/>
    <mergeCell ref="I2:I3"/>
    <mergeCell ref="J2:J3"/>
    <mergeCell ref="K2:K3"/>
    <mergeCell ref="L2:L3"/>
    <mergeCell ref="M2:AL2"/>
    <mergeCell ref="F2:F3"/>
    <mergeCell ref="G2:H2"/>
    <mergeCell ref="D5:E5"/>
    <mergeCell ref="B2:B3"/>
    <mergeCell ref="C2:C3"/>
    <mergeCell ref="D2:D3"/>
    <mergeCell ref="E2:E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298B3-97CD-4953-83B9-1762AEB14E74}">
  <dimension ref="A2:G27"/>
  <sheetViews>
    <sheetView zoomScale="80" zoomScaleNormal="80" workbookViewId="0">
      <selection activeCell="D38" sqref="D38"/>
    </sheetView>
  </sheetViews>
  <sheetFormatPr defaultColWidth="10.21875" defaultRowHeight="2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7.44140625" style="2" customWidth="1"/>
    <col min="8" max="16384" width="10.21875" style="2"/>
  </cols>
  <sheetData>
    <row r="2" spans="1:7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9" t="s">
        <v>9</v>
      </c>
    </row>
    <row r="3" spans="1:7" ht="46.5" customHeight="1">
      <c r="B3" s="214"/>
      <c r="C3" s="214"/>
      <c r="D3" s="214"/>
      <c r="E3" s="214"/>
      <c r="F3" s="214"/>
      <c r="G3" s="219"/>
    </row>
    <row r="4" spans="1:7" ht="25.05" customHeight="1">
      <c r="B4" s="13">
        <v>46105</v>
      </c>
      <c r="C4" s="60" t="s">
        <v>40</v>
      </c>
      <c r="D4" s="6"/>
      <c r="E4" s="123" t="s">
        <v>790</v>
      </c>
      <c r="F4" s="88" t="s">
        <v>42</v>
      </c>
      <c r="G4" s="62">
        <v>188</v>
      </c>
    </row>
    <row r="5" spans="1:7" ht="25.05" customHeight="1">
      <c r="B5" s="112"/>
      <c r="C5" s="14"/>
      <c r="D5" s="175"/>
      <c r="E5" s="123" t="s">
        <v>791</v>
      </c>
      <c r="F5" s="88" t="s">
        <v>42</v>
      </c>
      <c r="G5" s="62">
        <v>808</v>
      </c>
    </row>
    <row r="6" spans="1:7" ht="25.5" customHeight="1">
      <c r="B6" s="13"/>
      <c r="C6" s="14"/>
      <c r="D6" s="6"/>
      <c r="E6" s="83" t="s">
        <v>792</v>
      </c>
      <c r="F6" s="88" t="s">
        <v>42</v>
      </c>
      <c r="G6" s="62">
        <v>407</v>
      </c>
    </row>
    <row r="7" spans="1:7" ht="25.05" customHeight="1">
      <c r="B7" s="13"/>
      <c r="C7" s="14"/>
      <c r="D7" s="6"/>
      <c r="E7" s="123" t="s">
        <v>793</v>
      </c>
      <c r="F7" s="88" t="s">
        <v>42</v>
      </c>
      <c r="G7" s="62">
        <v>141.88</v>
      </c>
    </row>
    <row r="8" spans="1:7" ht="25.05" customHeight="1">
      <c r="B8" s="13"/>
      <c r="C8" s="14"/>
      <c r="D8" s="6"/>
      <c r="E8" s="123" t="s">
        <v>794</v>
      </c>
      <c r="F8" s="88" t="s">
        <v>42</v>
      </c>
      <c r="G8" s="62">
        <v>368.6</v>
      </c>
    </row>
    <row r="9" spans="1:7" ht="25.05" customHeight="1">
      <c r="B9" s="13"/>
      <c r="C9" s="14"/>
      <c r="D9" s="6"/>
      <c r="E9" s="123" t="s">
        <v>795</v>
      </c>
      <c r="F9" s="88" t="s">
        <v>42</v>
      </c>
      <c r="G9" s="62">
        <v>51</v>
      </c>
    </row>
    <row r="10" spans="1:7" ht="25.05" customHeight="1">
      <c r="B10" s="13"/>
      <c r="C10" s="14"/>
      <c r="D10" s="30"/>
      <c r="E10" s="123"/>
      <c r="F10" s="88" t="s">
        <v>42</v>
      </c>
      <c r="G10" s="62"/>
    </row>
    <row r="11" spans="1:7" s="28" customFormat="1" ht="25.05" customHeight="1">
      <c r="A11" s="2"/>
      <c r="B11" s="21"/>
      <c r="C11" s="22"/>
      <c r="D11" s="23"/>
      <c r="E11" s="24"/>
      <c r="F11" s="24"/>
      <c r="G11" s="27">
        <f>SUM(G4:G10)</f>
        <v>1964.48</v>
      </c>
    </row>
    <row r="12" spans="1:7" ht="25.05" customHeight="1">
      <c r="B12" s="13">
        <v>46105</v>
      </c>
      <c r="C12" s="14" t="s">
        <v>43</v>
      </c>
      <c r="D12" s="6"/>
      <c r="E12" s="7"/>
      <c r="F12" s="8" t="s">
        <v>42</v>
      </c>
      <c r="G12" s="11"/>
    </row>
    <row r="13" spans="1:7" ht="25.05" customHeight="1">
      <c r="B13" s="13"/>
      <c r="C13" s="14"/>
      <c r="D13" s="18"/>
      <c r="E13" s="6"/>
      <c r="F13" s="8" t="s">
        <v>42</v>
      </c>
      <c r="G13" s="11"/>
    </row>
    <row r="14" spans="1:7" s="28" customFormat="1" ht="25.05" customHeight="1">
      <c r="A14" s="2"/>
      <c r="B14" s="21"/>
      <c r="C14" s="22"/>
      <c r="D14" s="23"/>
      <c r="E14" s="24"/>
      <c r="F14" s="22"/>
      <c r="G14" s="27">
        <f t="shared" ref="G14" si="0">SUM(G12:G13)</f>
        <v>0</v>
      </c>
    </row>
    <row r="15" spans="1:7" ht="25.05" customHeight="1">
      <c r="B15" s="5">
        <v>46105</v>
      </c>
      <c r="C15" s="29" t="s">
        <v>44</v>
      </c>
      <c r="D15" s="30"/>
      <c r="E15" s="7"/>
      <c r="F15" s="8" t="s">
        <v>42</v>
      </c>
      <c r="G15" s="11"/>
    </row>
    <row r="16" spans="1:7" ht="25.05" customHeight="1">
      <c r="B16" s="13"/>
      <c r="C16" s="29"/>
      <c r="D16" s="30"/>
      <c r="E16" s="19"/>
      <c r="F16" s="8" t="s">
        <v>42</v>
      </c>
      <c r="G16" s="11"/>
    </row>
    <row r="17" spans="1:7" s="28" customFormat="1" ht="25.5" customHeight="1" thickBot="1">
      <c r="A17" s="2"/>
      <c r="B17" s="32"/>
      <c r="C17" s="33"/>
      <c r="D17" s="34"/>
      <c r="E17" s="35"/>
      <c r="F17" s="35"/>
      <c r="G17" s="38">
        <f>SUM(G15:G16)</f>
        <v>0</v>
      </c>
    </row>
    <row r="18" spans="1:7" ht="38.1" customHeight="1" thickBot="1">
      <c r="B18" s="40" t="s">
        <v>45</v>
      </c>
      <c r="C18" s="41"/>
      <c r="D18" s="41"/>
      <c r="E18" s="41"/>
      <c r="F18" s="41"/>
      <c r="G18" s="42">
        <f>G11+G14+G17</f>
        <v>1964.48</v>
      </c>
    </row>
    <row r="19" spans="1:7" ht="25.05" customHeight="1">
      <c r="B19" s="44"/>
      <c r="C19" s="44"/>
      <c r="D19" s="44"/>
      <c r="E19" s="45"/>
      <c r="F19" s="45"/>
      <c r="G19" s="45"/>
    </row>
    <row r="20" spans="1:7" ht="25.05" customHeight="1">
      <c r="B20" s="44"/>
      <c r="C20" s="44"/>
      <c r="D20" s="44"/>
      <c r="E20" s="45"/>
      <c r="F20" s="45"/>
      <c r="G20" s="45"/>
    </row>
    <row r="21" spans="1:7" ht="25.05" customHeight="1">
      <c r="B21" s="44"/>
      <c r="C21" s="44"/>
      <c r="D21" s="44"/>
      <c r="E21" s="45"/>
      <c r="F21" s="45"/>
      <c r="G21" s="45"/>
    </row>
    <row r="22" spans="1:7" ht="25.05" customHeight="1">
      <c r="B22" s="44"/>
      <c r="C22" s="44"/>
      <c r="D22" s="44"/>
      <c r="E22" s="45"/>
      <c r="F22" s="45"/>
      <c r="G22" s="45"/>
    </row>
    <row r="23" spans="1:7" ht="25.05" customHeight="1">
      <c r="B23" s="44"/>
      <c r="C23" s="44"/>
      <c r="D23" s="44"/>
      <c r="E23" s="45"/>
      <c r="F23" s="45"/>
      <c r="G23" s="45"/>
    </row>
    <row r="24" spans="1:7" ht="25.05" customHeight="1">
      <c r="B24" s="44"/>
      <c r="C24" s="44"/>
      <c r="D24" s="44"/>
      <c r="E24" s="45"/>
      <c r="F24" s="45"/>
      <c r="G24" s="45"/>
    </row>
    <row r="25" spans="1:7" ht="25.05" customHeight="1">
      <c r="B25" s="44"/>
      <c r="C25" s="44"/>
      <c r="D25" s="44"/>
      <c r="E25" s="45"/>
      <c r="F25" s="45"/>
      <c r="G25" s="45"/>
    </row>
    <row r="26" spans="1:7" ht="25.05" customHeight="1">
      <c r="B26" s="44"/>
      <c r="C26" s="44"/>
      <c r="D26" s="44"/>
      <c r="E26" s="45"/>
      <c r="F26" s="45"/>
      <c r="G26" s="45"/>
    </row>
    <row r="27" spans="1:7" ht="25.05" customHeight="1"/>
  </sheetData>
  <mergeCells count="6">
    <mergeCell ref="G2:G3"/>
    <mergeCell ref="B2:B3"/>
    <mergeCell ref="C2:C3"/>
    <mergeCell ref="D2:D3"/>
    <mergeCell ref="E2:E3"/>
    <mergeCell ref="F2:F3"/>
  </mergeCells>
  <phoneticPr fontId="1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BA68D-E1DA-45F6-8407-2354FD11D1C8}">
  <sheetPr>
    <pageSetUpPr fitToPage="1"/>
  </sheetPr>
  <dimension ref="A2:H34"/>
  <sheetViews>
    <sheetView zoomScale="70" zoomScaleNormal="70" workbookViewId="0">
      <pane xSplit="7" ySplit="3" topLeftCell="H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7.44140625" style="2" customWidth="1"/>
    <col min="8" max="16384" width="10.21875" style="2"/>
  </cols>
  <sheetData>
    <row r="2" spans="2:7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9" t="s">
        <v>9</v>
      </c>
    </row>
    <row r="3" spans="2:7" ht="46.5" customHeight="1">
      <c r="B3" s="214"/>
      <c r="C3" s="214"/>
      <c r="D3" s="214"/>
      <c r="E3" s="214"/>
      <c r="F3" s="214"/>
      <c r="G3" s="219"/>
    </row>
    <row r="4" spans="2:7" ht="25.05" customHeight="1">
      <c r="B4" s="13">
        <v>46105</v>
      </c>
      <c r="C4" s="60" t="s">
        <v>40</v>
      </c>
      <c r="D4" s="6"/>
      <c r="E4" s="7"/>
      <c r="F4" s="8"/>
      <c r="G4" s="62" t="s">
        <v>42</v>
      </c>
    </row>
    <row r="5" spans="2:7" ht="25.05" customHeight="1">
      <c r="B5" s="112"/>
      <c r="C5" s="14"/>
      <c r="D5" s="161" t="s">
        <v>726</v>
      </c>
      <c r="E5" s="17" t="s">
        <v>796</v>
      </c>
      <c r="F5" s="55" t="s">
        <v>232</v>
      </c>
      <c r="G5" s="11">
        <v>49.4</v>
      </c>
    </row>
    <row r="6" spans="2:7" ht="25.5" customHeight="1">
      <c r="B6" s="13"/>
      <c r="C6" s="14"/>
      <c r="D6" s="6"/>
      <c r="E6" s="17" t="s">
        <v>797</v>
      </c>
      <c r="F6" s="55" t="s">
        <v>798</v>
      </c>
      <c r="G6" s="11">
        <v>370.5</v>
      </c>
    </row>
    <row r="7" spans="2:7" ht="25.05" customHeight="1">
      <c r="B7" s="13"/>
      <c r="C7" s="14"/>
      <c r="D7" s="6"/>
      <c r="E7" s="17" t="s">
        <v>799</v>
      </c>
      <c r="F7" s="55" t="s">
        <v>61</v>
      </c>
      <c r="G7" s="11">
        <v>312</v>
      </c>
    </row>
    <row r="8" spans="2:7" ht="25.05" customHeight="1">
      <c r="B8" s="13"/>
      <c r="C8" s="14"/>
      <c r="D8" s="31" t="s">
        <v>79</v>
      </c>
      <c r="E8" s="17" t="s">
        <v>800</v>
      </c>
      <c r="F8" s="86" t="s">
        <v>42</v>
      </c>
      <c r="G8" s="11">
        <v>0.97</v>
      </c>
    </row>
    <row r="9" spans="2:7" ht="25.05" customHeight="1">
      <c r="B9" s="13"/>
      <c r="C9" s="14"/>
      <c r="D9" s="31"/>
      <c r="E9" s="174" t="s">
        <v>801</v>
      </c>
      <c r="F9" s="86" t="s">
        <v>213</v>
      </c>
      <c r="G9" s="11">
        <f>46*2</f>
        <v>92</v>
      </c>
    </row>
    <row r="10" spans="2:7" ht="25.05" customHeight="1">
      <c r="B10" s="13"/>
      <c r="C10" s="14"/>
      <c r="D10" s="30" t="s">
        <v>579</v>
      </c>
      <c r="E10" s="159" t="s">
        <v>802</v>
      </c>
      <c r="F10" s="55" t="s">
        <v>581</v>
      </c>
      <c r="G10" s="11">
        <v>33.99</v>
      </c>
    </row>
    <row r="11" spans="2:7" ht="25.05" customHeight="1">
      <c r="B11" s="13"/>
      <c r="C11" s="14"/>
      <c r="D11" s="6"/>
      <c r="E11" s="17" t="s">
        <v>803</v>
      </c>
      <c r="F11" s="55" t="s">
        <v>232</v>
      </c>
      <c r="G11" s="11">
        <v>15.84</v>
      </c>
    </row>
    <row r="12" spans="2:7" ht="25.05" customHeight="1">
      <c r="B12" s="13"/>
      <c r="C12" s="14"/>
      <c r="D12" s="6"/>
      <c r="E12" s="17" t="s">
        <v>804</v>
      </c>
      <c r="F12" s="55" t="s">
        <v>232</v>
      </c>
      <c r="G12" s="11">
        <v>15.84</v>
      </c>
    </row>
    <row r="13" spans="2:7" ht="25.05" customHeight="1">
      <c r="B13" s="13"/>
      <c r="C13" s="14"/>
      <c r="D13" s="6"/>
      <c r="E13" s="58" t="s">
        <v>805</v>
      </c>
      <c r="F13" s="55" t="s">
        <v>59</v>
      </c>
      <c r="G13" s="11">
        <v>27.61</v>
      </c>
    </row>
    <row r="14" spans="2:7" ht="25.05" customHeight="1">
      <c r="B14" s="13"/>
      <c r="C14" s="14"/>
      <c r="D14" s="30" t="s">
        <v>730</v>
      </c>
      <c r="E14" s="15" t="s">
        <v>806</v>
      </c>
      <c r="F14" s="88" t="s">
        <v>42</v>
      </c>
      <c r="G14" s="11">
        <v>1.6</v>
      </c>
    </row>
    <row r="15" spans="2:7" ht="25.05" customHeight="1">
      <c r="B15" s="13"/>
      <c r="C15" s="14"/>
      <c r="D15" s="31"/>
      <c r="E15" s="15" t="s">
        <v>807</v>
      </c>
      <c r="F15" s="88" t="s">
        <v>42</v>
      </c>
      <c r="G15" s="11">
        <v>8</v>
      </c>
    </row>
    <row r="16" spans="2:7" ht="25.05" customHeight="1">
      <c r="B16" s="13"/>
      <c r="C16" s="14"/>
      <c r="D16" s="31"/>
      <c r="E16" s="15" t="s">
        <v>808</v>
      </c>
      <c r="F16" s="88" t="s">
        <v>42</v>
      </c>
      <c r="G16" s="11">
        <v>0.16</v>
      </c>
    </row>
    <row r="17" spans="1:8" ht="25.5" customHeight="1">
      <c r="B17" s="13"/>
      <c r="C17" s="14"/>
      <c r="D17" s="31"/>
      <c r="E17" s="15"/>
      <c r="F17" s="88" t="s">
        <v>42</v>
      </c>
      <c r="G17" s="11"/>
    </row>
    <row r="18" spans="1:8" s="28" customFormat="1" ht="25.05" customHeight="1">
      <c r="A18" s="2"/>
      <c r="B18" s="21"/>
      <c r="C18" s="22"/>
      <c r="D18" s="23"/>
      <c r="E18" s="24"/>
      <c r="F18" s="24"/>
      <c r="G18" s="27">
        <f>SUM(G4:G17)</f>
        <v>927.91000000000008</v>
      </c>
    </row>
    <row r="19" spans="1:8" ht="25.05" customHeight="1">
      <c r="B19" s="13">
        <v>46105</v>
      </c>
      <c r="C19" s="14" t="s">
        <v>43</v>
      </c>
      <c r="D19" s="6"/>
      <c r="E19" s="7"/>
      <c r="F19" s="8" t="s">
        <v>42</v>
      </c>
      <c r="G19" s="11"/>
    </row>
    <row r="20" spans="1:8" ht="25.05" customHeight="1">
      <c r="B20" s="13"/>
      <c r="C20" s="14"/>
      <c r="D20" s="18"/>
      <c r="E20" s="6"/>
      <c r="F20" s="8" t="s">
        <v>42</v>
      </c>
      <c r="G20" s="11"/>
    </row>
    <row r="21" spans="1:8" s="28" customFormat="1" ht="25.05" customHeight="1">
      <c r="A21" s="2"/>
      <c r="B21" s="21"/>
      <c r="C21" s="22"/>
      <c r="D21" s="23"/>
      <c r="E21" s="24"/>
      <c r="F21" s="22"/>
      <c r="G21" s="27">
        <f t="shared" ref="G21" si="0">SUM(G19:G20)</f>
        <v>0</v>
      </c>
    </row>
    <row r="22" spans="1:8" ht="25.05" customHeight="1">
      <c r="B22" s="5">
        <v>46105</v>
      </c>
      <c r="C22" s="29" t="s">
        <v>44</v>
      </c>
      <c r="D22" s="30" t="s">
        <v>579</v>
      </c>
      <c r="E22" s="7" t="s">
        <v>809</v>
      </c>
      <c r="F22" s="8" t="s">
        <v>42</v>
      </c>
      <c r="G22" s="11">
        <f>0.91*11</f>
        <v>10.01</v>
      </c>
      <c r="H22" s="2">
        <f>33.89*11</f>
        <v>372.79</v>
      </c>
    </row>
    <row r="23" spans="1:8" ht="25.05" customHeight="1">
      <c r="B23" s="13"/>
      <c r="C23" s="29"/>
      <c r="D23" s="30"/>
      <c r="E23" s="19"/>
      <c r="F23" s="8" t="s">
        <v>42</v>
      </c>
      <c r="G23" s="11"/>
    </row>
    <row r="24" spans="1:8" s="28" customFormat="1" ht="25.5" customHeight="1" thickBot="1">
      <c r="A24" s="2"/>
      <c r="B24" s="32"/>
      <c r="C24" s="33"/>
      <c r="D24" s="34"/>
      <c r="E24" s="35"/>
      <c r="F24" s="35"/>
      <c r="G24" s="38">
        <f>SUM(G22:G23)</f>
        <v>10.01</v>
      </c>
    </row>
    <row r="25" spans="1:8" ht="38.1" customHeight="1">
      <c r="B25" s="40" t="s">
        <v>45</v>
      </c>
      <c r="C25" s="41"/>
      <c r="D25" s="41"/>
      <c r="E25" s="41"/>
      <c r="F25" s="41"/>
      <c r="G25" s="42">
        <f>G18+G21+G24</f>
        <v>937.92000000000007</v>
      </c>
    </row>
    <row r="26" spans="1:8" ht="25.05" customHeight="1">
      <c r="B26" s="44"/>
      <c r="C26" s="44"/>
      <c r="D26" s="44"/>
      <c r="E26" s="45"/>
      <c r="F26" s="45"/>
      <c r="G26" s="45"/>
    </row>
    <row r="27" spans="1:8" ht="25.05" customHeight="1">
      <c r="B27" s="44"/>
      <c r="C27" s="44"/>
      <c r="D27" s="44"/>
      <c r="E27" s="45"/>
      <c r="F27" s="45"/>
      <c r="G27" s="45"/>
    </row>
    <row r="28" spans="1:8" ht="25.05" customHeight="1">
      <c r="B28" s="44"/>
      <c r="C28" s="44"/>
      <c r="D28" s="44"/>
      <c r="E28" s="45"/>
      <c r="F28" s="45"/>
      <c r="G28" s="45"/>
    </row>
    <row r="29" spans="1:8" ht="25.05" customHeight="1">
      <c r="B29" s="44"/>
      <c r="C29" s="44"/>
      <c r="D29" s="44"/>
      <c r="E29" s="45"/>
      <c r="F29" s="45"/>
      <c r="G29" s="45"/>
    </row>
    <row r="30" spans="1:8" ht="25.05" customHeight="1">
      <c r="B30" s="44"/>
      <c r="C30" s="44"/>
      <c r="D30" s="44"/>
      <c r="E30" s="45"/>
      <c r="F30" s="45"/>
      <c r="G30" s="45"/>
    </row>
    <row r="31" spans="1:8" ht="25.05" customHeight="1">
      <c r="B31" s="44"/>
      <c r="C31" s="44"/>
      <c r="D31" s="44"/>
      <c r="E31" s="45"/>
      <c r="F31" s="45"/>
      <c r="G31" s="45"/>
    </row>
    <row r="32" spans="1:8" ht="25.05" customHeight="1">
      <c r="B32" s="44"/>
      <c r="C32" s="44"/>
      <c r="D32" s="44"/>
      <c r="E32" s="45"/>
      <c r="F32" s="45"/>
      <c r="G32" s="45"/>
    </row>
    <row r="33" spans="2:7" ht="25.05" customHeight="1">
      <c r="B33" s="44"/>
      <c r="C33" s="44"/>
      <c r="D33" s="44"/>
      <c r="E33" s="45"/>
      <c r="F33" s="45"/>
      <c r="G33" s="45"/>
    </row>
    <row r="34" spans="2:7" ht="25.05" customHeight="1"/>
  </sheetData>
  <mergeCells count="6">
    <mergeCell ref="G2:G3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3EC7B-D9C7-4C60-A0DD-5233D9725319}">
  <sheetPr>
    <pageSetUpPr fitToPage="1"/>
  </sheetPr>
  <dimension ref="A1:AL80"/>
  <sheetViews>
    <sheetView zoomScale="70" zoomScaleNormal="70" workbookViewId="0">
      <pane xSplit="12" ySplit="3" topLeftCell="U51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46104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0.79513888888888884</v>
      </c>
      <c r="I4" s="10">
        <f t="shared" ref="I4:I14" si="0">H4-G4</f>
        <v>3.4722222222222099E-3</v>
      </c>
      <c r="J4" s="11">
        <v>8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161" t="s">
        <v>726</v>
      </c>
      <c r="E5" s="17" t="s">
        <v>796</v>
      </c>
      <c r="F5" s="55" t="s">
        <v>232</v>
      </c>
      <c r="G5" s="9">
        <v>0.81388888888888888</v>
      </c>
      <c r="H5" s="9">
        <v>0.82638888888888884</v>
      </c>
      <c r="I5" s="10">
        <f t="shared" si="0"/>
        <v>1.2499999999999956E-2</v>
      </c>
      <c r="J5" s="11">
        <v>1</v>
      </c>
      <c r="K5" s="11">
        <v>49.4</v>
      </c>
      <c r="L5" s="16">
        <f t="shared" ref="L5:L14" si="1">IFERROR(((K5/(J5*I5)/24)),"0")</f>
        <v>164.66666666666725</v>
      </c>
      <c r="M5" s="11">
        <v>18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7" t="s">
        <v>797</v>
      </c>
      <c r="F6" s="55" t="s">
        <v>798</v>
      </c>
      <c r="G6" s="9">
        <v>0.90486111111111112</v>
      </c>
      <c r="H6" s="9">
        <v>0.95833333333333337</v>
      </c>
      <c r="I6" s="10">
        <f t="shared" si="0"/>
        <v>5.3472222222222254E-2</v>
      </c>
      <c r="J6" s="11">
        <v>1</v>
      </c>
      <c r="K6" s="11">
        <v>370.5</v>
      </c>
      <c r="L6" s="16">
        <f t="shared" si="1"/>
        <v>288.70129870129853</v>
      </c>
      <c r="M6" s="11">
        <v>77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7" t="s">
        <v>810</v>
      </c>
      <c r="F7" s="88" t="s">
        <v>42</v>
      </c>
      <c r="G7" s="9">
        <v>0.80277777777777781</v>
      </c>
      <c r="H7" s="9">
        <v>0.94791666666666663</v>
      </c>
      <c r="I7" s="10">
        <f t="shared" si="0"/>
        <v>0.14513888888888882</v>
      </c>
      <c r="J7" s="11">
        <v>2</v>
      </c>
      <c r="K7" s="11">
        <v>296</v>
      </c>
      <c r="L7" s="16">
        <f t="shared" si="1"/>
        <v>42.488038277511983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7" t="s">
        <v>799</v>
      </c>
      <c r="F8" s="55" t="s">
        <v>61</v>
      </c>
      <c r="G8" s="9">
        <v>0.80555555555555558</v>
      </c>
      <c r="H8" s="9">
        <v>0.98263888888888884</v>
      </c>
      <c r="I8" s="10">
        <f t="shared" si="0"/>
        <v>0.17708333333333326</v>
      </c>
      <c r="J8" s="11">
        <v>10</v>
      </c>
      <c r="K8" s="11">
        <v>312</v>
      </c>
      <c r="L8" s="16">
        <f t="shared" si="1"/>
        <v>7.3411764705882385</v>
      </c>
      <c r="M8" s="11"/>
      <c r="N8" s="11"/>
      <c r="O8" s="11"/>
      <c r="P8" s="11"/>
      <c r="Q8" s="11"/>
      <c r="R8" s="12"/>
      <c r="S8" s="12">
        <v>255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71" t="s">
        <v>811</v>
      </c>
      <c r="F9" s="55" t="s">
        <v>812</v>
      </c>
      <c r="G9" s="9">
        <v>0.80555555555555558</v>
      </c>
      <c r="H9" s="9">
        <v>0.83333333333333337</v>
      </c>
      <c r="I9" s="10">
        <f t="shared" si="0"/>
        <v>2.777777777777779E-2</v>
      </c>
      <c r="J9" s="11">
        <v>2</v>
      </c>
      <c r="K9" s="11">
        <v>143</v>
      </c>
      <c r="L9" s="16">
        <f t="shared" si="1"/>
        <v>107.24999999999994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31" t="s">
        <v>79</v>
      </c>
      <c r="E10" s="17" t="s">
        <v>800</v>
      </c>
      <c r="F10" s="86" t="s">
        <v>42</v>
      </c>
      <c r="G10" s="9">
        <v>0.86805555555555558</v>
      </c>
      <c r="H10" s="9">
        <v>0.87361111111111112</v>
      </c>
      <c r="I10" s="10">
        <f t="shared" si="0"/>
        <v>5.5555555555555358E-3</v>
      </c>
      <c r="J10" s="11">
        <v>2</v>
      </c>
      <c r="K10" s="11">
        <v>0.97</v>
      </c>
      <c r="L10" s="16">
        <f t="shared" si="1"/>
        <v>3.6375000000000131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30" t="s">
        <v>579</v>
      </c>
      <c r="E11" s="159" t="s">
        <v>802</v>
      </c>
      <c r="F11" s="55" t="s">
        <v>581</v>
      </c>
      <c r="G11" s="9">
        <v>0.83750000000000002</v>
      </c>
      <c r="H11" s="9">
        <v>0.86736111111111114</v>
      </c>
      <c r="I11" s="10">
        <f t="shared" si="0"/>
        <v>2.9861111111111116E-2</v>
      </c>
      <c r="J11" s="11">
        <v>2</v>
      </c>
      <c r="K11" s="11">
        <v>33.99</v>
      </c>
      <c r="L11" s="16">
        <f t="shared" si="1"/>
        <v>23.713953488372088</v>
      </c>
      <c r="M11" s="11"/>
      <c r="N11" s="11"/>
      <c r="O11" s="11"/>
      <c r="P11" s="11"/>
      <c r="Q11" s="11"/>
      <c r="R11" s="12"/>
      <c r="S11" s="12">
        <v>43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7" t="s">
        <v>803</v>
      </c>
      <c r="F12" s="55" t="s">
        <v>232</v>
      </c>
      <c r="G12" s="9">
        <v>0.84097222222222223</v>
      </c>
      <c r="H12" s="9">
        <v>0.87013888888888891</v>
      </c>
      <c r="I12" s="10">
        <f t="shared" si="0"/>
        <v>2.9166666666666674E-2</v>
      </c>
      <c r="J12" s="11">
        <v>1</v>
      </c>
      <c r="K12" s="11">
        <v>15.84</v>
      </c>
      <c r="L12" s="16">
        <f t="shared" si="1"/>
        <v>22.628571428571423</v>
      </c>
      <c r="M12" s="11">
        <v>42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7" t="s">
        <v>804</v>
      </c>
      <c r="F13" s="55" t="s">
        <v>232</v>
      </c>
      <c r="G13" s="9">
        <v>0.87222222222222223</v>
      </c>
      <c r="H13" s="9">
        <v>0.89236111111111116</v>
      </c>
      <c r="I13" s="10">
        <f t="shared" si="0"/>
        <v>2.0138888888888928E-2</v>
      </c>
      <c r="J13" s="11">
        <v>1</v>
      </c>
      <c r="K13" s="11">
        <v>15.84</v>
      </c>
      <c r="L13" s="16">
        <f t="shared" si="1"/>
        <v>32.772413793103382</v>
      </c>
      <c r="M13" s="11">
        <v>29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58" t="s">
        <v>805</v>
      </c>
      <c r="F14" s="55" t="s">
        <v>59</v>
      </c>
      <c r="G14" s="9">
        <v>0.84097222222222223</v>
      </c>
      <c r="H14" s="9">
        <v>0.85486111111111107</v>
      </c>
      <c r="I14" s="10">
        <f t="shared" si="0"/>
        <v>1.388888888888884E-2</v>
      </c>
      <c r="J14" s="11">
        <v>1</v>
      </c>
      <c r="K14" s="11">
        <v>27.61</v>
      </c>
      <c r="L14" s="16">
        <f t="shared" si="1"/>
        <v>82.830000000000297</v>
      </c>
      <c r="M14" s="11">
        <v>20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30" t="s">
        <v>730</v>
      </c>
      <c r="E15" s="15" t="s">
        <v>806</v>
      </c>
      <c r="F15" s="88" t="s">
        <v>42</v>
      </c>
      <c r="G15" s="9">
        <v>0.84097222222222223</v>
      </c>
      <c r="H15" s="9">
        <v>0.85069444444444442</v>
      </c>
      <c r="I15" s="10">
        <f>H15-G15</f>
        <v>9.7222222222221877E-3</v>
      </c>
      <c r="J15" s="11">
        <v>1</v>
      </c>
      <c r="K15" s="11">
        <v>1.6</v>
      </c>
      <c r="L15" s="16">
        <f>IFERROR(((K15/(J15*I15)/24)),"0")</f>
        <v>6.8571428571428816</v>
      </c>
      <c r="M15" s="11">
        <v>14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31"/>
      <c r="E16" s="15" t="s">
        <v>807</v>
      </c>
      <c r="F16" s="88" t="s">
        <v>42</v>
      </c>
      <c r="G16" s="9">
        <v>0.90486111111111112</v>
      </c>
      <c r="H16" s="9">
        <v>0.91319444444444442</v>
      </c>
      <c r="I16" s="10">
        <f>H16-G16</f>
        <v>8.3333333333333037E-3</v>
      </c>
      <c r="J16" s="11">
        <v>1</v>
      </c>
      <c r="K16" s="11">
        <v>8</v>
      </c>
      <c r="L16" s="16">
        <f>IFERROR(((K16/(J16*I16)/24)),"0")</f>
        <v>40.000000000000142</v>
      </c>
      <c r="M16" s="11">
        <v>12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31"/>
      <c r="E17" s="15" t="s">
        <v>808</v>
      </c>
      <c r="F17" s="88" t="s">
        <v>42</v>
      </c>
      <c r="G17" s="9">
        <v>0.89930555555555558</v>
      </c>
      <c r="H17" s="9">
        <v>0.90625</v>
      </c>
      <c r="I17" s="10">
        <f>H17-G17</f>
        <v>6.9444444444444198E-3</v>
      </c>
      <c r="J17" s="11">
        <v>2</v>
      </c>
      <c r="K17" s="11">
        <v>0.16</v>
      </c>
      <c r="L17" s="16">
        <f>IFERROR(((K17/(J17*I17)/24)),"0")</f>
        <v>0.4800000000000017</v>
      </c>
      <c r="M17" s="11"/>
      <c r="N17" s="11"/>
      <c r="O17" s="11"/>
      <c r="P17" s="11"/>
      <c r="Q17" s="11"/>
      <c r="R17" s="12"/>
      <c r="S17" s="12">
        <v>10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31"/>
      <c r="E18" s="17"/>
      <c r="F18" s="55"/>
      <c r="G18" s="9"/>
      <c r="H18" s="9"/>
      <c r="I18" s="10">
        <f>H18-G18</f>
        <v>0</v>
      </c>
      <c r="J18" s="11"/>
      <c r="K18" s="11"/>
      <c r="L18" s="16" t="str">
        <f>IFERROR(((K18/(J18*I18)/24)),"0")</f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6"/>
      <c r="E19" s="111"/>
      <c r="F19" s="55"/>
      <c r="G19" s="9"/>
      <c r="H19" s="9"/>
      <c r="I19" s="10">
        <f>H19-G19</f>
        <v>0</v>
      </c>
      <c r="J19" s="11"/>
      <c r="K19" s="11"/>
      <c r="L19" s="16" t="str">
        <f>IFERROR(((K19/(J19*I19)/24)),"0")</f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s="28" customFormat="1" ht="25.05" customHeight="1">
      <c r="A20" s="2"/>
      <c r="B20" s="21"/>
      <c r="C20" s="22"/>
      <c r="D20" s="23"/>
      <c r="E20" s="24"/>
      <c r="F20" s="24"/>
      <c r="G20" s="25"/>
      <c r="H20" s="25"/>
      <c r="I20" s="26"/>
      <c r="J20" s="27"/>
      <c r="K20" s="27">
        <f t="shared" ref="K20:AL20" si="2">SUM(K4:K14)</f>
        <v>1265.1499999999999</v>
      </c>
      <c r="L20" s="39">
        <f t="shared" si="2"/>
        <v>776.02961882611316</v>
      </c>
      <c r="M20" s="27">
        <f t="shared" si="2"/>
        <v>186</v>
      </c>
      <c r="N20" s="27">
        <f t="shared" si="2"/>
        <v>0</v>
      </c>
      <c r="O20" s="27">
        <f t="shared" si="2"/>
        <v>0</v>
      </c>
      <c r="P20" s="27">
        <f t="shared" si="2"/>
        <v>0</v>
      </c>
      <c r="Q20" s="27">
        <f t="shared" si="2"/>
        <v>0</v>
      </c>
      <c r="R20" s="27">
        <f t="shared" si="2"/>
        <v>0</v>
      </c>
      <c r="S20" s="27">
        <f t="shared" si="2"/>
        <v>298</v>
      </c>
      <c r="T20" s="27">
        <f t="shared" si="2"/>
        <v>0</v>
      </c>
      <c r="U20" s="27">
        <f t="shared" si="2"/>
        <v>0</v>
      </c>
      <c r="V20" s="27">
        <f t="shared" si="2"/>
        <v>0</v>
      </c>
      <c r="W20" s="27">
        <f t="shared" si="2"/>
        <v>0</v>
      </c>
      <c r="X20" s="27">
        <f t="shared" si="2"/>
        <v>0</v>
      </c>
      <c r="Y20" s="27">
        <f t="shared" si="2"/>
        <v>0</v>
      </c>
      <c r="Z20" s="27">
        <f t="shared" si="2"/>
        <v>0</v>
      </c>
      <c r="AA20" s="27">
        <f t="shared" si="2"/>
        <v>0</v>
      </c>
      <c r="AB20" s="27">
        <f t="shared" si="2"/>
        <v>0</v>
      </c>
      <c r="AC20" s="27">
        <f t="shared" si="2"/>
        <v>0</v>
      </c>
      <c r="AD20" s="27">
        <f t="shared" si="2"/>
        <v>0</v>
      </c>
      <c r="AE20" s="27">
        <f t="shared" si="2"/>
        <v>0</v>
      </c>
      <c r="AF20" s="27">
        <f t="shared" si="2"/>
        <v>0</v>
      </c>
      <c r="AG20" s="27">
        <f t="shared" si="2"/>
        <v>0</v>
      </c>
      <c r="AH20" s="27">
        <f t="shared" si="2"/>
        <v>0</v>
      </c>
      <c r="AI20" s="27">
        <f t="shared" si="2"/>
        <v>0</v>
      </c>
      <c r="AJ20" s="27">
        <f t="shared" si="2"/>
        <v>0</v>
      </c>
      <c r="AK20" s="27">
        <f t="shared" si="2"/>
        <v>0</v>
      </c>
      <c r="AL20" s="27">
        <f t="shared" si="2"/>
        <v>0</v>
      </c>
    </row>
    <row r="21" spans="1:38" ht="25.05" customHeight="1">
      <c r="B21" s="13"/>
      <c r="C21" s="14" t="s">
        <v>43</v>
      </c>
      <c r="D21" s="6"/>
      <c r="E21" s="7" t="s">
        <v>41</v>
      </c>
      <c r="F21" s="8" t="s">
        <v>42</v>
      </c>
      <c r="G21" s="9"/>
      <c r="H21" s="9"/>
      <c r="I21" s="10">
        <f>H21-G21</f>
        <v>0</v>
      </c>
      <c r="J21" s="11"/>
      <c r="K21" s="11"/>
      <c r="L21" s="16" t="str">
        <f>IFERROR(((K21/(J21*I21)/24)),"0")</f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18"/>
      <c r="E22" s="6"/>
      <c r="F22" s="14"/>
      <c r="G22" s="9"/>
      <c r="H22" s="9"/>
      <c r="I22" s="10"/>
      <c r="J22" s="11"/>
      <c r="K22" s="11"/>
      <c r="L22" s="16"/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s="28" customFormat="1" ht="25.05" customHeight="1">
      <c r="A23" s="2"/>
      <c r="B23" s="21"/>
      <c r="C23" s="22"/>
      <c r="D23" s="23"/>
      <c r="E23" s="24"/>
      <c r="F23" s="22"/>
      <c r="G23" s="25"/>
      <c r="H23" s="25"/>
      <c r="I23" s="26"/>
      <c r="J23" s="27"/>
      <c r="K23" s="27">
        <f t="shared" ref="K23:AI23" si="3">SUM(K21:K22)</f>
        <v>0</v>
      </c>
      <c r="L23" s="27">
        <f t="shared" si="3"/>
        <v>0</v>
      </c>
      <c r="M23" s="27">
        <f t="shared" si="3"/>
        <v>0</v>
      </c>
      <c r="N23" s="27">
        <f t="shared" si="3"/>
        <v>0</v>
      </c>
      <c r="O23" s="27">
        <f t="shared" si="3"/>
        <v>0</v>
      </c>
      <c r="P23" s="27">
        <f t="shared" si="3"/>
        <v>0</v>
      </c>
      <c r="Q23" s="27">
        <f t="shared" si="3"/>
        <v>0</v>
      </c>
      <c r="R23" s="27">
        <f t="shared" si="3"/>
        <v>0</v>
      </c>
      <c r="S23" s="27">
        <f t="shared" si="3"/>
        <v>0</v>
      </c>
      <c r="T23" s="27">
        <f t="shared" si="3"/>
        <v>0</v>
      </c>
      <c r="U23" s="27">
        <f t="shared" si="3"/>
        <v>0</v>
      </c>
      <c r="V23" s="27">
        <f t="shared" si="3"/>
        <v>0</v>
      </c>
      <c r="W23" s="27">
        <f t="shared" si="3"/>
        <v>0</v>
      </c>
      <c r="X23" s="27">
        <f t="shared" si="3"/>
        <v>0</v>
      </c>
      <c r="Y23" s="27">
        <f t="shared" si="3"/>
        <v>0</v>
      </c>
      <c r="Z23" s="27">
        <f t="shared" si="3"/>
        <v>0</v>
      </c>
      <c r="AA23" s="27">
        <f t="shared" si="3"/>
        <v>0</v>
      </c>
      <c r="AB23" s="27">
        <f t="shared" si="3"/>
        <v>0</v>
      </c>
      <c r="AC23" s="27">
        <f t="shared" si="3"/>
        <v>0</v>
      </c>
      <c r="AD23" s="27">
        <f t="shared" si="3"/>
        <v>0</v>
      </c>
      <c r="AE23" s="27">
        <f t="shared" si="3"/>
        <v>0</v>
      </c>
      <c r="AF23" s="27">
        <f t="shared" si="3"/>
        <v>0</v>
      </c>
      <c r="AG23" s="27">
        <f t="shared" si="3"/>
        <v>0</v>
      </c>
      <c r="AH23" s="27">
        <f t="shared" si="3"/>
        <v>0</v>
      </c>
      <c r="AI23" s="27">
        <f t="shared" si="3"/>
        <v>0</v>
      </c>
      <c r="AJ23" s="27">
        <f>SUM(AJ21:AJ22)</f>
        <v>0</v>
      </c>
      <c r="AK23" s="27">
        <f>SUM(AK21:AK22)</f>
        <v>0</v>
      </c>
      <c r="AL23" s="27">
        <f>SUM(AL21:AL22)</f>
        <v>0</v>
      </c>
    </row>
    <row r="24" spans="1:38" ht="25.05" customHeight="1">
      <c r="B24" s="5">
        <v>46104</v>
      </c>
      <c r="C24" s="29" t="s">
        <v>44</v>
      </c>
      <c r="D24" s="30"/>
      <c r="E24" s="7" t="s">
        <v>41</v>
      </c>
      <c r="F24" s="8" t="s">
        <v>42</v>
      </c>
      <c r="G24" s="9">
        <v>0.79166666666666663</v>
      </c>
      <c r="H24" s="9">
        <v>0.83333333333333337</v>
      </c>
      <c r="I24" s="10">
        <f t="shared" ref="I24:I52" si="4">H24-G24</f>
        <v>4.1666666666666741E-2</v>
      </c>
      <c r="J24" s="11">
        <v>5</v>
      </c>
      <c r="K24" s="62" t="s">
        <v>42</v>
      </c>
      <c r="L24" s="64" t="s">
        <v>42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4"/>
    </row>
    <row r="25" spans="1:38" ht="25.05" customHeight="1">
      <c r="B25" s="13"/>
      <c r="C25" s="29"/>
      <c r="D25" s="161" t="s">
        <v>726</v>
      </c>
      <c r="E25" s="147" t="s">
        <v>813</v>
      </c>
      <c r="F25" s="8" t="s">
        <v>42</v>
      </c>
      <c r="G25" s="9">
        <v>0.83888888888888891</v>
      </c>
      <c r="H25" s="9">
        <v>0.84930555555555554</v>
      </c>
      <c r="I25" s="10">
        <f t="shared" si="4"/>
        <v>1.041666666666663E-2</v>
      </c>
      <c r="J25" s="11">
        <v>1</v>
      </c>
      <c r="K25" s="11">
        <v>1.3</v>
      </c>
      <c r="L25" s="16">
        <f t="shared" ref="L25:L52" si="5">IFERROR(((K25/(J25*I25)/24)),"0")</f>
        <v>5.2000000000000188</v>
      </c>
      <c r="M25" s="11"/>
      <c r="N25" s="11"/>
      <c r="O25" s="11"/>
      <c r="P25" s="11"/>
      <c r="Q25" s="11"/>
      <c r="R25" s="12"/>
      <c r="S25" s="12"/>
      <c r="T25" s="11"/>
      <c r="U25" s="11"/>
      <c r="V25" s="12">
        <v>15</v>
      </c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4"/>
    </row>
    <row r="26" spans="1:38" ht="25.05" customHeight="1">
      <c r="B26" s="13"/>
      <c r="C26" s="29"/>
      <c r="D26" s="30"/>
      <c r="E26" s="147" t="s">
        <v>814</v>
      </c>
      <c r="F26" s="8" t="s">
        <v>42</v>
      </c>
      <c r="G26" s="9">
        <v>0.92361111111111116</v>
      </c>
      <c r="H26" s="9">
        <v>0.92708333333333337</v>
      </c>
      <c r="I26" s="10">
        <f t="shared" si="4"/>
        <v>3.4722222222222099E-3</v>
      </c>
      <c r="J26" s="11">
        <v>4</v>
      </c>
      <c r="K26" s="11">
        <v>10.210000000000001</v>
      </c>
      <c r="L26" s="16">
        <f t="shared" si="5"/>
        <v>30.630000000000109</v>
      </c>
      <c r="M26" s="11"/>
      <c r="N26" s="11"/>
      <c r="O26" s="11"/>
      <c r="P26" s="11"/>
      <c r="Q26" s="11"/>
      <c r="R26" s="12"/>
      <c r="S26" s="12"/>
      <c r="T26" s="11"/>
      <c r="U26" s="11"/>
      <c r="V26" s="12">
        <v>2</v>
      </c>
      <c r="W26" s="12"/>
      <c r="X26" s="11"/>
      <c r="Y26" s="11"/>
      <c r="Z26" s="11">
        <v>5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4"/>
    </row>
    <row r="27" spans="1:38" ht="25.05" customHeight="1">
      <c r="B27" s="13"/>
      <c r="C27" s="29"/>
      <c r="D27" s="30"/>
      <c r="E27" s="147" t="s">
        <v>815</v>
      </c>
      <c r="F27" s="8" t="s">
        <v>42</v>
      </c>
      <c r="G27" s="9">
        <v>0.92361111111111116</v>
      </c>
      <c r="H27" s="9">
        <v>0.92708333333333337</v>
      </c>
      <c r="I27" s="10">
        <f t="shared" si="4"/>
        <v>3.4722222222222099E-3</v>
      </c>
      <c r="J27" s="11">
        <v>4</v>
      </c>
      <c r="K27" s="11">
        <v>10.24</v>
      </c>
      <c r="L27" s="16">
        <f t="shared" si="5"/>
        <v>30.720000000000109</v>
      </c>
      <c r="M27" s="11"/>
      <c r="N27" s="11"/>
      <c r="O27" s="11"/>
      <c r="P27" s="11"/>
      <c r="Q27" s="11"/>
      <c r="R27" s="12"/>
      <c r="S27" s="12"/>
      <c r="T27" s="11"/>
      <c r="U27" s="11"/>
      <c r="V27" s="12">
        <v>2</v>
      </c>
      <c r="W27" s="12"/>
      <c r="X27" s="11"/>
      <c r="Y27" s="11"/>
      <c r="Z27" s="11">
        <v>5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4"/>
    </row>
    <row r="28" spans="1:38" ht="25.05" customHeight="1">
      <c r="B28" s="13"/>
      <c r="C28" s="29"/>
      <c r="D28" s="30"/>
      <c r="E28" s="147" t="s">
        <v>816</v>
      </c>
      <c r="F28" s="8" t="s">
        <v>42</v>
      </c>
      <c r="G28" s="9">
        <v>0.92361111111111116</v>
      </c>
      <c r="H28" s="9">
        <v>0.92708333333333337</v>
      </c>
      <c r="I28" s="10">
        <f t="shared" si="4"/>
        <v>3.4722222222222099E-3</v>
      </c>
      <c r="J28" s="11">
        <v>4</v>
      </c>
      <c r="K28" s="11">
        <v>10.130000000000001</v>
      </c>
      <c r="L28" s="16">
        <f t="shared" si="5"/>
        <v>30.390000000000111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/>
      <c r="Y28" s="11"/>
      <c r="Z28" s="11">
        <v>5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30"/>
      <c r="E29" s="147" t="s">
        <v>817</v>
      </c>
      <c r="F29" s="8" t="s">
        <v>42</v>
      </c>
      <c r="G29" s="9">
        <v>0.9375</v>
      </c>
      <c r="H29" s="9">
        <v>0.94097222222222221</v>
      </c>
      <c r="I29" s="10">
        <f t="shared" si="4"/>
        <v>3.4722222222222099E-3</v>
      </c>
      <c r="J29" s="11">
        <v>4</v>
      </c>
      <c r="K29" s="11">
        <v>10.44</v>
      </c>
      <c r="L29" s="16">
        <f t="shared" si="5"/>
        <v>31.32000000000011</v>
      </c>
      <c r="M29" s="11"/>
      <c r="N29" s="11"/>
      <c r="O29" s="11"/>
      <c r="P29" s="11"/>
      <c r="Q29" s="11"/>
      <c r="R29" s="12"/>
      <c r="S29" s="12"/>
      <c r="T29" s="11"/>
      <c r="U29" s="11"/>
      <c r="V29" s="12">
        <v>2</v>
      </c>
      <c r="W29" s="12"/>
      <c r="X29" s="11"/>
      <c r="Y29" s="11"/>
      <c r="Z29" s="11">
        <v>5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47" t="s">
        <v>818</v>
      </c>
      <c r="F30" s="8" t="s">
        <v>42</v>
      </c>
      <c r="G30" s="9">
        <v>0.9375</v>
      </c>
      <c r="H30" s="9">
        <v>0.94097222222222221</v>
      </c>
      <c r="I30" s="10">
        <f t="shared" si="4"/>
        <v>3.4722222222222099E-3</v>
      </c>
      <c r="J30" s="11">
        <v>4</v>
      </c>
      <c r="K30" s="11">
        <v>10.24</v>
      </c>
      <c r="L30" s="16">
        <f t="shared" si="5"/>
        <v>30.720000000000109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>
        <v>2</v>
      </c>
      <c r="X30" s="11"/>
      <c r="Y30" s="11"/>
      <c r="Z30" s="11">
        <v>5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47" t="s">
        <v>819</v>
      </c>
      <c r="F31" s="8" t="s">
        <v>42</v>
      </c>
      <c r="G31" s="9">
        <v>0.9375</v>
      </c>
      <c r="H31" s="9">
        <v>0.94097222222222221</v>
      </c>
      <c r="I31" s="10">
        <f t="shared" si="4"/>
        <v>3.4722222222222099E-3</v>
      </c>
      <c r="J31" s="11">
        <v>4</v>
      </c>
      <c r="K31" s="11">
        <v>10.45</v>
      </c>
      <c r="L31" s="16">
        <f t="shared" si="5"/>
        <v>31.350000000000108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2</v>
      </c>
      <c r="X31" s="11"/>
      <c r="Y31" s="11"/>
      <c r="Z31" s="11">
        <v>5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47" t="s">
        <v>820</v>
      </c>
      <c r="F32" s="8" t="s">
        <v>42</v>
      </c>
      <c r="G32" s="9">
        <v>0.9604166666666667</v>
      </c>
      <c r="H32" s="9">
        <v>0.96388888888888891</v>
      </c>
      <c r="I32" s="10">
        <f t="shared" si="4"/>
        <v>3.4722222222222099E-3</v>
      </c>
      <c r="J32" s="11">
        <v>4</v>
      </c>
      <c r="K32" s="11">
        <v>10.26</v>
      </c>
      <c r="L32" s="16">
        <f t="shared" si="5"/>
        <v>30.780000000000111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2</v>
      </c>
      <c r="W32" s="12"/>
      <c r="X32" s="11"/>
      <c r="Y32" s="11"/>
      <c r="Z32" s="11">
        <v>5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47" t="s">
        <v>821</v>
      </c>
      <c r="F33" s="8" t="s">
        <v>42</v>
      </c>
      <c r="G33" s="9">
        <v>0.9604166666666667</v>
      </c>
      <c r="H33" s="9">
        <v>0.96388888888888891</v>
      </c>
      <c r="I33" s="10">
        <f t="shared" si="4"/>
        <v>3.4722222222222099E-3</v>
      </c>
      <c r="J33" s="11">
        <v>4</v>
      </c>
      <c r="K33" s="11">
        <v>10.31</v>
      </c>
      <c r="L33" s="16">
        <f t="shared" si="5"/>
        <v>30.93000000000011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</v>
      </c>
      <c r="W33" s="12"/>
      <c r="X33" s="11"/>
      <c r="Y33" s="11"/>
      <c r="Z33" s="11">
        <v>5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47" t="s">
        <v>822</v>
      </c>
      <c r="F34" s="8" t="s">
        <v>42</v>
      </c>
      <c r="G34" s="9">
        <v>0.9604166666666667</v>
      </c>
      <c r="H34" s="9">
        <v>0.96388888888888891</v>
      </c>
      <c r="I34" s="10">
        <f t="shared" si="4"/>
        <v>3.4722222222222099E-3</v>
      </c>
      <c r="J34" s="11">
        <v>4</v>
      </c>
      <c r="K34" s="11">
        <v>10.130000000000001</v>
      </c>
      <c r="L34" s="16">
        <f t="shared" si="5"/>
        <v>30.390000000000111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>
        <v>5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47" t="s">
        <v>823</v>
      </c>
      <c r="F35" s="8" t="s">
        <v>42</v>
      </c>
      <c r="G35" s="9">
        <v>0.96666666666666667</v>
      </c>
      <c r="H35" s="9">
        <v>0.97013888888888888</v>
      </c>
      <c r="I35" s="10">
        <f t="shared" si="4"/>
        <v>3.4722222222222099E-3</v>
      </c>
      <c r="J35" s="11">
        <v>4</v>
      </c>
      <c r="K35" s="11">
        <v>10.36</v>
      </c>
      <c r="L35" s="16">
        <f t="shared" si="5"/>
        <v>31.080000000000108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>
        <v>5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47" t="s">
        <v>824</v>
      </c>
      <c r="F36" s="8" t="s">
        <v>42</v>
      </c>
      <c r="G36" s="9">
        <v>0.96666666666666667</v>
      </c>
      <c r="H36" s="9">
        <v>0.97013888888888888</v>
      </c>
      <c r="I36" s="10">
        <f t="shared" si="4"/>
        <v>3.4722222222222099E-3</v>
      </c>
      <c r="J36" s="11">
        <v>4</v>
      </c>
      <c r="K36" s="11">
        <v>10.34</v>
      </c>
      <c r="L36" s="16">
        <f t="shared" si="5"/>
        <v>31.02000000000011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>
        <v>5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47" t="s">
        <v>825</v>
      </c>
      <c r="F37" s="8" t="s">
        <v>42</v>
      </c>
      <c r="G37" s="9">
        <v>0.98263888888888884</v>
      </c>
      <c r="H37" s="9">
        <v>0.98611111111111116</v>
      </c>
      <c r="I37" s="10">
        <f t="shared" si="4"/>
        <v>3.4722222222223209E-3</v>
      </c>
      <c r="J37" s="11">
        <v>4</v>
      </c>
      <c r="K37" s="11">
        <v>10.36</v>
      </c>
      <c r="L37" s="16">
        <f t="shared" si="5"/>
        <v>31.079999999999117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>
        <v>5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47" t="s">
        <v>826</v>
      </c>
      <c r="F38" s="8" t="s">
        <v>42</v>
      </c>
      <c r="G38" s="9">
        <v>0.98263888888888884</v>
      </c>
      <c r="H38" s="9">
        <v>0.98611111111111116</v>
      </c>
      <c r="I38" s="10">
        <f t="shared" si="4"/>
        <v>3.4722222222223209E-3</v>
      </c>
      <c r="J38" s="11">
        <v>4</v>
      </c>
      <c r="K38" s="11">
        <v>10.3</v>
      </c>
      <c r="L38" s="16">
        <f t="shared" si="5"/>
        <v>30.899999999999125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47" t="s">
        <v>827</v>
      </c>
      <c r="F39" s="8" t="s">
        <v>42</v>
      </c>
      <c r="G39" s="9">
        <v>7.6388888888888895E-2</v>
      </c>
      <c r="H39" s="9">
        <v>8.819444444444445E-2</v>
      </c>
      <c r="I39" s="10">
        <f t="shared" si="4"/>
        <v>1.1805555555555555E-2</v>
      </c>
      <c r="J39" s="11">
        <v>13</v>
      </c>
      <c r="K39" s="11">
        <v>60.24</v>
      </c>
      <c r="L39" s="16">
        <f t="shared" si="5"/>
        <v>16.354751131221718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/>
      <c r="X39" s="11"/>
      <c r="Y39" s="11">
        <v>8.5</v>
      </c>
      <c r="Z39" s="11" t="s">
        <v>828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47" t="s">
        <v>829</v>
      </c>
      <c r="F40" s="8" t="s">
        <v>42</v>
      </c>
      <c r="G40" s="9">
        <v>8.0555555555555561E-2</v>
      </c>
      <c r="H40" s="9">
        <v>9.0277777777777776E-2</v>
      </c>
      <c r="I40" s="10">
        <f t="shared" si="4"/>
        <v>9.7222222222222154E-3</v>
      </c>
      <c r="J40" s="11">
        <v>13</v>
      </c>
      <c r="K40" s="11">
        <v>58.88</v>
      </c>
      <c r="L40" s="16">
        <f t="shared" si="5"/>
        <v>19.410989010989024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>
        <v>7</v>
      </c>
      <c r="AA40" s="11">
        <v>7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47" t="s">
        <v>830</v>
      </c>
      <c r="F41" s="8" t="s">
        <v>42</v>
      </c>
      <c r="G41" s="9">
        <v>9.166666666666666E-2</v>
      </c>
      <c r="H41" s="9">
        <v>0.10486111111111111</v>
      </c>
      <c r="I41" s="10">
        <f t="shared" si="4"/>
        <v>1.3194444444444453E-2</v>
      </c>
      <c r="J41" s="11">
        <v>13</v>
      </c>
      <c r="K41" s="11">
        <v>57.84</v>
      </c>
      <c r="L41" s="16">
        <f t="shared" si="5"/>
        <v>14.05020242914979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>
        <v>9.5</v>
      </c>
      <c r="Z41" s="11"/>
      <c r="AA41" s="11">
        <v>9.5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47" t="s">
        <v>831</v>
      </c>
      <c r="F42" s="8" t="s">
        <v>42</v>
      </c>
      <c r="G42" s="9">
        <v>9.8611111111111108E-2</v>
      </c>
      <c r="H42" s="9">
        <v>0.11458333333333333</v>
      </c>
      <c r="I42" s="10">
        <f t="shared" si="4"/>
        <v>1.5972222222222221E-2</v>
      </c>
      <c r="J42" s="11">
        <v>13</v>
      </c>
      <c r="K42" s="11">
        <v>60.08</v>
      </c>
      <c r="L42" s="16">
        <f t="shared" si="5"/>
        <v>12.0561872909699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>
        <v>11.5</v>
      </c>
      <c r="Z42" s="11">
        <v>11.5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47" t="s">
        <v>832</v>
      </c>
      <c r="F43" s="8" t="s">
        <v>42</v>
      </c>
      <c r="G43" s="9">
        <v>0.10625</v>
      </c>
      <c r="H43" s="9">
        <v>0.11944444444444445</v>
      </c>
      <c r="I43" s="10">
        <f t="shared" si="4"/>
        <v>1.3194444444444453E-2</v>
      </c>
      <c r="J43" s="11">
        <v>13</v>
      </c>
      <c r="K43" s="11">
        <v>59.4</v>
      </c>
      <c r="L43" s="16">
        <f t="shared" si="5"/>
        <v>14.429149797570842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>
        <v>9.5</v>
      </c>
      <c r="AA43" s="11">
        <v>9.5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47" t="s">
        <v>833</v>
      </c>
      <c r="F44" s="8" t="s">
        <v>42</v>
      </c>
      <c r="G44" s="9">
        <v>0.11597222222222223</v>
      </c>
      <c r="H44" s="9">
        <v>0.12777777777777777</v>
      </c>
      <c r="I44" s="10">
        <f t="shared" si="4"/>
        <v>1.1805555555555541E-2</v>
      </c>
      <c r="J44" s="11">
        <v>13</v>
      </c>
      <c r="K44" s="11">
        <v>57.48</v>
      </c>
      <c r="L44" s="16">
        <f t="shared" si="5"/>
        <v>15.605429864253411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>
        <v>8.5</v>
      </c>
      <c r="Z44" s="11"/>
      <c r="AA44" s="11">
        <v>8.5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47" t="s">
        <v>834</v>
      </c>
      <c r="F45" s="8" t="s">
        <v>42</v>
      </c>
      <c r="G45" s="9">
        <v>0.11944444444444445</v>
      </c>
      <c r="H45" s="9">
        <v>0.13750000000000001</v>
      </c>
      <c r="I45" s="10">
        <f t="shared" si="4"/>
        <v>1.8055555555555561E-2</v>
      </c>
      <c r="J45" s="11">
        <v>13</v>
      </c>
      <c r="K45" s="11">
        <v>58.79</v>
      </c>
      <c r="L45" s="16">
        <f t="shared" si="5"/>
        <v>10.436094674556211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>
        <v>13</v>
      </c>
      <c r="Z45" s="11">
        <v>13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47" t="s">
        <v>835</v>
      </c>
      <c r="F46" s="8" t="s">
        <v>42</v>
      </c>
      <c r="G46" s="9">
        <v>0.12986111111111112</v>
      </c>
      <c r="H46" s="9">
        <v>0.13958333333333334</v>
      </c>
      <c r="I46" s="10">
        <f t="shared" si="4"/>
        <v>9.7222222222222154E-3</v>
      </c>
      <c r="J46" s="11">
        <v>13</v>
      </c>
      <c r="K46" s="11">
        <v>67.290000000000006</v>
      </c>
      <c r="L46" s="16">
        <f t="shared" si="5"/>
        <v>22.183516483516499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>
        <v>7</v>
      </c>
      <c r="AA46" s="11">
        <v>7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47" t="s">
        <v>836</v>
      </c>
      <c r="F47" s="8" t="s">
        <v>42</v>
      </c>
      <c r="G47" s="9">
        <v>0.13958333333333334</v>
      </c>
      <c r="H47" s="9">
        <v>0.15069444444444444</v>
      </c>
      <c r="I47" s="10">
        <f t="shared" si="4"/>
        <v>1.1111111111111099E-2</v>
      </c>
      <c r="J47" s="11">
        <v>13</v>
      </c>
      <c r="K47" s="11">
        <v>63.94</v>
      </c>
      <c r="L47" s="16">
        <f t="shared" si="5"/>
        <v>18.444230769230789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/>
      <c r="Y47" s="11">
        <v>8</v>
      </c>
      <c r="Z47" s="11">
        <v>8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47" t="s">
        <v>837</v>
      </c>
      <c r="F48" s="8" t="s">
        <v>42</v>
      </c>
      <c r="G48" s="9">
        <v>0.14166666666666666</v>
      </c>
      <c r="H48" s="9">
        <v>0.16180555555555556</v>
      </c>
      <c r="I48" s="10">
        <f t="shared" si="4"/>
        <v>2.0138888888888901E-2</v>
      </c>
      <c r="J48" s="11">
        <v>13</v>
      </c>
      <c r="K48" s="11">
        <v>65.27</v>
      </c>
      <c r="L48" s="16">
        <f t="shared" si="5"/>
        <v>10.387798408488056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>
        <v>14.5</v>
      </c>
      <c r="Z48" s="11"/>
      <c r="AA48" s="11">
        <v>14.5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47" t="s">
        <v>838</v>
      </c>
      <c r="F49" s="8" t="s">
        <v>42</v>
      </c>
      <c r="G49" s="9">
        <v>0.15138888888888888</v>
      </c>
      <c r="H49" s="9">
        <v>0.16319444444444445</v>
      </c>
      <c r="I49" s="10">
        <f t="shared" si="4"/>
        <v>1.1805555555555569E-2</v>
      </c>
      <c r="J49" s="11">
        <v>13</v>
      </c>
      <c r="K49" s="11">
        <v>64.19</v>
      </c>
      <c r="L49" s="16">
        <f t="shared" si="5"/>
        <v>17.427149321266949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>
        <v>8.5</v>
      </c>
      <c r="AA49" s="11">
        <v>8.5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47" t="s">
        <v>839</v>
      </c>
      <c r="F50" s="14"/>
      <c r="G50" s="9">
        <v>0.16250000000000001</v>
      </c>
      <c r="H50" s="9">
        <v>0.1736111111111111</v>
      </c>
      <c r="I50" s="10">
        <f t="shared" si="4"/>
        <v>1.1111111111111099E-2</v>
      </c>
      <c r="J50" s="11">
        <v>13</v>
      </c>
      <c r="K50" s="11">
        <v>66.5</v>
      </c>
      <c r="L50" s="16">
        <f t="shared" si="5"/>
        <v>19.182692307692328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>
        <v>8</v>
      </c>
      <c r="Z50" s="11">
        <v>8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47" t="s">
        <v>840</v>
      </c>
      <c r="F51" s="8" t="s">
        <v>42</v>
      </c>
      <c r="G51" s="9">
        <v>0.1673611111111111</v>
      </c>
      <c r="H51" s="9">
        <v>0.18263888888888888</v>
      </c>
      <c r="I51" s="10">
        <f t="shared" si="4"/>
        <v>1.5277777777777779E-2</v>
      </c>
      <c r="J51" s="11">
        <v>13</v>
      </c>
      <c r="K51" s="11">
        <v>68.599999999999994</v>
      </c>
      <c r="L51" s="16">
        <f t="shared" si="5"/>
        <v>14.391608391608388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>
        <v>11</v>
      </c>
      <c r="AA51" s="11">
        <v>11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47" t="s">
        <v>841</v>
      </c>
      <c r="F52" s="8" t="s">
        <v>42</v>
      </c>
      <c r="G52" s="9">
        <v>0.17499999999999999</v>
      </c>
      <c r="H52" s="9">
        <v>0.18819444444444444</v>
      </c>
      <c r="I52" s="10">
        <f t="shared" si="4"/>
        <v>1.3194444444444453E-2</v>
      </c>
      <c r="J52" s="11">
        <v>13</v>
      </c>
      <c r="K52" s="11">
        <v>62.08</v>
      </c>
      <c r="L52" s="16">
        <f t="shared" si="5"/>
        <v>15.080161943319828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>
        <v>9.5</v>
      </c>
      <c r="Z52" s="11"/>
      <c r="AA52" s="11">
        <v>9.5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/>
      <c r="F53" s="8" t="s">
        <v>42</v>
      </c>
      <c r="G53" s="9"/>
      <c r="H53" s="9"/>
      <c r="I53" s="10">
        <f t="shared" ref="I53:I66" si="6">H53-G53</f>
        <v>0</v>
      </c>
      <c r="J53" s="11"/>
      <c r="K53" s="11"/>
      <c r="L53" s="16" t="str">
        <f t="shared" ref="L53:L66" si="7">IFERROR(((K53/(J53*I53)/24)),"0")</f>
        <v>0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6" t="s">
        <v>79</v>
      </c>
      <c r="E54" s="19" t="s">
        <v>842</v>
      </c>
      <c r="F54" s="8" t="s">
        <v>42</v>
      </c>
      <c r="G54" s="9">
        <v>0.86458333333333337</v>
      </c>
      <c r="H54" s="9">
        <v>0.86805555555555558</v>
      </c>
      <c r="I54" s="10">
        <f t="shared" si="6"/>
        <v>3.4722222222222099E-3</v>
      </c>
      <c r="J54" s="11">
        <v>1</v>
      </c>
      <c r="K54" s="11">
        <v>3.52</v>
      </c>
      <c r="L54" s="16">
        <f t="shared" si="7"/>
        <v>42.240000000000151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5</v>
      </c>
      <c r="W54" s="12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248</v>
      </c>
      <c r="F55" s="8" t="s">
        <v>42</v>
      </c>
      <c r="G55" s="9">
        <v>0.82777777777777772</v>
      </c>
      <c r="H55" s="9">
        <v>0.87708333333333333</v>
      </c>
      <c r="I55" s="10">
        <f t="shared" si="6"/>
        <v>4.9305555555555602E-2</v>
      </c>
      <c r="J55" s="11">
        <v>4</v>
      </c>
      <c r="K55" s="11">
        <v>66.319999999999993</v>
      </c>
      <c r="L55" s="16">
        <f t="shared" si="7"/>
        <v>14.011267605633789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>
        <v>17.75</v>
      </c>
      <c r="AH55" s="11">
        <v>17.75</v>
      </c>
      <c r="AI55" s="11">
        <v>17.75</v>
      </c>
      <c r="AJ55" s="11">
        <v>17.75</v>
      </c>
      <c r="AK55" s="11"/>
      <c r="AL55" s="14"/>
    </row>
    <row r="56" spans="2:38" ht="25.05" customHeight="1">
      <c r="B56" s="13"/>
      <c r="C56" s="29"/>
      <c r="D56" s="30"/>
      <c r="E56" s="19" t="s">
        <v>249</v>
      </c>
      <c r="F56" s="8" t="s">
        <v>42</v>
      </c>
      <c r="G56" s="9">
        <v>0.87777777777777777</v>
      </c>
      <c r="H56" s="9">
        <v>0.92361111111111116</v>
      </c>
      <c r="I56" s="10">
        <f t="shared" si="6"/>
        <v>4.5833333333333393E-2</v>
      </c>
      <c r="J56" s="11">
        <v>4</v>
      </c>
      <c r="K56" s="11">
        <v>70.569999999999993</v>
      </c>
      <c r="L56" s="16">
        <f t="shared" si="7"/>
        <v>16.038636363636339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>
        <v>16.5</v>
      </c>
      <c r="AH56" s="11">
        <v>16.5</v>
      </c>
      <c r="AI56" s="11">
        <v>16.5</v>
      </c>
      <c r="AJ56" s="11">
        <v>16.5</v>
      </c>
      <c r="AK56" s="11"/>
      <c r="AL56" s="14"/>
    </row>
    <row r="57" spans="2:38" ht="25.05" customHeight="1">
      <c r="B57" s="13"/>
      <c r="C57" s="29"/>
      <c r="D57" s="30"/>
      <c r="E57" s="19"/>
      <c r="F57" s="8" t="s">
        <v>42</v>
      </c>
      <c r="G57" s="9"/>
      <c r="H57" s="9"/>
      <c r="I57" s="10">
        <f t="shared" si="6"/>
        <v>0</v>
      </c>
      <c r="J57" s="11"/>
      <c r="K57" s="11"/>
      <c r="L57" s="16" t="str">
        <f t="shared" si="7"/>
        <v>0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 t="s">
        <v>579</v>
      </c>
      <c r="E58" s="19" t="s">
        <v>612</v>
      </c>
      <c r="F58" s="8" t="s">
        <v>42</v>
      </c>
      <c r="G58" s="9">
        <v>0.85624999999999996</v>
      </c>
      <c r="H58" s="9">
        <v>0.8666666666666667</v>
      </c>
      <c r="I58" s="10">
        <f t="shared" si="6"/>
        <v>1.0416666666666741E-2</v>
      </c>
      <c r="J58" s="11">
        <v>5</v>
      </c>
      <c r="K58" s="11">
        <v>71.489999999999995</v>
      </c>
      <c r="L58" s="16">
        <f t="shared" si="7"/>
        <v>57.191999999999588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>
        <v>7.5</v>
      </c>
      <c r="Z58" s="11">
        <v>7.5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613</v>
      </c>
      <c r="F59" s="8" t="s">
        <v>42</v>
      </c>
      <c r="G59" s="9">
        <v>0.86805555555555558</v>
      </c>
      <c r="H59" s="9">
        <v>0.87986111111111109</v>
      </c>
      <c r="I59" s="10">
        <f t="shared" si="6"/>
        <v>1.1805555555555514E-2</v>
      </c>
      <c r="J59" s="11">
        <v>5</v>
      </c>
      <c r="K59" s="11">
        <v>71.489999999999995</v>
      </c>
      <c r="L59" s="16">
        <f t="shared" si="7"/>
        <v>50.463529411764881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>
        <v>8.5</v>
      </c>
      <c r="Z59" s="11">
        <v>8.5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614</v>
      </c>
      <c r="F60" s="8" t="s">
        <v>42</v>
      </c>
      <c r="G60" s="9">
        <v>0.87777777777777777</v>
      </c>
      <c r="H60" s="9">
        <v>0.89027777777777772</v>
      </c>
      <c r="I60" s="10">
        <f t="shared" si="6"/>
        <v>1.2499999999999956E-2</v>
      </c>
      <c r="J60" s="11">
        <v>5</v>
      </c>
      <c r="K60" s="11">
        <v>71.489999999999995</v>
      </c>
      <c r="L60" s="16">
        <f t="shared" si="7"/>
        <v>47.660000000000167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>
        <v>9</v>
      </c>
      <c r="Z60" s="11"/>
      <c r="AA60" s="11">
        <v>9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615</v>
      </c>
      <c r="F61" s="8" t="s">
        <v>42</v>
      </c>
      <c r="G61" s="9">
        <v>0.89097222222222228</v>
      </c>
      <c r="H61" s="9">
        <v>0.90138888888888891</v>
      </c>
      <c r="I61" s="10">
        <f t="shared" si="6"/>
        <v>1.041666666666663E-2</v>
      </c>
      <c r="J61" s="11">
        <v>5</v>
      </c>
      <c r="K61" s="11">
        <v>71.489999999999995</v>
      </c>
      <c r="L61" s="16">
        <f t="shared" si="7"/>
        <v>57.192000000000199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>
        <v>7.5</v>
      </c>
      <c r="Z61" s="11"/>
      <c r="AA61" s="11">
        <v>7.5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616</v>
      </c>
      <c r="F62" s="8" t="s">
        <v>42</v>
      </c>
      <c r="G62" s="9">
        <v>0.90347222222222223</v>
      </c>
      <c r="H62" s="9">
        <v>0.9145833333333333</v>
      </c>
      <c r="I62" s="10">
        <f t="shared" si="6"/>
        <v>1.1111111111111072E-2</v>
      </c>
      <c r="J62" s="11">
        <v>5</v>
      </c>
      <c r="K62" s="11">
        <v>71.489999999999995</v>
      </c>
      <c r="L62" s="16">
        <f t="shared" si="7"/>
        <v>53.617500000000184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>
        <v>8</v>
      </c>
      <c r="Z62" s="11"/>
      <c r="AA62" s="11">
        <v>8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843</v>
      </c>
      <c r="F63" s="8" t="s">
        <v>42</v>
      </c>
      <c r="G63" s="9">
        <v>0.91597222222222219</v>
      </c>
      <c r="H63" s="9">
        <v>0.92847222222222225</v>
      </c>
      <c r="I63" s="10">
        <f t="shared" si="6"/>
        <v>1.2500000000000067E-2</v>
      </c>
      <c r="J63" s="11">
        <v>5</v>
      </c>
      <c r="K63" s="11">
        <v>71.489999999999995</v>
      </c>
      <c r="L63" s="16">
        <f t="shared" si="7"/>
        <v>47.659999999999741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/>
      <c r="Y63" s="11">
        <v>9</v>
      </c>
      <c r="Z63" s="11"/>
      <c r="AA63" s="11">
        <v>9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844</v>
      </c>
      <c r="F64" s="8" t="s">
        <v>42</v>
      </c>
      <c r="G64" s="9">
        <v>0.92986111111111114</v>
      </c>
      <c r="H64" s="9">
        <v>0.94097222222222221</v>
      </c>
      <c r="I64" s="10">
        <f t="shared" si="6"/>
        <v>1.1111111111111072E-2</v>
      </c>
      <c r="J64" s="11">
        <v>5</v>
      </c>
      <c r="K64" s="11">
        <v>71.489999999999995</v>
      </c>
      <c r="L64" s="16">
        <f t="shared" si="7"/>
        <v>53.617500000000184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>
        <v>8</v>
      </c>
      <c r="Z64" s="11"/>
      <c r="AA64" s="11">
        <v>8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1:38" ht="25.05" customHeight="1">
      <c r="B65" s="13"/>
      <c r="C65" s="29"/>
      <c r="D65" s="30"/>
      <c r="E65" s="19" t="s">
        <v>845</v>
      </c>
      <c r="F65" s="8" t="s">
        <v>42</v>
      </c>
      <c r="G65" s="9">
        <v>0.94236111111111109</v>
      </c>
      <c r="H65" s="9">
        <v>0.95208333333333328</v>
      </c>
      <c r="I65" s="10">
        <f t="shared" si="6"/>
        <v>9.7222222222221877E-3</v>
      </c>
      <c r="J65" s="11">
        <v>5</v>
      </c>
      <c r="K65" s="11">
        <v>71.489999999999995</v>
      </c>
      <c r="L65" s="16">
        <f t="shared" si="7"/>
        <v>61.277142857143069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/>
      <c r="Y65" s="11">
        <v>7</v>
      </c>
      <c r="Z65" s="11"/>
      <c r="AA65" s="11">
        <v>7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1:38" ht="25.05" customHeight="1">
      <c r="B66" s="13"/>
      <c r="C66" s="29"/>
      <c r="D66" s="30"/>
      <c r="E66" s="19" t="s">
        <v>846</v>
      </c>
      <c r="F66" s="8" t="s">
        <v>42</v>
      </c>
      <c r="G66" s="9">
        <v>0.95416666666666672</v>
      </c>
      <c r="H66" s="9">
        <v>0.96736111111111112</v>
      </c>
      <c r="I66" s="10">
        <f t="shared" si="6"/>
        <v>1.3194444444444398E-2</v>
      </c>
      <c r="J66" s="11">
        <v>5</v>
      </c>
      <c r="K66" s="11">
        <v>71.489999999999995</v>
      </c>
      <c r="L66" s="16">
        <f t="shared" si="7"/>
        <v>45.151578947368584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/>
      <c r="Y66" s="11">
        <v>9.5</v>
      </c>
      <c r="Z66" s="11"/>
      <c r="AA66" s="11">
        <v>9.5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1:38" ht="25.05" customHeight="1">
      <c r="B67" s="13"/>
      <c r="C67" s="29"/>
      <c r="D67" s="30"/>
      <c r="E67" s="19" t="s">
        <v>847</v>
      </c>
      <c r="F67" s="8" t="s">
        <v>42</v>
      </c>
      <c r="G67" s="9">
        <v>0.96875</v>
      </c>
      <c r="H67" s="9">
        <v>0.99027777777777781</v>
      </c>
      <c r="I67" s="10">
        <f t="shared" ref="I67:I68" si="8">H67-G67</f>
        <v>2.1527777777777812E-2</v>
      </c>
      <c r="J67" s="11">
        <v>5</v>
      </c>
      <c r="K67" s="11">
        <v>71.489999999999995</v>
      </c>
      <c r="L67" s="16">
        <f t="shared" ref="L67:L68" si="9">IFERROR(((K67/(J67*I67)/24)),"0")</f>
        <v>27.67354838709673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>
        <v>15.5</v>
      </c>
      <c r="Z67" s="11"/>
      <c r="AA67" s="11">
        <v>15.5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1:38" ht="25.05" customHeight="1">
      <c r="B68" s="13"/>
      <c r="C68" s="29"/>
      <c r="D68" s="30"/>
      <c r="E68" s="19" t="s">
        <v>848</v>
      </c>
      <c r="F68" s="8" t="s">
        <v>42</v>
      </c>
      <c r="G68" s="9">
        <v>46104.991666666669</v>
      </c>
      <c r="H68" s="9">
        <v>46105</v>
      </c>
      <c r="I68" s="10">
        <f t="shared" si="8"/>
        <v>8.333333331393078E-3</v>
      </c>
      <c r="J68" s="11">
        <v>5</v>
      </c>
      <c r="K68" s="11">
        <v>71.489999999999995</v>
      </c>
      <c r="L68" s="16">
        <f t="shared" si="9"/>
        <v>71.490000016645055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/>
      <c r="Y68" s="11">
        <v>6</v>
      </c>
      <c r="Z68" s="11"/>
      <c r="AA68" s="11">
        <v>6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1:38" ht="25.05" customHeight="1">
      <c r="B69" s="13"/>
      <c r="C69" s="29"/>
      <c r="D69" s="30"/>
      <c r="E69" s="19"/>
      <c r="F69" s="8" t="s">
        <v>42</v>
      </c>
      <c r="G69" s="9"/>
      <c r="H69" s="9"/>
      <c r="I69" s="10">
        <v>4</v>
      </c>
      <c r="J69" s="11"/>
      <c r="K69" s="11"/>
      <c r="L69" s="16" t="str">
        <f t="shared" ref="L69" si="10">IFERROR(((K69/(J69*I69)/24)),"0")</f>
        <v>0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1:38" s="28" customFormat="1" ht="25.5" customHeight="1">
      <c r="A70" s="2"/>
      <c r="B70" s="32"/>
      <c r="C70" s="33"/>
      <c r="D70" s="34"/>
      <c r="E70" s="35"/>
      <c r="F70" s="35"/>
      <c r="G70" s="36"/>
      <c r="H70" s="36"/>
      <c r="I70" s="37"/>
      <c r="J70" s="38"/>
      <c r="K70" s="38">
        <f t="shared" ref="K70:AL70" si="11">SUM(K24:K69)</f>
        <v>1932.45</v>
      </c>
      <c r="L70" s="39">
        <f t="shared" si="11"/>
        <v>1271.2346654131218</v>
      </c>
      <c r="M70" s="38">
        <f t="shared" si="11"/>
        <v>0</v>
      </c>
      <c r="N70" s="38">
        <f t="shared" si="11"/>
        <v>0</v>
      </c>
      <c r="O70" s="38">
        <f t="shared" si="11"/>
        <v>0</v>
      </c>
      <c r="P70" s="38">
        <f t="shared" si="11"/>
        <v>0</v>
      </c>
      <c r="Q70" s="38">
        <f t="shared" si="11"/>
        <v>0</v>
      </c>
      <c r="R70" s="38">
        <f t="shared" si="11"/>
        <v>0</v>
      </c>
      <c r="S70" s="38">
        <f t="shared" si="11"/>
        <v>0</v>
      </c>
      <c r="T70" s="38">
        <f t="shared" si="11"/>
        <v>0</v>
      </c>
      <c r="U70" s="38">
        <f t="shared" si="11"/>
        <v>0</v>
      </c>
      <c r="V70" s="38">
        <f t="shared" si="11"/>
        <v>52</v>
      </c>
      <c r="W70" s="38">
        <f t="shared" si="11"/>
        <v>24</v>
      </c>
      <c r="X70" s="38">
        <f t="shared" si="11"/>
        <v>0</v>
      </c>
      <c r="Y70" s="38">
        <f t="shared" si="11"/>
        <v>186.5</v>
      </c>
      <c r="Z70" s="38">
        <f t="shared" si="11"/>
        <v>164.5</v>
      </c>
      <c r="AA70" s="38">
        <f t="shared" si="11"/>
        <v>164.5</v>
      </c>
      <c r="AB70" s="38">
        <f t="shared" si="11"/>
        <v>0</v>
      </c>
      <c r="AC70" s="38">
        <f t="shared" si="11"/>
        <v>0</v>
      </c>
      <c r="AD70" s="38">
        <f t="shared" si="11"/>
        <v>0</v>
      </c>
      <c r="AE70" s="38">
        <f t="shared" si="11"/>
        <v>0</v>
      </c>
      <c r="AF70" s="38">
        <f t="shared" si="11"/>
        <v>0</v>
      </c>
      <c r="AG70" s="38">
        <f t="shared" si="11"/>
        <v>34.25</v>
      </c>
      <c r="AH70" s="38">
        <f t="shared" si="11"/>
        <v>34.25</v>
      </c>
      <c r="AI70" s="38">
        <f t="shared" si="11"/>
        <v>34.25</v>
      </c>
      <c r="AJ70" s="38">
        <f t="shared" si="11"/>
        <v>34.25</v>
      </c>
      <c r="AK70" s="38">
        <f t="shared" si="11"/>
        <v>0</v>
      </c>
      <c r="AL70" s="38">
        <f t="shared" si="11"/>
        <v>0</v>
      </c>
    </row>
    <row r="71" spans="1:38" ht="38.1" customHeight="1">
      <c r="B71" s="40" t="s">
        <v>45</v>
      </c>
      <c r="C71" s="41"/>
      <c r="D71" s="41"/>
      <c r="E71" s="41"/>
      <c r="F71" s="41"/>
      <c r="G71" s="41"/>
      <c r="H71" s="41"/>
      <c r="I71" s="41"/>
      <c r="J71" s="41"/>
      <c r="K71" s="42">
        <f>K20+K23+K70</f>
        <v>3197.6</v>
      </c>
      <c r="L71" s="42">
        <f>L20+L23+L70</f>
        <v>2047.2642842392349</v>
      </c>
      <c r="M71" s="43">
        <f t="shared" ref="M71:AL71" si="12">(M20+M23+M70)/(480-15-30)</f>
        <v>0.42758620689655175</v>
      </c>
      <c r="N71" s="43">
        <f t="shared" si="12"/>
        <v>0</v>
      </c>
      <c r="O71" s="43">
        <f t="shared" si="12"/>
        <v>0</v>
      </c>
      <c r="P71" s="43">
        <f t="shared" si="12"/>
        <v>0</v>
      </c>
      <c r="Q71" s="43">
        <f t="shared" si="12"/>
        <v>0</v>
      </c>
      <c r="R71" s="43">
        <f t="shared" si="12"/>
        <v>0</v>
      </c>
      <c r="S71" s="43">
        <f t="shared" si="12"/>
        <v>0.68505747126436778</v>
      </c>
      <c r="T71" s="43">
        <f t="shared" si="12"/>
        <v>0</v>
      </c>
      <c r="U71" s="43">
        <f t="shared" si="12"/>
        <v>0</v>
      </c>
      <c r="V71" s="43">
        <f t="shared" si="12"/>
        <v>0.11954022988505747</v>
      </c>
      <c r="W71" s="43">
        <f t="shared" si="12"/>
        <v>5.5172413793103448E-2</v>
      </c>
      <c r="X71" s="43">
        <f t="shared" si="12"/>
        <v>0</v>
      </c>
      <c r="Y71" s="43">
        <f t="shared" si="12"/>
        <v>0.42873563218390803</v>
      </c>
      <c r="Z71" s="43">
        <f t="shared" si="12"/>
        <v>0.3781609195402299</v>
      </c>
      <c r="AA71" s="43">
        <f t="shared" si="12"/>
        <v>0.3781609195402299</v>
      </c>
      <c r="AB71" s="43">
        <f t="shared" si="12"/>
        <v>0</v>
      </c>
      <c r="AC71" s="43">
        <f t="shared" si="12"/>
        <v>0</v>
      </c>
      <c r="AD71" s="43">
        <f t="shared" si="12"/>
        <v>0</v>
      </c>
      <c r="AE71" s="43">
        <f t="shared" si="12"/>
        <v>0</v>
      </c>
      <c r="AF71" s="43">
        <f t="shared" si="12"/>
        <v>0</v>
      </c>
      <c r="AG71" s="43">
        <f t="shared" si="12"/>
        <v>7.8735632183908041E-2</v>
      </c>
      <c r="AH71" s="43">
        <f t="shared" si="12"/>
        <v>7.8735632183908041E-2</v>
      </c>
      <c r="AI71" s="43">
        <f t="shared" si="12"/>
        <v>7.8735632183908041E-2</v>
      </c>
      <c r="AJ71" s="43">
        <f t="shared" si="12"/>
        <v>7.8735632183908041E-2</v>
      </c>
      <c r="AK71" s="43">
        <f t="shared" si="12"/>
        <v>0</v>
      </c>
      <c r="AL71" s="43">
        <f t="shared" si="12"/>
        <v>0</v>
      </c>
    </row>
    <row r="72" spans="1:38" ht="25.05" customHeight="1">
      <c r="B72" s="44"/>
      <c r="C72" s="44"/>
      <c r="D72" s="44"/>
      <c r="E72" s="45"/>
      <c r="F72" s="45"/>
      <c r="G72" s="45"/>
      <c r="H72" s="45"/>
      <c r="I72" s="46"/>
      <c r="J72" s="46"/>
      <c r="K72" s="45"/>
      <c r="L72" s="47"/>
      <c r="M72" s="47"/>
      <c r="N72" s="47"/>
      <c r="O72" s="47"/>
      <c r="P72" s="47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</row>
    <row r="73" spans="1:38" ht="25.05" customHeight="1">
      <c r="B73" s="44"/>
      <c r="C73" s="44"/>
      <c r="D73" s="44"/>
      <c r="E73" s="45"/>
      <c r="F73" s="45"/>
      <c r="G73" s="45"/>
      <c r="H73" s="45"/>
      <c r="I73" s="48" t="s">
        <v>46</v>
      </c>
      <c r="J73" s="46"/>
      <c r="K73" s="45"/>
      <c r="L73" s="47"/>
      <c r="M73" s="47"/>
      <c r="N73" s="47"/>
      <c r="O73" s="47"/>
      <c r="P73" s="47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</row>
    <row r="74" spans="1:38" ht="25.05" customHeight="1">
      <c r="B74" s="44"/>
      <c r="C74" s="44"/>
      <c r="D74" s="44"/>
      <c r="E74" s="45"/>
      <c r="F74" s="45"/>
      <c r="G74" s="45"/>
      <c r="H74" s="45"/>
      <c r="I74" s="49" t="s">
        <v>47</v>
      </c>
      <c r="J74" s="9">
        <v>0</v>
      </c>
      <c r="K74" s="11">
        <v>6</v>
      </c>
      <c r="L74" s="11" t="s">
        <v>48</v>
      </c>
      <c r="M74" s="47"/>
      <c r="N74" s="14">
        <v>2</v>
      </c>
      <c r="O74" s="14"/>
      <c r="P74" s="14"/>
      <c r="Q74" s="50" t="s">
        <v>49</v>
      </c>
      <c r="R74" s="51"/>
      <c r="S74" s="45"/>
      <c r="T74" s="45"/>
      <c r="U74" s="45"/>
      <c r="V74" s="45"/>
      <c r="W74" s="45"/>
      <c r="X74" s="45"/>
      <c r="Y74" s="45"/>
      <c r="Z74" s="45"/>
      <c r="AA74" s="45"/>
      <c r="AC74" s="45"/>
      <c r="AD74" s="45"/>
      <c r="AE74" s="45"/>
      <c r="AF74" s="45"/>
      <c r="AG74" s="45"/>
      <c r="AH74" s="45"/>
    </row>
    <row r="75" spans="1:38" ht="25.05" customHeight="1">
      <c r="B75" s="44"/>
      <c r="C75" s="44"/>
      <c r="D75" s="44"/>
      <c r="E75" s="45"/>
      <c r="F75" s="45"/>
      <c r="G75" s="45"/>
      <c r="H75" s="45"/>
      <c r="I75" s="49" t="s">
        <v>50</v>
      </c>
      <c r="J75" s="9">
        <v>0</v>
      </c>
      <c r="K75" s="11">
        <v>0</v>
      </c>
      <c r="L75" s="11" t="s">
        <v>48</v>
      </c>
      <c r="M75" s="47"/>
      <c r="N75" s="14">
        <v>0</v>
      </c>
      <c r="O75" s="14"/>
      <c r="P75" s="14"/>
      <c r="Q75" s="50" t="s">
        <v>51</v>
      </c>
      <c r="R75" s="51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</row>
    <row r="76" spans="1:38" ht="25.05" customHeight="1">
      <c r="B76" s="44"/>
      <c r="C76" s="44"/>
      <c r="D76" s="44"/>
      <c r="E76" s="45"/>
      <c r="F76" s="45"/>
      <c r="G76" s="45"/>
      <c r="H76" s="45"/>
      <c r="I76" s="49" t="s">
        <v>52</v>
      </c>
      <c r="J76" s="9">
        <v>0</v>
      </c>
      <c r="K76" s="11">
        <v>12</v>
      </c>
      <c r="L76" s="11" t="s">
        <v>48</v>
      </c>
      <c r="M76" s="47"/>
      <c r="N76" s="14">
        <v>0</v>
      </c>
      <c r="O76" s="14"/>
      <c r="P76" s="14"/>
      <c r="Q76" s="50" t="s">
        <v>53</v>
      </c>
      <c r="R76" s="51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</row>
    <row r="77" spans="1:38" ht="25.05" customHeight="1">
      <c r="B77" s="44"/>
      <c r="C77" s="44"/>
      <c r="D77" s="44"/>
      <c r="E77" s="45"/>
      <c r="F77" s="45"/>
      <c r="G77" s="45"/>
      <c r="H77" s="45"/>
      <c r="I77" s="52" t="s">
        <v>54</v>
      </c>
      <c r="J77" s="53">
        <v>0</v>
      </c>
      <c r="K77" s="11">
        <v>2</v>
      </c>
      <c r="L77" s="54" t="s">
        <v>48</v>
      </c>
      <c r="M77" s="47"/>
      <c r="N77" s="14">
        <v>3</v>
      </c>
      <c r="O77" s="14"/>
      <c r="P77" s="14"/>
      <c r="Q77" s="50" t="s">
        <v>55</v>
      </c>
      <c r="R77" s="51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</row>
    <row r="78" spans="1:38" ht="25.05" customHeight="1">
      <c r="B78" s="44"/>
      <c r="C78" s="44"/>
      <c r="D78" s="44"/>
      <c r="E78" s="45"/>
      <c r="F78" s="45"/>
      <c r="G78" s="45"/>
      <c r="H78" s="45"/>
      <c r="I78" s="49" t="s">
        <v>56</v>
      </c>
      <c r="J78" s="9">
        <v>0</v>
      </c>
      <c r="K78" s="11">
        <v>20</v>
      </c>
      <c r="L78" s="11" t="s">
        <v>48</v>
      </c>
      <c r="M78" s="47"/>
      <c r="N78"/>
      <c r="O78"/>
      <c r="P78"/>
      <c r="Q78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</row>
    <row r="79" spans="1:38" ht="25.05" customHeight="1">
      <c r="B79" s="44"/>
      <c r="C79" s="44"/>
      <c r="D79" s="44"/>
      <c r="E79" s="45"/>
      <c r="F79" s="45"/>
      <c r="G79" s="45"/>
      <c r="H79" s="45"/>
      <c r="M79" s="47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</row>
    <row r="80" spans="1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11C21-37A9-4D81-BC67-7E4686D89B29}">
  <sheetPr>
    <pageSetUpPr fitToPage="1"/>
  </sheetPr>
  <dimension ref="A1:AL135"/>
  <sheetViews>
    <sheetView zoomScale="40" zoomScaleNormal="4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T15" sqref="T15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8" width="17.88671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14" width="16.21875" style="2" customWidth="1"/>
    <col min="15" max="15" width="29.33203125" style="2" customWidth="1"/>
    <col min="16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46104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0.29166666666666669</v>
      </c>
      <c r="I4" s="10">
        <f t="shared" ref="I4:I18" si="0">H4-G4</f>
        <v>4.1666666666666685E-2</v>
      </c>
      <c r="J4" s="11">
        <v>1</v>
      </c>
      <c r="K4" s="11">
        <v>0</v>
      </c>
      <c r="L4" s="16">
        <f t="shared" ref="L4:L18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79</v>
      </c>
      <c r="E5" s="15" t="s">
        <v>849</v>
      </c>
      <c r="F5" s="57">
        <v>1</v>
      </c>
      <c r="G5" s="9">
        <v>0.29166666666666669</v>
      </c>
      <c r="H5" s="9">
        <v>0.30902777777777779</v>
      </c>
      <c r="I5" s="10">
        <f t="shared" si="0"/>
        <v>1.7361111111111105E-2</v>
      </c>
      <c r="J5" s="11">
        <v>1</v>
      </c>
      <c r="K5" s="11">
        <v>5.6</v>
      </c>
      <c r="L5" s="16">
        <f t="shared" si="1"/>
        <v>13.440000000000005</v>
      </c>
      <c r="M5" s="11">
        <v>25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30" t="s">
        <v>730</v>
      </c>
      <c r="E6" s="77" t="s">
        <v>850</v>
      </c>
      <c r="F6" s="55" t="s">
        <v>851</v>
      </c>
      <c r="G6" s="9">
        <v>0.3125</v>
      </c>
      <c r="H6" s="9">
        <v>0.33333333333333331</v>
      </c>
      <c r="I6" s="10">
        <f t="shared" si="0"/>
        <v>2.0833333333333315E-2</v>
      </c>
      <c r="J6" s="11">
        <v>1</v>
      </c>
      <c r="K6" s="11">
        <v>118.36</v>
      </c>
      <c r="L6" s="16">
        <f t="shared" si="1"/>
        <v>236.72000000000023</v>
      </c>
      <c r="M6" s="11">
        <v>30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31"/>
      <c r="E7" s="169" t="s">
        <v>852</v>
      </c>
      <c r="F7" s="55" t="s">
        <v>232</v>
      </c>
      <c r="G7" s="9">
        <v>0.3347222222222222</v>
      </c>
      <c r="H7" s="9">
        <v>0.34861111111111109</v>
      </c>
      <c r="I7" s="10">
        <f t="shared" si="0"/>
        <v>1.3888888888888895E-2</v>
      </c>
      <c r="J7" s="11">
        <v>1</v>
      </c>
      <c r="K7" s="11">
        <v>9.4600000000000009</v>
      </c>
      <c r="L7" s="16">
        <f t="shared" si="1"/>
        <v>28.379999999999992</v>
      </c>
      <c r="M7" s="11">
        <v>20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11" t="s">
        <v>853</v>
      </c>
      <c r="F8" s="8" t="s">
        <v>42</v>
      </c>
      <c r="G8" s="9">
        <v>0.29166666666666669</v>
      </c>
      <c r="H8" s="9">
        <v>0.33333333333333331</v>
      </c>
      <c r="I8" s="10">
        <f t="shared" si="0"/>
        <v>4.166666666666663E-2</v>
      </c>
      <c r="J8" s="11">
        <v>4</v>
      </c>
      <c r="K8" s="11">
        <v>20</v>
      </c>
      <c r="L8" s="16">
        <f t="shared" si="1"/>
        <v>5.0000000000000044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77" t="s">
        <v>854</v>
      </c>
      <c r="F9" s="55" t="s">
        <v>232</v>
      </c>
      <c r="G9" s="9">
        <v>0.35069444444444442</v>
      </c>
      <c r="H9" s="9">
        <v>0.36805555555555558</v>
      </c>
      <c r="I9" s="10">
        <f t="shared" si="0"/>
        <v>1.736111111111116E-2</v>
      </c>
      <c r="J9" s="11">
        <v>1</v>
      </c>
      <c r="K9" s="11">
        <v>24.42</v>
      </c>
      <c r="L9" s="16">
        <f t="shared" si="1"/>
        <v>58.607999999999834</v>
      </c>
      <c r="M9" s="11">
        <v>25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71" t="s">
        <v>855</v>
      </c>
      <c r="F10" s="55" t="s">
        <v>856</v>
      </c>
      <c r="G10" s="9">
        <v>0.29166666666666669</v>
      </c>
      <c r="H10" s="9">
        <v>0.47222222222222221</v>
      </c>
      <c r="I10" s="10">
        <f t="shared" si="0"/>
        <v>0.18055555555555552</v>
      </c>
      <c r="J10" s="11">
        <v>6</v>
      </c>
      <c r="K10" s="11">
        <v>363</v>
      </c>
      <c r="L10" s="16">
        <f t="shared" si="1"/>
        <v>13.961538461538465</v>
      </c>
      <c r="M10" s="11"/>
      <c r="N10" s="11"/>
      <c r="O10" s="11"/>
      <c r="P10" s="11"/>
      <c r="Q10" s="11"/>
      <c r="R10" s="12"/>
      <c r="S10" s="12">
        <v>260</v>
      </c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162" t="s">
        <v>191</v>
      </c>
      <c r="E11" s="169" t="s">
        <v>857</v>
      </c>
      <c r="F11" s="55" t="s">
        <v>59</v>
      </c>
      <c r="G11" s="9">
        <v>0.375</v>
      </c>
      <c r="H11" s="9">
        <v>0.38194444444444442</v>
      </c>
      <c r="I11" s="10">
        <f t="shared" si="0"/>
        <v>6.9444444444444198E-3</v>
      </c>
      <c r="J11" s="11">
        <v>2</v>
      </c>
      <c r="K11" s="11">
        <v>37</v>
      </c>
      <c r="L11" s="16">
        <f t="shared" si="1"/>
        <v>111.0000000000004</v>
      </c>
      <c r="M11" s="11">
        <v>10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31"/>
      <c r="E12" s="169" t="s">
        <v>858</v>
      </c>
      <c r="F12" s="57">
        <v>0.5</v>
      </c>
      <c r="G12" s="9">
        <v>0.38333333333333336</v>
      </c>
      <c r="H12" s="9">
        <v>0.43055555555555558</v>
      </c>
      <c r="I12" s="10">
        <f t="shared" si="0"/>
        <v>4.7222222222222221E-2</v>
      </c>
      <c r="J12" s="11">
        <v>2</v>
      </c>
      <c r="K12" s="11">
        <v>430</v>
      </c>
      <c r="L12" s="16">
        <f t="shared" si="1"/>
        <v>189.70588235294119</v>
      </c>
      <c r="M12" s="11">
        <v>68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11" t="s">
        <v>859</v>
      </c>
      <c r="F13" s="8" t="s">
        <v>42</v>
      </c>
      <c r="G13" s="9">
        <v>0.47222222222222221</v>
      </c>
      <c r="H13" s="9">
        <v>0.52777777777777779</v>
      </c>
      <c r="I13" s="10">
        <f t="shared" si="0"/>
        <v>5.555555555555558E-2</v>
      </c>
      <c r="J13" s="11">
        <v>10</v>
      </c>
      <c r="K13" s="11">
        <v>0</v>
      </c>
      <c r="L13" s="16">
        <f t="shared" si="1"/>
        <v>0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166" t="s">
        <v>860</v>
      </c>
      <c r="E14" s="15" t="s">
        <v>861</v>
      </c>
      <c r="F14" s="55" t="s">
        <v>862</v>
      </c>
      <c r="G14" s="9">
        <v>0.52777777777777779</v>
      </c>
      <c r="H14" s="9">
        <v>0.54166666666666663</v>
      </c>
      <c r="I14" s="10">
        <f t="shared" si="0"/>
        <v>1.388888888888884E-2</v>
      </c>
      <c r="J14" s="11">
        <v>2</v>
      </c>
      <c r="K14" s="11">
        <v>84.4</v>
      </c>
      <c r="L14" s="16">
        <f t="shared" si="1"/>
        <v>126.60000000000046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 t="s">
        <v>863</v>
      </c>
      <c r="F15" s="8" t="s">
        <v>42</v>
      </c>
      <c r="G15" s="9">
        <v>0.52777777777777779</v>
      </c>
      <c r="H15" s="9">
        <v>0.625</v>
      </c>
      <c r="I15" s="10">
        <f t="shared" si="0"/>
        <v>9.722222222222221E-2</v>
      </c>
      <c r="J15" s="11">
        <v>3</v>
      </c>
      <c r="K15" s="11">
        <v>379</v>
      </c>
      <c r="L15" s="16">
        <f t="shared" si="1"/>
        <v>54.142857142857146</v>
      </c>
      <c r="M15" s="11"/>
      <c r="N15" s="11"/>
      <c r="O15" s="11"/>
      <c r="P15" s="11"/>
      <c r="Q15" s="11"/>
      <c r="R15" s="12"/>
      <c r="S15" s="12">
        <v>140</v>
      </c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 t="s">
        <v>79</v>
      </c>
      <c r="E16" s="15" t="s">
        <v>864</v>
      </c>
      <c r="F16" s="55" t="s">
        <v>213</v>
      </c>
      <c r="G16" s="9">
        <v>0.5625</v>
      </c>
      <c r="H16" s="9">
        <v>0.59722222222222221</v>
      </c>
      <c r="I16" s="10">
        <f t="shared" si="0"/>
        <v>3.472222222222221E-2</v>
      </c>
      <c r="J16" s="11">
        <v>5</v>
      </c>
      <c r="K16" s="11">
        <v>105</v>
      </c>
      <c r="L16" s="16">
        <f t="shared" si="1"/>
        <v>25.200000000000006</v>
      </c>
      <c r="M16" s="11"/>
      <c r="N16" s="11"/>
      <c r="O16" s="11">
        <v>25</v>
      </c>
      <c r="P16" s="11"/>
      <c r="Q16" s="11"/>
      <c r="R16" s="12"/>
      <c r="S16" s="12">
        <v>25</v>
      </c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 t="s">
        <v>865</v>
      </c>
      <c r="F17" s="8" t="s">
        <v>42</v>
      </c>
      <c r="G17" s="9">
        <v>0.52777777777777779</v>
      </c>
      <c r="H17" s="9">
        <v>0.66666666666666663</v>
      </c>
      <c r="I17" s="10">
        <f t="shared" si="0"/>
        <v>0.13888888888888884</v>
      </c>
      <c r="J17" s="11">
        <v>8</v>
      </c>
      <c r="K17" s="11">
        <v>0</v>
      </c>
      <c r="L17" s="16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15"/>
      <c r="F18" s="55"/>
      <c r="G18" s="9"/>
      <c r="H18" s="9"/>
      <c r="I18" s="10">
        <f t="shared" si="0"/>
        <v>0</v>
      </c>
      <c r="J18" s="11"/>
      <c r="K18" s="11"/>
      <c r="L18" s="16" t="str">
        <f t="shared" si="1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s="28" customFormat="1" ht="25.05" customHeight="1">
      <c r="A19" s="2"/>
      <c r="B19" s="21"/>
      <c r="C19" s="22"/>
      <c r="D19" s="23"/>
      <c r="E19" s="24"/>
      <c r="F19" s="24"/>
      <c r="G19" s="25"/>
      <c r="H19" s="25"/>
      <c r="I19" s="26"/>
      <c r="J19" s="27"/>
      <c r="K19" s="27">
        <f t="shared" ref="K19:AL19" si="2">SUM(K4:K18)</f>
        <v>1576.24</v>
      </c>
      <c r="L19" s="39">
        <f t="shared" si="2"/>
        <v>862.75827795733767</v>
      </c>
      <c r="M19" s="27">
        <f t="shared" si="2"/>
        <v>178</v>
      </c>
      <c r="N19" s="27">
        <f t="shared" si="2"/>
        <v>0</v>
      </c>
      <c r="O19" s="27">
        <f t="shared" si="2"/>
        <v>25</v>
      </c>
      <c r="P19" s="27">
        <f t="shared" si="2"/>
        <v>0</v>
      </c>
      <c r="Q19" s="27">
        <f t="shared" si="2"/>
        <v>0</v>
      </c>
      <c r="R19" s="27">
        <f t="shared" si="2"/>
        <v>0</v>
      </c>
      <c r="S19" s="27">
        <f t="shared" si="2"/>
        <v>425</v>
      </c>
      <c r="T19" s="27">
        <f t="shared" si="2"/>
        <v>0</v>
      </c>
      <c r="U19" s="27">
        <f t="shared" si="2"/>
        <v>0</v>
      </c>
      <c r="V19" s="27">
        <f t="shared" si="2"/>
        <v>0</v>
      </c>
      <c r="W19" s="27">
        <f t="shared" si="2"/>
        <v>0</v>
      </c>
      <c r="X19" s="27">
        <f t="shared" si="2"/>
        <v>0</v>
      </c>
      <c r="Y19" s="27">
        <f t="shared" si="2"/>
        <v>0</v>
      </c>
      <c r="Z19" s="27">
        <f t="shared" si="2"/>
        <v>0</v>
      </c>
      <c r="AA19" s="27">
        <f t="shared" si="2"/>
        <v>0</v>
      </c>
      <c r="AB19" s="27">
        <f t="shared" si="2"/>
        <v>0</v>
      </c>
      <c r="AC19" s="27">
        <f t="shared" si="2"/>
        <v>0</v>
      </c>
      <c r="AD19" s="27">
        <f t="shared" si="2"/>
        <v>0</v>
      </c>
      <c r="AE19" s="27">
        <f t="shared" si="2"/>
        <v>0</v>
      </c>
      <c r="AF19" s="27">
        <f t="shared" si="2"/>
        <v>0</v>
      </c>
      <c r="AG19" s="27">
        <f t="shared" si="2"/>
        <v>0</v>
      </c>
      <c r="AH19" s="27">
        <f t="shared" si="2"/>
        <v>0</v>
      </c>
      <c r="AI19" s="27">
        <f t="shared" si="2"/>
        <v>0</v>
      </c>
      <c r="AJ19" s="27">
        <f t="shared" si="2"/>
        <v>0</v>
      </c>
      <c r="AK19" s="27">
        <f t="shared" si="2"/>
        <v>0</v>
      </c>
      <c r="AL19" s="27">
        <f t="shared" si="2"/>
        <v>0</v>
      </c>
    </row>
    <row r="20" spans="1:38" ht="25.05" customHeight="1">
      <c r="B20" s="13">
        <v>46104</v>
      </c>
      <c r="C20" s="14" t="s">
        <v>43</v>
      </c>
      <c r="D20" s="6"/>
      <c r="E20" s="7" t="s">
        <v>41</v>
      </c>
      <c r="F20" s="8" t="s">
        <v>42</v>
      </c>
      <c r="G20" s="9">
        <v>0.29166666666666669</v>
      </c>
      <c r="H20" s="9">
        <v>0.33333333333333331</v>
      </c>
      <c r="I20" s="10">
        <f>H20-G20</f>
        <v>4.166666666666663E-2</v>
      </c>
      <c r="J20" s="11">
        <v>2</v>
      </c>
      <c r="K20" s="11">
        <v>0</v>
      </c>
      <c r="L20" s="16">
        <f>IFERROR(((K20/(J20*I20)/24)),"0")</f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 t="s">
        <v>79</v>
      </c>
      <c r="E21" s="7" t="s">
        <v>866</v>
      </c>
      <c r="F21" s="8" t="s">
        <v>42</v>
      </c>
      <c r="G21" s="9">
        <v>0.34375</v>
      </c>
      <c r="H21" s="9">
        <v>0.39583333333333331</v>
      </c>
      <c r="I21" s="10">
        <f t="shared" ref="I21:I26" si="3">H21-G21</f>
        <v>5.2083333333333315E-2</v>
      </c>
      <c r="J21" s="11">
        <v>13</v>
      </c>
      <c r="K21" s="11">
        <v>210</v>
      </c>
      <c r="L21" s="16">
        <f t="shared" ref="L21:L26" si="4">IFERROR(((K21/(J21*I21)/24)),"0")</f>
        <v>12.923076923076929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30" t="s">
        <v>730</v>
      </c>
      <c r="E22" s="7" t="s">
        <v>867</v>
      </c>
      <c r="F22" s="8" t="s">
        <v>42</v>
      </c>
      <c r="G22" s="9">
        <v>0.39652777777777776</v>
      </c>
      <c r="H22" s="9">
        <v>0.5</v>
      </c>
      <c r="I22" s="10">
        <f t="shared" si="3"/>
        <v>0.10347222222222224</v>
      </c>
      <c r="J22" s="11">
        <v>13</v>
      </c>
      <c r="K22" s="11">
        <f>108.32*4</f>
        <v>433.28</v>
      </c>
      <c r="L22" s="16">
        <f t="shared" si="4"/>
        <v>13.421166752710375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 t="s">
        <v>104</v>
      </c>
      <c r="F23" s="8" t="s">
        <v>42</v>
      </c>
      <c r="G23" s="9">
        <v>0.5</v>
      </c>
      <c r="H23" s="9">
        <v>0.54166666666666663</v>
      </c>
      <c r="I23" s="10">
        <f t="shared" si="3"/>
        <v>4.166666666666663E-2</v>
      </c>
      <c r="J23" s="11">
        <v>13</v>
      </c>
      <c r="K23" s="11">
        <v>0</v>
      </c>
      <c r="L23" s="16">
        <f t="shared" si="4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7" t="s">
        <v>633</v>
      </c>
      <c r="F24" s="8" t="s">
        <v>42</v>
      </c>
      <c r="G24" s="9">
        <v>0.54861111111111116</v>
      </c>
      <c r="H24" s="9">
        <v>0.64583333333333337</v>
      </c>
      <c r="I24" s="10">
        <f t="shared" si="3"/>
        <v>9.722222222222221E-2</v>
      </c>
      <c r="J24" s="11">
        <v>13</v>
      </c>
      <c r="K24" s="11">
        <f>108.32*3</f>
        <v>324.95999999999998</v>
      </c>
      <c r="L24" s="16">
        <f t="shared" si="4"/>
        <v>10.712967032967034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 t="s">
        <v>96</v>
      </c>
      <c r="F25" s="8" t="s">
        <v>42</v>
      </c>
      <c r="G25" s="9">
        <v>0.64652777777777781</v>
      </c>
      <c r="H25" s="9">
        <v>0.70833333333333337</v>
      </c>
      <c r="I25" s="10">
        <f t="shared" si="3"/>
        <v>6.1805555555555558E-2</v>
      </c>
      <c r="J25" s="11">
        <v>13</v>
      </c>
      <c r="K25" s="11">
        <v>0</v>
      </c>
      <c r="L25" s="16">
        <f t="shared" si="4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18"/>
      <c r="E26" s="6"/>
      <c r="F26" s="8" t="s">
        <v>42</v>
      </c>
      <c r="G26" s="9"/>
      <c r="H26" s="9"/>
      <c r="I26" s="10">
        <f t="shared" si="3"/>
        <v>0</v>
      </c>
      <c r="J26" s="11"/>
      <c r="K26" s="11"/>
      <c r="L26" s="16" t="str">
        <f t="shared" si="4"/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s="28" customFormat="1" ht="25.05" customHeight="1">
      <c r="A27" s="2"/>
      <c r="B27" s="21"/>
      <c r="C27" s="22"/>
      <c r="D27" s="23"/>
      <c r="E27" s="24"/>
      <c r="F27" s="22"/>
      <c r="G27" s="25"/>
      <c r="H27" s="25"/>
      <c r="I27" s="26"/>
      <c r="J27" s="27"/>
      <c r="K27" s="27">
        <f t="shared" ref="K27:AI27" si="5">SUM(K20:K26)</f>
        <v>968.24</v>
      </c>
      <c r="L27" s="27">
        <f t="shared" si="5"/>
        <v>37.05721070875434</v>
      </c>
      <c r="M27" s="27">
        <f t="shared" si="5"/>
        <v>0</v>
      </c>
      <c r="N27" s="27">
        <f t="shared" si="5"/>
        <v>0</v>
      </c>
      <c r="O27" s="27">
        <f t="shared" si="5"/>
        <v>0</v>
      </c>
      <c r="P27" s="27">
        <f t="shared" si="5"/>
        <v>0</v>
      </c>
      <c r="Q27" s="27">
        <f t="shared" si="5"/>
        <v>0</v>
      </c>
      <c r="R27" s="27">
        <f t="shared" si="5"/>
        <v>0</v>
      </c>
      <c r="S27" s="27">
        <f t="shared" si="5"/>
        <v>0</v>
      </c>
      <c r="T27" s="27">
        <f t="shared" si="5"/>
        <v>0</v>
      </c>
      <c r="U27" s="27">
        <f t="shared" si="5"/>
        <v>0</v>
      </c>
      <c r="V27" s="27">
        <f t="shared" si="5"/>
        <v>0</v>
      </c>
      <c r="W27" s="27">
        <f t="shared" si="5"/>
        <v>0</v>
      </c>
      <c r="X27" s="27">
        <f t="shared" si="5"/>
        <v>0</v>
      </c>
      <c r="Y27" s="27">
        <f t="shared" si="5"/>
        <v>0</v>
      </c>
      <c r="Z27" s="27">
        <f t="shared" si="5"/>
        <v>0</v>
      </c>
      <c r="AA27" s="27">
        <f t="shared" si="5"/>
        <v>0</v>
      </c>
      <c r="AB27" s="27">
        <f t="shared" si="5"/>
        <v>0</v>
      </c>
      <c r="AC27" s="27">
        <f t="shared" si="5"/>
        <v>0</v>
      </c>
      <c r="AD27" s="27">
        <f t="shared" si="5"/>
        <v>0</v>
      </c>
      <c r="AE27" s="27">
        <f t="shared" si="5"/>
        <v>0</v>
      </c>
      <c r="AF27" s="27">
        <f t="shared" si="5"/>
        <v>0</v>
      </c>
      <c r="AG27" s="27">
        <f t="shared" si="5"/>
        <v>0</v>
      </c>
      <c r="AH27" s="27">
        <f t="shared" si="5"/>
        <v>0</v>
      </c>
      <c r="AI27" s="27">
        <f t="shared" si="5"/>
        <v>0</v>
      </c>
      <c r="AJ27" s="27">
        <f>SUM(AJ20:AJ26)</f>
        <v>0</v>
      </c>
      <c r="AK27" s="27">
        <f>SUM(AK20:AK26)</f>
        <v>0</v>
      </c>
      <c r="AL27" s="27">
        <f>SUM(AL20:AL26)</f>
        <v>0</v>
      </c>
    </row>
    <row r="28" spans="1:38" ht="25.05" customHeight="1">
      <c r="B28" s="5">
        <v>46104</v>
      </c>
      <c r="C28" s="29" t="s">
        <v>44</v>
      </c>
      <c r="D28" s="30"/>
      <c r="E28" s="7" t="s">
        <v>41</v>
      </c>
      <c r="F28" s="8" t="s">
        <v>42</v>
      </c>
      <c r="G28" s="9">
        <v>0.29166666666666669</v>
      </c>
      <c r="H28" s="9">
        <v>0.33333333333333331</v>
      </c>
      <c r="I28" s="10">
        <f t="shared" ref="I28:I68" si="6">H28-G28</f>
        <v>4.166666666666663E-2</v>
      </c>
      <c r="J28" s="11">
        <v>5</v>
      </c>
      <c r="K28" s="11">
        <v>0</v>
      </c>
      <c r="L28" s="16">
        <f t="shared" ref="L28:L56" si="7">IFERROR(((K28/(J28*I28)/24)),"0")</f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168" t="s">
        <v>868</v>
      </c>
      <c r="E29" s="19" t="s">
        <v>869</v>
      </c>
      <c r="F29" s="8" t="s">
        <v>42</v>
      </c>
      <c r="G29" s="9">
        <v>0.34583333333333333</v>
      </c>
      <c r="H29" s="9">
        <v>0.36041666666666666</v>
      </c>
      <c r="I29" s="10">
        <f t="shared" si="6"/>
        <v>1.4583333333333337E-2</v>
      </c>
      <c r="J29" s="11">
        <v>2</v>
      </c>
      <c r="K29" s="11">
        <v>113.54</v>
      </c>
      <c r="L29" s="16">
        <f t="shared" si="7"/>
        <v>162.19999999999996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>
        <v>21</v>
      </c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870</v>
      </c>
      <c r="F30" s="8" t="s">
        <v>42</v>
      </c>
      <c r="G30" s="9">
        <v>0.36875000000000002</v>
      </c>
      <c r="H30" s="9">
        <v>0.38124999999999998</v>
      </c>
      <c r="I30" s="10">
        <f t="shared" si="6"/>
        <v>1.2499999999999956E-2</v>
      </c>
      <c r="J30" s="11">
        <v>2</v>
      </c>
      <c r="K30" s="11">
        <v>113.27</v>
      </c>
      <c r="L30" s="16">
        <f t="shared" si="7"/>
        <v>188.78333333333399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>
        <v>18</v>
      </c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871</v>
      </c>
      <c r="F31" s="8" t="s">
        <v>42</v>
      </c>
      <c r="G31" s="9">
        <v>0.3923611111111111</v>
      </c>
      <c r="H31" s="9">
        <v>0.40486111111111112</v>
      </c>
      <c r="I31" s="10">
        <f t="shared" si="6"/>
        <v>1.2500000000000011E-2</v>
      </c>
      <c r="J31" s="11">
        <v>2</v>
      </c>
      <c r="K31" s="11">
        <v>114.1</v>
      </c>
      <c r="L31" s="16">
        <f t="shared" si="7"/>
        <v>190.16666666666649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>
        <v>18</v>
      </c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77" t="s">
        <v>872</v>
      </c>
      <c r="F32" s="8" t="s">
        <v>42</v>
      </c>
      <c r="G32" s="9">
        <v>0.41111111111111109</v>
      </c>
      <c r="H32" s="9">
        <v>0.41944444444444445</v>
      </c>
      <c r="I32" s="10">
        <f t="shared" si="6"/>
        <v>8.3333333333333592E-3</v>
      </c>
      <c r="J32" s="11">
        <v>2</v>
      </c>
      <c r="K32" s="11">
        <v>75.58</v>
      </c>
      <c r="L32" s="16">
        <f t="shared" si="7"/>
        <v>188.94999999999939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>
        <v>12</v>
      </c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65"/>
      <c r="E33" s="169" t="s">
        <v>873</v>
      </c>
      <c r="F33" s="8" t="s">
        <v>42</v>
      </c>
      <c r="G33" s="9">
        <v>0.35138888888888886</v>
      </c>
      <c r="H33" s="9">
        <v>0.36944444444444446</v>
      </c>
      <c r="I33" s="10">
        <f t="shared" si="6"/>
        <v>1.8055555555555602E-2</v>
      </c>
      <c r="J33" s="11">
        <v>4</v>
      </c>
      <c r="K33" s="11">
        <v>47</v>
      </c>
      <c r="L33" s="16">
        <f t="shared" si="7"/>
        <v>27.115384615384546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>
        <v>26</v>
      </c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65"/>
      <c r="E34" s="170" t="s">
        <v>874</v>
      </c>
      <c r="F34" s="88" t="s">
        <v>42</v>
      </c>
      <c r="G34" s="9">
        <v>0.36736111111111114</v>
      </c>
      <c r="H34" s="9">
        <v>0.39583333333333331</v>
      </c>
      <c r="I34" s="10">
        <f t="shared" si="6"/>
        <v>2.8472222222222177E-2</v>
      </c>
      <c r="J34" s="11">
        <v>4</v>
      </c>
      <c r="K34" s="11">
        <v>74.62</v>
      </c>
      <c r="L34" s="16">
        <f t="shared" si="7"/>
        <v>27.300000000000043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>
        <v>41</v>
      </c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65"/>
      <c r="E35" s="169" t="s">
        <v>875</v>
      </c>
      <c r="F35" s="88" t="s">
        <v>42</v>
      </c>
      <c r="G35" s="9">
        <v>0.40416666666666667</v>
      </c>
      <c r="H35" s="9">
        <v>0.4284722222222222</v>
      </c>
      <c r="I35" s="10">
        <f t="shared" si="6"/>
        <v>2.4305555555555525E-2</v>
      </c>
      <c r="J35" s="11">
        <v>4</v>
      </c>
      <c r="K35" s="11">
        <v>72.040000000000006</v>
      </c>
      <c r="L35" s="16">
        <f t="shared" si="7"/>
        <v>30.874285714285758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>
        <v>35</v>
      </c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65"/>
      <c r="E36" s="169" t="s">
        <v>876</v>
      </c>
      <c r="F36" s="88" t="s">
        <v>42</v>
      </c>
      <c r="G36" s="9">
        <v>0.43541666666666667</v>
      </c>
      <c r="H36" s="9">
        <v>0.45833333333333331</v>
      </c>
      <c r="I36" s="10">
        <f t="shared" si="6"/>
        <v>2.2916666666666641E-2</v>
      </c>
      <c r="J36" s="11">
        <v>4</v>
      </c>
      <c r="K36" s="11">
        <v>75.489999999999995</v>
      </c>
      <c r="L36" s="16">
        <f t="shared" si="7"/>
        <v>34.313636363636398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/>
      <c r="X36" s="11"/>
      <c r="Y36" s="11"/>
      <c r="Z36" s="11"/>
      <c r="AA36" s="11"/>
      <c r="AB36" s="11"/>
      <c r="AC36" s="11">
        <v>33</v>
      </c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65"/>
      <c r="E37" s="169" t="s">
        <v>877</v>
      </c>
      <c r="F37" s="88" t="s">
        <v>42</v>
      </c>
      <c r="G37" s="9">
        <v>0.46736111111111112</v>
      </c>
      <c r="H37" s="9">
        <v>0.49375000000000002</v>
      </c>
      <c r="I37" s="10">
        <f t="shared" si="6"/>
        <v>2.6388888888888906E-2</v>
      </c>
      <c r="J37" s="11">
        <v>4</v>
      </c>
      <c r="K37" s="11">
        <v>66.7</v>
      </c>
      <c r="L37" s="16">
        <f t="shared" si="7"/>
        <v>26.328947368421037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/>
      <c r="X37" s="11"/>
      <c r="Y37" s="11"/>
      <c r="Z37" s="11"/>
      <c r="AA37" s="11"/>
      <c r="AB37" s="11"/>
      <c r="AC37" s="11">
        <v>38</v>
      </c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65"/>
      <c r="E38" s="169" t="s">
        <v>878</v>
      </c>
      <c r="F38" s="88" t="s">
        <v>42</v>
      </c>
      <c r="G38" s="9">
        <v>0.50208333333333333</v>
      </c>
      <c r="H38" s="9">
        <v>0.5229166666666667</v>
      </c>
      <c r="I38" s="10">
        <f t="shared" si="6"/>
        <v>2.083333333333337E-2</v>
      </c>
      <c r="J38" s="11">
        <v>4</v>
      </c>
      <c r="K38" s="11">
        <v>66.34</v>
      </c>
      <c r="L38" s="16">
        <f t="shared" si="7"/>
        <v>33.169999999999945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/>
      <c r="X38" s="11"/>
      <c r="Y38" s="11"/>
      <c r="Z38" s="11"/>
      <c r="AA38" s="11"/>
      <c r="AB38" s="11"/>
      <c r="AC38" s="11">
        <v>30</v>
      </c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65"/>
      <c r="E39" s="169" t="s">
        <v>879</v>
      </c>
      <c r="F39" s="88" t="s">
        <v>42</v>
      </c>
      <c r="G39" s="9">
        <v>0.51944444444444449</v>
      </c>
      <c r="H39" s="9">
        <v>0.53263888888888888</v>
      </c>
      <c r="I39" s="10">
        <f t="shared" si="6"/>
        <v>1.3194444444444398E-2</v>
      </c>
      <c r="J39" s="11">
        <v>4</v>
      </c>
      <c r="K39" s="11">
        <v>34.28</v>
      </c>
      <c r="L39" s="16">
        <f t="shared" si="7"/>
        <v>27.063157894736943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/>
      <c r="X39" s="11"/>
      <c r="Y39" s="11"/>
      <c r="Z39" s="11"/>
      <c r="AA39" s="11"/>
      <c r="AB39" s="11"/>
      <c r="AC39" s="11"/>
      <c r="AD39" s="11">
        <v>19</v>
      </c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16" t="s">
        <v>880</v>
      </c>
      <c r="F40" s="8" t="s">
        <v>42</v>
      </c>
      <c r="G40" s="9">
        <v>0.39374999999999999</v>
      </c>
      <c r="H40" s="9">
        <v>0.4</v>
      </c>
      <c r="I40" s="10">
        <f t="shared" si="6"/>
        <v>6.2500000000000333E-3</v>
      </c>
      <c r="J40" s="11">
        <v>4</v>
      </c>
      <c r="K40" s="11">
        <v>78</v>
      </c>
      <c r="L40" s="16">
        <f t="shared" si="7"/>
        <v>129.99999999999929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/>
      <c r="X40" s="11"/>
      <c r="Y40" s="11"/>
      <c r="Z40" s="11"/>
      <c r="AA40" s="11"/>
      <c r="AB40" s="11">
        <v>9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16" t="s">
        <v>881</v>
      </c>
      <c r="F41" s="8" t="s">
        <v>42</v>
      </c>
      <c r="G41" s="9">
        <v>0.39513888888888887</v>
      </c>
      <c r="H41" s="9">
        <v>0.40069444444444446</v>
      </c>
      <c r="I41" s="10">
        <f t="shared" si="6"/>
        <v>5.5555555555555913E-3</v>
      </c>
      <c r="J41" s="11">
        <v>4</v>
      </c>
      <c r="K41" s="11">
        <v>77.86</v>
      </c>
      <c r="L41" s="16">
        <f t="shared" si="7"/>
        <v>145.98749999999907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/>
      <c r="X41" s="11"/>
      <c r="Y41" s="11"/>
      <c r="Z41" s="11"/>
      <c r="AA41" s="11"/>
      <c r="AB41" s="11"/>
      <c r="AC41" s="11"/>
      <c r="AD41" s="11">
        <v>8</v>
      </c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16" t="s">
        <v>882</v>
      </c>
      <c r="F42" s="8" t="s">
        <v>42</v>
      </c>
      <c r="G42" s="9">
        <v>0.40416666666666667</v>
      </c>
      <c r="H42" s="9">
        <v>0.41180555555555554</v>
      </c>
      <c r="I42" s="10">
        <f t="shared" si="6"/>
        <v>7.6388888888888618E-3</v>
      </c>
      <c r="J42" s="11">
        <v>4</v>
      </c>
      <c r="K42" s="11">
        <v>79.040000000000006</v>
      </c>
      <c r="L42" s="16">
        <f t="shared" si="7"/>
        <v>107.78181818181856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/>
      <c r="X42" s="11"/>
      <c r="Y42" s="11"/>
      <c r="Z42" s="11"/>
      <c r="AA42" s="11"/>
      <c r="AB42" s="11">
        <v>11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16" t="s">
        <v>883</v>
      </c>
      <c r="F43" s="8" t="s">
        <v>42</v>
      </c>
      <c r="G43" s="9">
        <v>0.41249999999999998</v>
      </c>
      <c r="H43" s="9">
        <v>0.41944444444444445</v>
      </c>
      <c r="I43" s="10">
        <f t="shared" si="6"/>
        <v>6.9444444444444753E-3</v>
      </c>
      <c r="J43" s="11">
        <v>4</v>
      </c>
      <c r="K43" s="11">
        <v>77.34</v>
      </c>
      <c r="L43" s="16">
        <f t="shared" si="7"/>
        <v>116.00999999999949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/>
      <c r="X43" s="11"/>
      <c r="Y43" s="11"/>
      <c r="Z43" s="11"/>
      <c r="AA43" s="11"/>
      <c r="AB43" s="11"/>
      <c r="AC43" s="11"/>
      <c r="AD43" s="11">
        <v>10</v>
      </c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16" t="s">
        <v>884</v>
      </c>
      <c r="F44" s="8" t="s">
        <v>42</v>
      </c>
      <c r="G44" s="9">
        <v>0.41597222222222224</v>
      </c>
      <c r="H44" s="9">
        <v>0.42291666666666666</v>
      </c>
      <c r="I44" s="10">
        <f t="shared" si="6"/>
        <v>6.9444444444444198E-3</v>
      </c>
      <c r="J44" s="11">
        <v>4</v>
      </c>
      <c r="K44" s="11">
        <v>79.22</v>
      </c>
      <c r="L44" s="16">
        <f t="shared" si="7"/>
        <v>118.83000000000042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/>
      <c r="X44" s="11"/>
      <c r="Y44" s="11"/>
      <c r="Z44" s="11"/>
      <c r="AA44" s="11"/>
      <c r="AB44" s="11">
        <v>10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16" t="s">
        <v>885</v>
      </c>
      <c r="F45" s="8" t="s">
        <v>42</v>
      </c>
      <c r="G45" s="9">
        <v>0.4236111111111111</v>
      </c>
      <c r="H45" s="9">
        <v>0.42916666666666664</v>
      </c>
      <c r="I45" s="10">
        <f t="shared" si="6"/>
        <v>5.5555555555555358E-3</v>
      </c>
      <c r="J45" s="11">
        <v>4</v>
      </c>
      <c r="K45" s="11">
        <v>77.37</v>
      </c>
      <c r="L45" s="16">
        <f t="shared" si="7"/>
        <v>145.06875000000051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/>
      <c r="X45" s="11"/>
      <c r="Y45" s="11"/>
      <c r="Z45" s="11"/>
      <c r="AA45" s="11"/>
      <c r="AB45" s="11"/>
      <c r="AC45" s="11"/>
      <c r="AD45" s="11">
        <v>8</v>
      </c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16" t="s">
        <v>886</v>
      </c>
      <c r="F46" s="8" t="s">
        <v>42</v>
      </c>
      <c r="G46" s="9">
        <v>0.42499999999999999</v>
      </c>
      <c r="H46" s="9">
        <v>0.43263888888888891</v>
      </c>
      <c r="I46" s="10">
        <f t="shared" si="6"/>
        <v>7.6388888888889173E-3</v>
      </c>
      <c r="J46" s="11">
        <v>4</v>
      </c>
      <c r="K46" s="11">
        <v>76.239999999999995</v>
      </c>
      <c r="L46" s="16">
        <f t="shared" si="7"/>
        <v>103.96363636363598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/>
      <c r="X46" s="11"/>
      <c r="Y46" s="11"/>
      <c r="Z46" s="11"/>
      <c r="AA46" s="11"/>
      <c r="AB46" s="11">
        <v>11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16" t="s">
        <v>887</v>
      </c>
      <c r="F47" s="8" t="s">
        <v>42</v>
      </c>
      <c r="G47" s="9">
        <v>0.43541666666666667</v>
      </c>
      <c r="H47" s="9">
        <v>0.44305555555555554</v>
      </c>
      <c r="I47" s="10">
        <f t="shared" si="6"/>
        <v>7.6388888888888618E-3</v>
      </c>
      <c r="J47" s="11">
        <v>4</v>
      </c>
      <c r="K47" s="11">
        <v>75.400000000000006</v>
      </c>
      <c r="L47" s="16">
        <f t="shared" si="7"/>
        <v>102.8181818181822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/>
      <c r="AC47" s="11"/>
      <c r="AD47" s="11">
        <v>11</v>
      </c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16" t="s">
        <v>888</v>
      </c>
      <c r="F48" s="8" t="s">
        <v>42</v>
      </c>
      <c r="G48" s="9">
        <v>0.4375</v>
      </c>
      <c r="H48" s="9">
        <v>0.4465277777777778</v>
      </c>
      <c r="I48" s="10">
        <f t="shared" si="6"/>
        <v>9.0277777777778012E-3</v>
      </c>
      <c r="J48" s="11">
        <v>4</v>
      </c>
      <c r="K48" s="11">
        <v>77.239999999999995</v>
      </c>
      <c r="L48" s="16">
        <f t="shared" si="7"/>
        <v>89.123076923076681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/>
      <c r="X48" s="11"/>
      <c r="Y48" s="11"/>
      <c r="Z48" s="11"/>
      <c r="AA48" s="11"/>
      <c r="AB48" s="11">
        <v>13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16" t="s">
        <v>889</v>
      </c>
      <c r="F49" s="8" t="s">
        <v>42</v>
      </c>
      <c r="G49" s="9">
        <v>0.45208333333333334</v>
      </c>
      <c r="H49" s="9">
        <v>0.45763888888888887</v>
      </c>
      <c r="I49" s="10">
        <f t="shared" si="6"/>
        <v>5.5555555555555358E-3</v>
      </c>
      <c r="J49" s="11">
        <v>4</v>
      </c>
      <c r="K49" s="11">
        <v>77.260000000000005</v>
      </c>
      <c r="L49" s="16">
        <f t="shared" si="7"/>
        <v>144.86250000000052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>
        <v>8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16" t="s">
        <v>890</v>
      </c>
      <c r="F50" s="8" t="s">
        <v>42</v>
      </c>
      <c r="G50" s="9">
        <v>0.46041666666666664</v>
      </c>
      <c r="H50" s="9">
        <v>0.46666666666666667</v>
      </c>
      <c r="I50" s="10">
        <f t="shared" si="6"/>
        <v>6.2500000000000333E-3</v>
      </c>
      <c r="J50" s="11">
        <v>4</v>
      </c>
      <c r="K50" s="11">
        <v>80.16</v>
      </c>
      <c r="L50" s="16">
        <f t="shared" si="7"/>
        <v>133.59999999999928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/>
      <c r="AB50" s="11">
        <v>9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16" t="s">
        <v>891</v>
      </c>
      <c r="F51" s="8" t="s">
        <v>42</v>
      </c>
      <c r="G51" s="9">
        <v>0.47222222222222221</v>
      </c>
      <c r="H51" s="9">
        <v>0.47916666666666669</v>
      </c>
      <c r="I51" s="10">
        <f t="shared" si="6"/>
        <v>6.9444444444444753E-3</v>
      </c>
      <c r="J51" s="11">
        <v>4</v>
      </c>
      <c r="K51" s="11">
        <v>78</v>
      </c>
      <c r="L51" s="16">
        <f t="shared" si="7"/>
        <v>116.99999999999949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/>
      <c r="AB51" s="11">
        <v>10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16" t="s">
        <v>892</v>
      </c>
      <c r="F52" s="8" t="s">
        <v>42</v>
      </c>
      <c r="G52" s="9">
        <v>0.48402777777777778</v>
      </c>
      <c r="H52" s="9">
        <v>0.49027777777777776</v>
      </c>
      <c r="I52" s="10">
        <f t="shared" si="6"/>
        <v>6.2499999999999778E-3</v>
      </c>
      <c r="J52" s="11">
        <v>4</v>
      </c>
      <c r="K52" s="11">
        <v>75.44</v>
      </c>
      <c r="L52" s="16">
        <f t="shared" si="7"/>
        <v>125.73333333333379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>
        <v>9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16" t="s">
        <v>893</v>
      </c>
      <c r="F53" s="8" t="s">
        <v>42</v>
      </c>
      <c r="G53" s="9">
        <v>0.4861111111111111</v>
      </c>
      <c r="H53" s="9">
        <v>0.49166666666666664</v>
      </c>
      <c r="I53" s="10">
        <f t="shared" si="6"/>
        <v>5.5555555555555358E-3</v>
      </c>
      <c r="J53" s="11">
        <v>4</v>
      </c>
      <c r="K53" s="11">
        <v>77.22</v>
      </c>
      <c r="L53" s="16">
        <f t="shared" si="7"/>
        <v>144.78750000000051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/>
      <c r="AD53" s="11">
        <v>8</v>
      </c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16" t="s">
        <v>894</v>
      </c>
      <c r="F54" s="8" t="s">
        <v>42</v>
      </c>
      <c r="G54" s="9">
        <v>0.49375000000000002</v>
      </c>
      <c r="H54" s="9">
        <v>0.5</v>
      </c>
      <c r="I54" s="10">
        <f t="shared" si="6"/>
        <v>6.2499999999999778E-3</v>
      </c>
      <c r="J54" s="11">
        <v>4</v>
      </c>
      <c r="K54" s="11">
        <v>77.849999999999994</v>
      </c>
      <c r="L54" s="16">
        <f t="shared" si="7"/>
        <v>129.75000000000045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>
        <v>9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16" t="s">
        <v>895</v>
      </c>
      <c r="F55" s="14"/>
      <c r="G55" s="9">
        <v>0.49722222222222223</v>
      </c>
      <c r="H55" s="9">
        <v>0.50138888888888888</v>
      </c>
      <c r="I55" s="10">
        <f t="shared" si="6"/>
        <v>4.1666666666666519E-3</v>
      </c>
      <c r="J55" s="11">
        <v>4</v>
      </c>
      <c r="K55" s="11">
        <v>77.86</v>
      </c>
      <c r="L55" s="16">
        <f t="shared" si="7"/>
        <v>194.65000000000069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/>
      <c r="AC55" s="11"/>
      <c r="AD55" s="11">
        <v>6</v>
      </c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16" t="s">
        <v>896</v>
      </c>
      <c r="F56" s="8" t="s">
        <v>42</v>
      </c>
      <c r="G56" s="9">
        <v>0.50416666666666665</v>
      </c>
      <c r="H56" s="9">
        <v>0.51041666666666663</v>
      </c>
      <c r="I56" s="10">
        <f t="shared" si="6"/>
        <v>6.2499999999999778E-3</v>
      </c>
      <c r="J56" s="11">
        <v>4</v>
      </c>
      <c r="K56" s="11">
        <v>77.36</v>
      </c>
      <c r="L56" s="16">
        <f t="shared" si="7"/>
        <v>128.93333333333379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>
        <v>9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16" t="s">
        <v>897</v>
      </c>
      <c r="F57" s="8" t="s">
        <v>42</v>
      </c>
      <c r="G57" s="9">
        <v>0.50555555555555554</v>
      </c>
      <c r="H57" s="9">
        <v>0.51041666666666663</v>
      </c>
      <c r="I57" s="10">
        <f t="shared" si="6"/>
        <v>4.8611111111110938E-3</v>
      </c>
      <c r="J57" s="11">
        <v>4</v>
      </c>
      <c r="K57" s="11">
        <v>79.010000000000005</v>
      </c>
      <c r="L57" s="16">
        <f t="shared" ref="L57:L78" si="8">IFERROR(((K57/(J57*I57)/24)),"0")</f>
        <v>169.30714285714348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/>
      <c r="AD57" s="11">
        <v>7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16" t="s">
        <v>898</v>
      </c>
      <c r="F58" s="8" t="s">
        <v>42</v>
      </c>
      <c r="G58" s="9">
        <v>0.51388888888888884</v>
      </c>
      <c r="H58" s="9">
        <v>0.51944444444444449</v>
      </c>
      <c r="I58" s="10">
        <f t="shared" si="6"/>
        <v>5.5555555555556468E-3</v>
      </c>
      <c r="J58" s="11">
        <v>4</v>
      </c>
      <c r="K58" s="11">
        <v>72.400000000000006</v>
      </c>
      <c r="L58" s="16">
        <f t="shared" si="8"/>
        <v>135.74999999999778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/>
      <c r="AA58" s="11"/>
      <c r="AB58" s="11">
        <v>8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16" t="s">
        <v>899</v>
      </c>
      <c r="F59" s="8" t="s">
        <v>42</v>
      </c>
      <c r="G59" s="9">
        <v>0.52569444444444446</v>
      </c>
      <c r="H59" s="9">
        <v>0.52986111111111112</v>
      </c>
      <c r="I59" s="10">
        <f t="shared" si="6"/>
        <v>4.1666666666666519E-3</v>
      </c>
      <c r="J59" s="11">
        <v>4</v>
      </c>
      <c r="K59" s="11">
        <v>79.010000000000005</v>
      </c>
      <c r="L59" s="16">
        <f t="shared" si="8"/>
        <v>197.52500000000069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/>
      <c r="Z59" s="11"/>
      <c r="AA59" s="11"/>
      <c r="AB59" s="11"/>
      <c r="AC59" s="11"/>
      <c r="AD59" s="11">
        <v>6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16" t="s">
        <v>900</v>
      </c>
      <c r="F60" s="8" t="s">
        <v>42</v>
      </c>
      <c r="G60" s="9">
        <v>0.53333333333333333</v>
      </c>
      <c r="H60" s="9">
        <v>0.5395833333333333</v>
      </c>
      <c r="I60" s="10">
        <f t="shared" si="6"/>
        <v>6.2499999999999778E-3</v>
      </c>
      <c r="J60" s="11">
        <v>4</v>
      </c>
      <c r="K60" s="11">
        <v>78.849999999999994</v>
      </c>
      <c r="L60" s="16">
        <f t="shared" si="8"/>
        <v>131.41666666666711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>
        <v>9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73" t="s">
        <v>901</v>
      </c>
      <c r="F61" s="8" t="s">
        <v>42</v>
      </c>
      <c r="G61" s="9">
        <v>0.54305555555555551</v>
      </c>
      <c r="H61" s="9">
        <v>0.54652777777777772</v>
      </c>
      <c r="I61" s="10">
        <f t="shared" si="6"/>
        <v>3.4722222222222099E-3</v>
      </c>
      <c r="J61" s="11">
        <v>4</v>
      </c>
      <c r="K61" s="11">
        <v>77.36</v>
      </c>
      <c r="L61" s="16">
        <f t="shared" si="8"/>
        <v>232.08000000000084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>
        <v>5</v>
      </c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65"/>
      <c r="E62" s="116" t="s">
        <v>902</v>
      </c>
      <c r="F62" s="8" t="s">
        <v>42</v>
      </c>
      <c r="G62" s="9">
        <v>0.3888888888888889</v>
      </c>
      <c r="H62" s="9">
        <v>0.41666666666666669</v>
      </c>
      <c r="I62" s="10">
        <f t="shared" si="6"/>
        <v>2.777777777777779E-2</v>
      </c>
      <c r="J62" s="11">
        <v>5</v>
      </c>
      <c r="K62" s="11">
        <v>86.1</v>
      </c>
      <c r="L62" s="16">
        <f t="shared" si="8"/>
        <v>25.829999999999988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/>
      <c r="AC62" s="11"/>
      <c r="AD62" s="11"/>
      <c r="AE62" s="11"/>
      <c r="AF62" s="11"/>
      <c r="AG62" s="11">
        <f>40/4</f>
        <v>10</v>
      </c>
      <c r="AH62" s="11">
        <f t="shared" ref="AH62:AJ62" si="9">40/4</f>
        <v>10</v>
      </c>
      <c r="AI62" s="11">
        <f t="shared" si="9"/>
        <v>10</v>
      </c>
      <c r="AJ62" s="11">
        <f t="shared" si="9"/>
        <v>10</v>
      </c>
      <c r="AK62" s="11"/>
      <c r="AL62" s="14"/>
    </row>
    <row r="63" spans="2:38" ht="25.05" customHeight="1">
      <c r="B63" s="13"/>
      <c r="C63" s="29"/>
      <c r="D63" s="65"/>
      <c r="E63" s="116" t="s">
        <v>903</v>
      </c>
      <c r="F63" s="8" t="s">
        <v>42</v>
      </c>
      <c r="G63" s="9">
        <v>0.42291666666666666</v>
      </c>
      <c r="H63" s="9">
        <v>0.44513888888888886</v>
      </c>
      <c r="I63" s="10">
        <f t="shared" si="6"/>
        <v>2.2222222222222199E-2</v>
      </c>
      <c r="J63" s="11">
        <v>5</v>
      </c>
      <c r="K63" s="11">
        <v>85.62</v>
      </c>
      <c r="L63" s="16">
        <f t="shared" si="8"/>
        <v>32.107500000000037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/>
      <c r="Y63" s="11"/>
      <c r="Z63" s="11"/>
      <c r="AA63" s="11"/>
      <c r="AB63" s="11"/>
      <c r="AC63" s="11"/>
      <c r="AD63" s="11"/>
      <c r="AE63" s="11"/>
      <c r="AF63" s="11"/>
      <c r="AG63" s="11">
        <f>32/4</f>
        <v>8</v>
      </c>
      <c r="AH63" s="11">
        <f t="shared" ref="AH63:AJ63" si="10">32/4</f>
        <v>8</v>
      </c>
      <c r="AI63" s="11">
        <f t="shared" si="10"/>
        <v>8</v>
      </c>
      <c r="AJ63" s="11">
        <f t="shared" si="10"/>
        <v>8</v>
      </c>
      <c r="AK63" s="11"/>
      <c r="AL63" s="14"/>
    </row>
    <row r="64" spans="2:38" ht="25.05" customHeight="1">
      <c r="B64" s="13"/>
      <c r="C64" s="29"/>
      <c r="D64" s="65"/>
      <c r="E64" s="116" t="s">
        <v>904</v>
      </c>
      <c r="F64" s="8" t="s">
        <v>42</v>
      </c>
      <c r="G64" s="9">
        <v>0.48472222222222222</v>
      </c>
      <c r="H64" s="9">
        <v>0.50555555555555554</v>
      </c>
      <c r="I64" s="10">
        <f t="shared" si="6"/>
        <v>2.0833333333333315E-2</v>
      </c>
      <c r="J64" s="11">
        <v>5</v>
      </c>
      <c r="K64" s="11">
        <v>85.58</v>
      </c>
      <c r="L64" s="16">
        <f t="shared" si="8"/>
        <v>34.232000000000028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>
        <f>30/4</f>
        <v>7.5</v>
      </c>
      <c r="AH64" s="11">
        <f t="shared" ref="AH64:AJ64" si="11">30/4</f>
        <v>7.5</v>
      </c>
      <c r="AI64" s="11">
        <f t="shared" si="11"/>
        <v>7.5</v>
      </c>
      <c r="AJ64" s="11">
        <f t="shared" si="11"/>
        <v>7.5</v>
      </c>
      <c r="AK64" s="11"/>
      <c r="AL64" s="14"/>
    </row>
    <row r="65" spans="2:38" ht="25.05" customHeight="1">
      <c r="B65" s="13"/>
      <c r="C65" s="29"/>
      <c r="D65" s="172"/>
      <c r="E65" s="116" t="s">
        <v>905</v>
      </c>
      <c r="F65" s="8" t="s">
        <v>42</v>
      </c>
      <c r="G65" s="9">
        <v>0.50694444444444442</v>
      </c>
      <c r="H65" s="9">
        <v>0.53611111111111109</v>
      </c>
      <c r="I65" s="10">
        <f t="shared" si="6"/>
        <v>2.9166666666666674E-2</v>
      </c>
      <c r="J65" s="11">
        <v>5</v>
      </c>
      <c r="K65" s="11">
        <v>106.98</v>
      </c>
      <c r="L65" s="16">
        <f t="shared" si="8"/>
        <v>30.565714285714279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/>
      <c r="Y65" s="11"/>
      <c r="Z65" s="11"/>
      <c r="AA65" s="11"/>
      <c r="AB65" s="11"/>
      <c r="AC65" s="11"/>
      <c r="AD65" s="11"/>
      <c r="AE65" s="11"/>
      <c r="AF65" s="11"/>
      <c r="AG65" s="11">
        <f>42/4</f>
        <v>10.5</v>
      </c>
      <c r="AH65" s="11">
        <f t="shared" ref="AH65:AJ65" si="12">42/4</f>
        <v>10.5</v>
      </c>
      <c r="AI65" s="11">
        <f t="shared" si="12"/>
        <v>10.5</v>
      </c>
      <c r="AJ65" s="11">
        <f t="shared" si="12"/>
        <v>10.5</v>
      </c>
      <c r="AK65" s="11"/>
      <c r="AL65" s="14"/>
    </row>
    <row r="66" spans="2:38" ht="25.05" customHeight="1">
      <c r="B66" s="13"/>
      <c r="C66" s="29"/>
      <c r="D66" s="172"/>
      <c r="E66" s="19"/>
      <c r="F66" s="8" t="s">
        <v>42</v>
      </c>
      <c r="G66" s="9"/>
      <c r="H66" s="9"/>
      <c r="I66" s="10">
        <f t="shared" si="6"/>
        <v>0</v>
      </c>
      <c r="J66" s="11"/>
      <c r="K66" s="11"/>
      <c r="L66" s="16" t="str">
        <f t="shared" si="8"/>
        <v>0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166" t="s">
        <v>860</v>
      </c>
      <c r="E67" s="19" t="s">
        <v>906</v>
      </c>
      <c r="F67" s="8" t="s">
        <v>42</v>
      </c>
      <c r="G67" s="9">
        <v>0.61111111111111116</v>
      </c>
      <c r="H67" s="9">
        <v>0.61458333333333337</v>
      </c>
      <c r="I67" s="10">
        <f t="shared" si="6"/>
        <v>3.4722222222222099E-3</v>
      </c>
      <c r="J67" s="11">
        <v>5</v>
      </c>
      <c r="K67" s="11">
        <v>19.170000000000002</v>
      </c>
      <c r="L67" s="16">
        <f t="shared" si="8"/>
        <v>46.008000000000173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/>
      <c r="Z67" s="11"/>
      <c r="AA67" s="11">
        <v>5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907</v>
      </c>
      <c r="F68" s="8" t="s">
        <v>42</v>
      </c>
      <c r="G68" s="9">
        <v>0.61805555555555558</v>
      </c>
      <c r="H68" s="9">
        <v>0.62152777777777779</v>
      </c>
      <c r="I68" s="10">
        <f t="shared" si="6"/>
        <v>3.4722222222222099E-3</v>
      </c>
      <c r="J68" s="11">
        <v>5</v>
      </c>
      <c r="K68" s="11">
        <v>20.41</v>
      </c>
      <c r="L68" s="16">
        <f t="shared" si="8"/>
        <v>48.984000000000172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/>
      <c r="Y68" s="11"/>
      <c r="Z68" s="11"/>
      <c r="AA68" s="11">
        <v>5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908</v>
      </c>
      <c r="F69" s="8" t="s">
        <v>42</v>
      </c>
      <c r="G69" s="9">
        <v>0.625</v>
      </c>
      <c r="H69" s="9">
        <v>0.62847222222222221</v>
      </c>
      <c r="I69" s="10">
        <f t="shared" ref="I69:I74" si="13">H69-G69</f>
        <v>3.4722222222222099E-3</v>
      </c>
      <c r="J69" s="11">
        <v>5</v>
      </c>
      <c r="K69" s="11">
        <v>21.01</v>
      </c>
      <c r="L69" s="16">
        <f t="shared" si="8"/>
        <v>50.424000000000184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>
        <v>5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909</v>
      </c>
      <c r="F70" s="8" t="s">
        <v>42</v>
      </c>
      <c r="G70" s="9">
        <v>0.63124999999999998</v>
      </c>
      <c r="H70" s="9">
        <v>0.63472222222222219</v>
      </c>
      <c r="I70" s="10">
        <f t="shared" si="13"/>
        <v>3.4722222222222099E-3</v>
      </c>
      <c r="J70" s="11">
        <v>5</v>
      </c>
      <c r="K70" s="11">
        <v>21.13</v>
      </c>
      <c r="L70" s="16">
        <f t="shared" si="8"/>
        <v>50.712000000000181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>
        <v>5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910</v>
      </c>
      <c r="F71" s="8" t="s">
        <v>42</v>
      </c>
      <c r="G71" s="9">
        <v>0.65</v>
      </c>
      <c r="H71" s="9">
        <v>0.65347222222222223</v>
      </c>
      <c r="I71" s="10">
        <f t="shared" si="13"/>
        <v>3.4722222222222099E-3</v>
      </c>
      <c r="J71" s="11">
        <v>5</v>
      </c>
      <c r="K71" s="11">
        <v>20.87</v>
      </c>
      <c r="L71" s="16">
        <f t="shared" si="8"/>
        <v>50.088000000000186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>
        <v>5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911</v>
      </c>
      <c r="F72" s="14"/>
      <c r="G72" s="9">
        <v>0.65625</v>
      </c>
      <c r="H72" s="9">
        <v>0.65972222222222221</v>
      </c>
      <c r="I72" s="10">
        <f t="shared" si="13"/>
        <v>3.4722222222222099E-3</v>
      </c>
      <c r="J72" s="11">
        <v>5</v>
      </c>
      <c r="K72" s="11">
        <v>20.5</v>
      </c>
      <c r="L72" s="16">
        <f t="shared" si="8"/>
        <v>49.20000000000018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/>
      <c r="Y72" s="11"/>
      <c r="Z72" s="11"/>
      <c r="AA72" s="11">
        <v>5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47" t="s">
        <v>912</v>
      </c>
      <c r="F73" s="8" t="s">
        <v>42</v>
      </c>
      <c r="G73" s="9">
        <v>0.66736111111111107</v>
      </c>
      <c r="H73" s="9">
        <v>0.67708333333333337</v>
      </c>
      <c r="I73" s="10">
        <f t="shared" si="13"/>
        <v>9.7222222222222987E-3</v>
      </c>
      <c r="J73" s="11">
        <v>5</v>
      </c>
      <c r="K73" s="11">
        <v>36.450000000000003</v>
      </c>
      <c r="L73" s="16">
        <f t="shared" si="8"/>
        <v>31.242857142856902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/>
      <c r="Y73" s="11"/>
      <c r="Z73" s="11"/>
      <c r="AA73" s="11">
        <v>14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913</v>
      </c>
      <c r="F74" s="8" t="s">
        <v>42</v>
      </c>
      <c r="G74" s="9">
        <v>0.60972222222222228</v>
      </c>
      <c r="H74" s="9">
        <v>0.61250000000000004</v>
      </c>
      <c r="I74" s="10">
        <f t="shared" si="13"/>
        <v>2.7777777777777679E-3</v>
      </c>
      <c r="J74" s="11">
        <v>8</v>
      </c>
      <c r="K74" s="11">
        <v>42.91</v>
      </c>
      <c r="L74" s="16">
        <f t="shared" si="8"/>
        <v>80.456250000000281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/>
      <c r="Y74" s="11"/>
      <c r="Z74" s="11"/>
      <c r="AA74" s="11"/>
      <c r="AB74" s="11"/>
      <c r="AC74" s="11"/>
      <c r="AD74" s="11">
        <v>4</v>
      </c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914</v>
      </c>
      <c r="F75" s="8" t="s">
        <v>42</v>
      </c>
      <c r="G75" s="9">
        <v>0.6166666666666667</v>
      </c>
      <c r="H75" s="9">
        <v>0.61944444444444446</v>
      </c>
      <c r="I75" s="10">
        <f t="shared" ref="I75:I89" si="14">H75-G75</f>
        <v>2.7777777777777679E-3</v>
      </c>
      <c r="J75" s="11">
        <v>8</v>
      </c>
      <c r="K75" s="11">
        <v>42.85</v>
      </c>
      <c r="L75" s="16">
        <f t="shared" si="8"/>
        <v>80.343750000000284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/>
      <c r="X75" s="11"/>
      <c r="Y75" s="11"/>
      <c r="Z75" s="11"/>
      <c r="AA75" s="11"/>
      <c r="AB75" s="11">
        <v>4</v>
      </c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915</v>
      </c>
      <c r="F76" s="8" t="s">
        <v>42</v>
      </c>
      <c r="G76" s="9">
        <v>0.62013888888888891</v>
      </c>
      <c r="H76" s="9">
        <v>0.62291666666666667</v>
      </c>
      <c r="I76" s="10">
        <f t="shared" si="14"/>
        <v>2.7777777777777679E-3</v>
      </c>
      <c r="J76" s="11">
        <v>8</v>
      </c>
      <c r="K76" s="11">
        <v>41.73</v>
      </c>
      <c r="L76" s="16">
        <f t="shared" si="8"/>
        <v>78.243750000000276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/>
      <c r="X76" s="11"/>
      <c r="Y76" s="11"/>
      <c r="Z76" s="11"/>
      <c r="AA76" s="11"/>
      <c r="AB76" s="11"/>
      <c r="AC76" s="11"/>
      <c r="AD76" s="11">
        <v>4</v>
      </c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916</v>
      </c>
      <c r="F77" s="8" t="s">
        <v>42</v>
      </c>
      <c r="G77" s="9">
        <v>0.62361111111111112</v>
      </c>
      <c r="H77" s="9">
        <v>0.62638888888888888</v>
      </c>
      <c r="I77" s="10">
        <f t="shared" si="14"/>
        <v>2.7777777777777679E-3</v>
      </c>
      <c r="J77" s="11">
        <v>8</v>
      </c>
      <c r="K77" s="11">
        <v>42.38</v>
      </c>
      <c r="L77" s="16">
        <f t="shared" si="8"/>
        <v>79.46250000000029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/>
      <c r="X77" s="11"/>
      <c r="Y77" s="11"/>
      <c r="Z77" s="11"/>
      <c r="AA77" s="11"/>
      <c r="AB77" s="11">
        <v>4</v>
      </c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917</v>
      </c>
      <c r="F78" s="8" t="s">
        <v>42</v>
      </c>
      <c r="G78" s="9">
        <v>0.62986111111111109</v>
      </c>
      <c r="H78" s="9">
        <v>0.63263888888888886</v>
      </c>
      <c r="I78" s="10">
        <f t="shared" si="14"/>
        <v>2.7777777777777679E-3</v>
      </c>
      <c r="J78" s="11">
        <v>8</v>
      </c>
      <c r="K78" s="11">
        <v>41.63</v>
      </c>
      <c r="L78" s="16">
        <f t="shared" si="8"/>
        <v>78.056250000000276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/>
      <c r="X78" s="11"/>
      <c r="Y78" s="11"/>
      <c r="Z78" s="11"/>
      <c r="AA78" s="11"/>
      <c r="AB78" s="11"/>
      <c r="AC78" s="11"/>
      <c r="AD78" s="11">
        <v>4</v>
      </c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918</v>
      </c>
      <c r="F79" s="8" t="s">
        <v>42</v>
      </c>
      <c r="G79" s="9">
        <v>0.63402777777777775</v>
      </c>
      <c r="H79" s="9">
        <v>0.63680555555555551</v>
      </c>
      <c r="I79" s="10">
        <f t="shared" si="14"/>
        <v>2.7777777777777679E-3</v>
      </c>
      <c r="J79" s="11">
        <v>8</v>
      </c>
      <c r="K79" s="11">
        <v>42.37</v>
      </c>
      <c r="L79" s="16">
        <f t="shared" ref="L79:L87" si="15">IFERROR(((K79/(J79*I79)/24)),"0")</f>
        <v>79.443750000000279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/>
      <c r="X79" s="11"/>
      <c r="Y79" s="11"/>
      <c r="Z79" s="11"/>
      <c r="AA79" s="11"/>
      <c r="AB79" s="11">
        <v>4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919</v>
      </c>
      <c r="F80" s="8" t="s">
        <v>42</v>
      </c>
      <c r="G80" s="9">
        <v>0.6381944444444444</v>
      </c>
      <c r="H80" s="9">
        <v>0.64097222222222228</v>
      </c>
      <c r="I80" s="10">
        <f t="shared" si="14"/>
        <v>2.7777777777778789E-3</v>
      </c>
      <c r="J80" s="11">
        <v>8</v>
      </c>
      <c r="K80" s="11">
        <v>42.53</v>
      </c>
      <c r="L80" s="16">
        <f t="shared" si="15"/>
        <v>79.743749999997092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/>
      <c r="X80" s="11"/>
      <c r="Y80" s="11"/>
      <c r="Z80" s="11"/>
      <c r="AA80" s="11"/>
      <c r="AB80" s="11"/>
      <c r="AC80" s="11"/>
      <c r="AD80" s="11">
        <v>4</v>
      </c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920</v>
      </c>
      <c r="F81" s="8" t="s">
        <v>42</v>
      </c>
      <c r="G81" s="9">
        <v>0.64236111111111116</v>
      </c>
      <c r="H81" s="9">
        <v>0.64513888888888893</v>
      </c>
      <c r="I81" s="10">
        <f t="shared" si="14"/>
        <v>2.7777777777777679E-3</v>
      </c>
      <c r="J81" s="11">
        <v>8</v>
      </c>
      <c r="K81" s="11">
        <v>38.950000000000003</v>
      </c>
      <c r="L81" s="16">
        <f t="shared" si="15"/>
        <v>73.03125000000027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/>
      <c r="X81" s="11"/>
      <c r="Y81" s="11"/>
      <c r="Z81" s="11"/>
      <c r="AA81" s="11"/>
      <c r="AB81" s="11">
        <v>4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921</v>
      </c>
      <c r="F82" s="8" t="s">
        <v>42</v>
      </c>
      <c r="G82" s="9">
        <v>0.64652777777777781</v>
      </c>
      <c r="H82" s="9">
        <v>0.64930555555555558</v>
      </c>
      <c r="I82" s="10">
        <f t="shared" si="14"/>
        <v>2.7777777777777679E-3</v>
      </c>
      <c r="J82" s="11">
        <v>8</v>
      </c>
      <c r="K82" s="11">
        <v>41.87</v>
      </c>
      <c r="L82" s="16">
        <f t="shared" si="15"/>
        <v>78.506250000000279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/>
      <c r="X82" s="11"/>
      <c r="Y82" s="11"/>
      <c r="Z82" s="11"/>
      <c r="AA82" s="11"/>
      <c r="AB82" s="11"/>
      <c r="AC82" s="11"/>
      <c r="AD82" s="11">
        <v>4</v>
      </c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922</v>
      </c>
      <c r="F83" s="8" t="s">
        <v>42</v>
      </c>
      <c r="G83" s="9">
        <v>0.65069444444444446</v>
      </c>
      <c r="H83" s="9">
        <v>0.65347222222222223</v>
      </c>
      <c r="I83" s="10">
        <f t="shared" si="14"/>
        <v>2.7777777777777679E-3</v>
      </c>
      <c r="J83" s="11">
        <v>8</v>
      </c>
      <c r="K83" s="11">
        <v>42.97</v>
      </c>
      <c r="L83" s="16">
        <f t="shared" si="15"/>
        <v>80.568750000000293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/>
      <c r="X83" s="11"/>
      <c r="Y83" s="11"/>
      <c r="Z83" s="11"/>
      <c r="AA83" s="11"/>
      <c r="AB83" s="11">
        <v>4</v>
      </c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923</v>
      </c>
      <c r="F84" s="8" t="s">
        <v>42</v>
      </c>
      <c r="G84" s="9">
        <v>0.65555555555555556</v>
      </c>
      <c r="H84" s="9">
        <v>0.65833333333333333</v>
      </c>
      <c r="I84" s="10">
        <f t="shared" si="14"/>
        <v>2.7777777777777679E-3</v>
      </c>
      <c r="J84" s="11">
        <v>8</v>
      </c>
      <c r="K84" s="11">
        <v>41.81</v>
      </c>
      <c r="L84" s="16">
        <f t="shared" si="15"/>
        <v>78.393750000000281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/>
      <c r="AD84" s="11">
        <v>4</v>
      </c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924</v>
      </c>
      <c r="F85" s="8" t="s">
        <v>42</v>
      </c>
      <c r="G85" s="9">
        <v>0.65902777777777777</v>
      </c>
      <c r="H85" s="9">
        <v>0.66180555555555554</v>
      </c>
      <c r="I85" s="10">
        <f t="shared" si="14"/>
        <v>2.7777777777777679E-3</v>
      </c>
      <c r="J85" s="11">
        <v>8</v>
      </c>
      <c r="K85" s="11">
        <v>41.96</v>
      </c>
      <c r="L85" s="16">
        <f t="shared" si="15"/>
        <v>78.675000000000281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/>
      <c r="X85" s="11"/>
      <c r="Y85" s="11"/>
      <c r="Z85" s="11"/>
      <c r="AA85" s="11"/>
      <c r="AB85" s="11">
        <v>4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925</v>
      </c>
      <c r="F86" s="8" t="s">
        <v>42</v>
      </c>
      <c r="G86" s="9">
        <v>0.66736111111111107</v>
      </c>
      <c r="H86" s="9">
        <v>0.67013888888888884</v>
      </c>
      <c r="I86" s="10">
        <f t="shared" si="14"/>
        <v>2.7777777777777679E-3</v>
      </c>
      <c r="J86" s="11">
        <v>8</v>
      </c>
      <c r="K86" s="11">
        <v>41.57</v>
      </c>
      <c r="L86" s="16">
        <f t="shared" si="15"/>
        <v>77.943750000000279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/>
      <c r="X86" s="11"/>
      <c r="Y86" s="11"/>
      <c r="Z86" s="11"/>
      <c r="AA86" s="11"/>
      <c r="AB86" s="11">
        <v>4</v>
      </c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77"/>
      <c r="F87" s="8" t="s">
        <v>42</v>
      </c>
      <c r="G87" s="9"/>
      <c r="H87" s="9"/>
      <c r="I87" s="10">
        <f t="shared" si="14"/>
        <v>0</v>
      </c>
      <c r="J87" s="11"/>
      <c r="K87" s="11"/>
      <c r="L87" s="16" t="str">
        <f t="shared" si="15"/>
        <v>0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162" t="s">
        <v>191</v>
      </c>
      <c r="E88" s="169" t="s">
        <v>274</v>
      </c>
      <c r="F88" s="88" t="s">
        <v>42</v>
      </c>
      <c r="G88" s="9">
        <v>0.61527777777777781</v>
      </c>
      <c r="H88" s="9">
        <v>0.63749999999999996</v>
      </c>
      <c r="I88" s="10">
        <f t="shared" si="14"/>
        <v>2.2222222222222143E-2</v>
      </c>
      <c r="J88" s="11">
        <v>3</v>
      </c>
      <c r="K88" s="11">
        <v>170.23</v>
      </c>
      <c r="L88" s="16">
        <f t="shared" ref="L88:L98" si="16">IFERROR(((K88/(J88*I88)/24)),"0")</f>
        <v>106.39375000000037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/>
      <c r="X88" s="11"/>
      <c r="Y88" s="11"/>
      <c r="Z88" s="11"/>
      <c r="AA88" s="11"/>
      <c r="AB88" s="11"/>
      <c r="AC88" s="11">
        <v>32</v>
      </c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69" t="s">
        <v>275</v>
      </c>
      <c r="F89" s="8" t="s">
        <v>42</v>
      </c>
      <c r="G89" s="9">
        <v>0.64513888888888893</v>
      </c>
      <c r="H89" s="9">
        <v>0.66666666666666663</v>
      </c>
      <c r="I89" s="10">
        <f t="shared" si="14"/>
        <v>2.1527777777777701E-2</v>
      </c>
      <c r="J89" s="11">
        <v>3</v>
      </c>
      <c r="K89" s="11">
        <v>169.37</v>
      </c>
      <c r="L89" s="16">
        <f t="shared" si="16"/>
        <v>109.27096774193588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/>
      <c r="X89" s="11"/>
      <c r="Y89" s="11"/>
      <c r="Z89" s="11"/>
      <c r="AA89" s="11"/>
      <c r="AB89" s="11"/>
      <c r="AC89" s="11">
        <v>31</v>
      </c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69" t="s">
        <v>276</v>
      </c>
      <c r="F90" s="8" t="s">
        <v>42</v>
      </c>
      <c r="G90" s="9">
        <v>0.67569444444444449</v>
      </c>
      <c r="H90" s="9">
        <v>0.6958333333333333</v>
      </c>
      <c r="I90" s="10">
        <f t="shared" ref="I90:I99" si="17">H90-G90</f>
        <v>2.0138888888888817E-2</v>
      </c>
      <c r="J90" s="11">
        <v>3</v>
      </c>
      <c r="K90" s="11">
        <v>170.04</v>
      </c>
      <c r="L90" s="16">
        <f t="shared" si="16"/>
        <v>117.26896551724178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/>
      <c r="X90" s="11"/>
      <c r="Y90" s="11"/>
      <c r="Z90" s="11"/>
      <c r="AA90" s="11"/>
      <c r="AB90" s="11"/>
      <c r="AC90" s="11">
        <v>29</v>
      </c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69" t="s">
        <v>277</v>
      </c>
      <c r="F91" s="8" t="s">
        <v>42</v>
      </c>
      <c r="G91" s="9">
        <v>0.7055555555555556</v>
      </c>
      <c r="H91" s="9">
        <v>0.72569444444444442</v>
      </c>
      <c r="I91" s="10">
        <f t="shared" si="17"/>
        <v>2.0138888888888817E-2</v>
      </c>
      <c r="J91" s="11">
        <v>3</v>
      </c>
      <c r="K91" s="11">
        <v>171.27</v>
      </c>
      <c r="L91" s="16">
        <f t="shared" si="16"/>
        <v>118.11724137931077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/>
      <c r="X91" s="11"/>
      <c r="Y91" s="11"/>
      <c r="Z91" s="11"/>
      <c r="AA91" s="11"/>
      <c r="AB91" s="11"/>
      <c r="AC91" s="11">
        <v>29</v>
      </c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69" t="s">
        <v>926</v>
      </c>
      <c r="F92" s="8" t="s">
        <v>42</v>
      </c>
      <c r="G92" s="9">
        <v>0.73333333333333328</v>
      </c>
      <c r="H92" s="9">
        <v>0.75277777777777777</v>
      </c>
      <c r="I92" s="10">
        <f t="shared" si="17"/>
        <v>1.9444444444444486E-2</v>
      </c>
      <c r="J92" s="11">
        <v>3</v>
      </c>
      <c r="K92" s="11">
        <v>174.88</v>
      </c>
      <c r="L92" s="16">
        <f t="shared" si="16"/>
        <v>124.91428571428544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/>
      <c r="X92" s="11"/>
      <c r="Y92" s="11"/>
      <c r="Z92" s="11"/>
      <c r="AA92" s="11"/>
      <c r="AB92" s="11"/>
      <c r="AC92" s="11">
        <v>28</v>
      </c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69" t="s">
        <v>927</v>
      </c>
      <c r="F93" s="8" t="s">
        <v>42</v>
      </c>
      <c r="G93" s="9">
        <v>0.74861111111111112</v>
      </c>
      <c r="H93" s="9">
        <v>0.76944444444444449</v>
      </c>
      <c r="I93" s="10">
        <f t="shared" si="17"/>
        <v>2.083333333333337E-2</v>
      </c>
      <c r="J93" s="11">
        <v>3</v>
      </c>
      <c r="K93" s="11">
        <v>167.24</v>
      </c>
      <c r="L93" s="16">
        <f t="shared" si="16"/>
        <v>111.49333333333315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/>
      <c r="X93" s="11"/>
      <c r="Y93" s="11"/>
      <c r="Z93" s="11"/>
      <c r="AA93" s="11"/>
      <c r="AB93" s="11"/>
      <c r="AC93" s="11"/>
      <c r="AD93" s="11">
        <v>30</v>
      </c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69" t="s">
        <v>928</v>
      </c>
      <c r="F94" s="8" t="s">
        <v>42</v>
      </c>
      <c r="G94" s="9">
        <v>0.76041666666666663</v>
      </c>
      <c r="H94" s="9">
        <v>0.78333333333333333</v>
      </c>
      <c r="I94" s="10">
        <f t="shared" si="17"/>
        <v>2.2916666666666696E-2</v>
      </c>
      <c r="J94" s="11">
        <v>3</v>
      </c>
      <c r="K94" s="11">
        <v>171.49</v>
      </c>
      <c r="L94" s="16">
        <f t="shared" si="16"/>
        <v>103.93333333333321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/>
      <c r="X94" s="11"/>
      <c r="Y94" s="11"/>
      <c r="Z94" s="11"/>
      <c r="AA94" s="11"/>
      <c r="AB94" s="11"/>
      <c r="AC94" s="11">
        <v>33</v>
      </c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69" t="s">
        <v>929</v>
      </c>
      <c r="F95" s="8" t="s">
        <v>42</v>
      </c>
      <c r="G95" s="9">
        <v>0.77430555555555558</v>
      </c>
      <c r="H95" s="9">
        <v>0.79236111111111107</v>
      </c>
      <c r="I95" s="10">
        <f t="shared" si="17"/>
        <v>1.8055555555555491E-2</v>
      </c>
      <c r="J95" s="11">
        <v>3</v>
      </c>
      <c r="K95" s="11">
        <v>171.5</v>
      </c>
      <c r="L95" s="16">
        <f t="shared" si="16"/>
        <v>131.92307692307739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/>
      <c r="X95" s="11"/>
      <c r="Y95" s="11"/>
      <c r="Z95" s="11"/>
      <c r="AA95" s="11"/>
      <c r="AB95" s="11"/>
      <c r="AC95" s="11"/>
      <c r="AD95" s="11">
        <v>26</v>
      </c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69" t="s">
        <v>930</v>
      </c>
      <c r="F96" s="8" t="s">
        <v>42</v>
      </c>
      <c r="G96" s="9">
        <v>0.78749999999999998</v>
      </c>
      <c r="H96" s="9">
        <v>0.80763888888888891</v>
      </c>
      <c r="I96" s="10">
        <f t="shared" si="17"/>
        <v>2.0138888888888928E-2</v>
      </c>
      <c r="J96" s="11">
        <v>3</v>
      </c>
      <c r="K96" s="11">
        <v>170.96</v>
      </c>
      <c r="L96" s="16">
        <f t="shared" si="16"/>
        <v>117.90344827586183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/>
      <c r="X96" s="11"/>
      <c r="Y96" s="11"/>
      <c r="Z96" s="11"/>
      <c r="AA96" s="11"/>
      <c r="AB96" s="11"/>
      <c r="AC96" s="11">
        <v>29</v>
      </c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69" t="s">
        <v>931</v>
      </c>
      <c r="F97" s="8" t="s">
        <v>42</v>
      </c>
      <c r="G97" s="9">
        <v>0.7895833333333333</v>
      </c>
      <c r="H97" s="9">
        <v>0.81111111111111112</v>
      </c>
      <c r="I97" s="10">
        <f t="shared" si="17"/>
        <v>2.1527777777777812E-2</v>
      </c>
      <c r="J97" s="11">
        <v>3</v>
      </c>
      <c r="K97" s="11">
        <v>171</v>
      </c>
      <c r="L97" s="16">
        <f t="shared" si="16"/>
        <v>110.32258064516111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/>
      <c r="Y97" s="11"/>
      <c r="Z97" s="11"/>
      <c r="AA97" s="11"/>
      <c r="AB97" s="11">
        <v>31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913</v>
      </c>
      <c r="F98" s="8" t="s">
        <v>42</v>
      </c>
      <c r="G98" s="9">
        <v>0.67569444444444449</v>
      </c>
      <c r="H98" s="9">
        <v>0.67847222222222225</v>
      </c>
      <c r="I98" s="10">
        <f t="shared" si="17"/>
        <v>2.7777777777777679E-3</v>
      </c>
      <c r="J98" s="11">
        <v>8</v>
      </c>
      <c r="K98" s="11">
        <v>39.83</v>
      </c>
      <c r="L98" s="16">
        <f t="shared" si="16"/>
        <v>74.681250000000261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>
        <v>4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914</v>
      </c>
      <c r="F99" s="8" t="s">
        <v>42</v>
      </c>
      <c r="G99" s="9">
        <v>0.68333333333333335</v>
      </c>
      <c r="H99" s="9">
        <v>0.68611111111111112</v>
      </c>
      <c r="I99" s="10">
        <f t="shared" si="17"/>
        <v>2.7777777777777679E-3</v>
      </c>
      <c r="J99" s="11">
        <v>8</v>
      </c>
      <c r="K99" s="11">
        <v>38.950000000000003</v>
      </c>
      <c r="L99" s="16">
        <f t="shared" ref="L99:L121" si="18">IFERROR(((K99/(J99*I99)/24)),"0")</f>
        <v>73.03125000000027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/>
      <c r="X99" s="11"/>
      <c r="Y99" s="11"/>
      <c r="Z99" s="11"/>
      <c r="AA99" s="11"/>
      <c r="AB99" s="11">
        <v>4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916</v>
      </c>
      <c r="F100" s="8" t="s">
        <v>42</v>
      </c>
      <c r="G100" s="9">
        <v>0.69097222222222221</v>
      </c>
      <c r="H100" s="9">
        <v>0.69374999999999998</v>
      </c>
      <c r="I100" s="10">
        <f t="shared" ref="I100:I120" si="19">H100-G100</f>
        <v>2.7777777777777679E-3</v>
      </c>
      <c r="J100" s="11">
        <v>8</v>
      </c>
      <c r="K100" s="11">
        <v>39.01</v>
      </c>
      <c r="L100" s="16">
        <f t="shared" si="18"/>
        <v>73.143750000000253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/>
      <c r="X100" s="11"/>
      <c r="Y100" s="11"/>
      <c r="Z100" s="11"/>
      <c r="AA100" s="11"/>
      <c r="AB100" s="11">
        <v>4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917</v>
      </c>
      <c r="F101" s="8" t="s">
        <v>42</v>
      </c>
      <c r="G101" s="9">
        <v>0.7</v>
      </c>
      <c r="H101" s="9">
        <v>0.70277777777777772</v>
      </c>
      <c r="I101" s="10">
        <f t="shared" si="19"/>
        <v>2.7777777777777679E-3</v>
      </c>
      <c r="J101" s="11">
        <v>8</v>
      </c>
      <c r="K101" s="11">
        <v>40.21</v>
      </c>
      <c r="L101" s="16">
        <f t="shared" si="18"/>
        <v>75.393750000000267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/>
      <c r="X101" s="11"/>
      <c r="Y101" s="11"/>
      <c r="Z101" s="11"/>
      <c r="AA101" s="11"/>
      <c r="AB101" s="11">
        <v>4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918</v>
      </c>
      <c r="F102" s="8" t="s">
        <v>42</v>
      </c>
      <c r="G102" s="9">
        <v>0.70625000000000004</v>
      </c>
      <c r="H102" s="9">
        <v>0.70902777777777781</v>
      </c>
      <c r="I102" s="10">
        <f t="shared" si="19"/>
        <v>2.7777777777777679E-3</v>
      </c>
      <c r="J102" s="11">
        <v>8</v>
      </c>
      <c r="K102" s="11">
        <v>39.97</v>
      </c>
      <c r="L102" s="16">
        <f t="shared" si="18"/>
        <v>74.943750000000264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/>
      <c r="X102" s="11"/>
      <c r="Y102" s="11"/>
      <c r="Z102" s="11"/>
      <c r="AA102" s="11"/>
      <c r="AB102" s="11">
        <v>4</v>
      </c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919</v>
      </c>
      <c r="F103" s="8" t="s">
        <v>42</v>
      </c>
      <c r="G103" s="9">
        <v>0.71388888888888891</v>
      </c>
      <c r="H103" s="9">
        <v>0.71666666666666667</v>
      </c>
      <c r="I103" s="10">
        <f t="shared" si="19"/>
        <v>2.7777777777777679E-3</v>
      </c>
      <c r="J103" s="11">
        <v>8</v>
      </c>
      <c r="K103" s="11">
        <v>40.01</v>
      </c>
      <c r="L103" s="16">
        <f t="shared" si="18"/>
        <v>75.018750000000267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/>
      <c r="X103" s="11"/>
      <c r="Y103" s="11"/>
      <c r="Z103" s="11"/>
      <c r="AA103" s="11"/>
      <c r="AB103" s="11">
        <v>4</v>
      </c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920</v>
      </c>
      <c r="F104" s="8" t="s">
        <v>42</v>
      </c>
      <c r="G104" s="9">
        <v>0.72083333333333333</v>
      </c>
      <c r="H104" s="9">
        <v>0.72361111111111109</v>
      </c>
      <c r="I104" s="10">
        <f t="shared" si="19"/>
        <v>2.7777777777777679E-3</v>
      </c>
      <c r="J104" s="11">
        <v>8</v>
      </c>
      <c r="K104" s="11">
        <v>39.950000000000003</v>
      </c>
      <c r="L104" s="16">
        <f t="shared" si="18"/>
        <v>74.90625000000027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/>
      <c r="X104" s="11"/>
      <c r="Y104" s="11"/>
      <c r="Z104" s="11"/>
      <c r="AA104" s="11"/>
      <c r="AB104" s="11">
        <v>4</v>
      </c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921</v>
      </c>
      <c r="F105" s="8" t="s">
        <v>42</v>
      </c>
      <c r="G105" s="9">
        <v>0.72777777777777775</v>
      </c>
      <c r="H105" s="9">
        <v>0.73055555555555551</v>
      </c>
      <c r="I105" s="10">
        <f t="shared" si="19"/>
        <v>2.7777777777777679E-3</v>
      </c>
      <c r="J105" s="11">
        <v>8</v>
      </c>
      <c r="K105" s="11">
        <v>40.19</v>
      </c>
      <c r="L105" s="16">
        <f t="shared" si="18"/>
        <v>75.356250000000259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/>
      <c r="X105" s="11"/>
      <c r="Y105" s="11"/>
      <c r="Z105" s="11"/>
      <c r="AA105" s="11"/>
      <c r="AB105" s="11">
        <v>4</v>
      </c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922</v>
      </c>
      <c r="F106" s="8" t="s">
        <v>42</v>
      </c>
      <c r="G106" s="9">
        <v>0.73541666666666672</v>
      </c>
      <c r="H106" s="9">
        <v>0.73819444444444449</v>
      </c>
      <c r="I106" s="10">
        <f t="shared" si="19"/>
        <v>2.7777777777777679E-3</v>
      </c>
      <c r="J106" s="11">
        <v>8</v>
      </c>
      <c r="K106" s="11">
        <v>39.869999999999997</v>
      </c>
      <c r="L106" s="16">
        <f t="shared" si="18"/>
        <v>74.756250000000264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/>
      <c r="X106" s="11"/>
      <c r="Y106" s="11"/>
      <c r="Z106" s="11"/>
      <c r="AA106" s="11"/>
      <c r="AB106" s="11">
        <v>4</v>
      </c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923</v>
      </c>
      <c r="F107" s="8" t="s">
        <v>42</v>
      </c>
      <c r="G107" s="9">
        <v>0.74305555555555558</v>
      </c>
      <c r="H107" s="9">
        <v>0.74583333333333335</v>
      </c>
      <c r="I107" s="10">
        <f t="shared" si="19"/>
        <v>2.7777777777777679E-3</v>
      </c>
      <c r="J107" s="11">
        <v>8</v>
      </c>
      <c r="K107" s="11">
        <v>40.130000000000003</v>
      </c>
      <c r="L107" s="16">
        <f t="shared" si="18"/>
        <v>75.243750000000276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/>
      <c r="X107" s="11"/>
      <c r="Y107" s="11"/>
      <c r="Z107" s="11"/>
      <c r="AA107" s="11"/>
      <c r="AB107" s="11">
        <v>4</v>
      </c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924</v>
      </c>
      <c r="F108" s="8" t="s">
        <v>42</v>
      </c>
      <c r="G108" s="9">
        <v>0.74930555555555556</v>
      </c>
      <c r="H108" s="9">
        <v>0.75208333333333333</v>
      </c>
      <c r="I108" s="10">
        <f t="shared" si="19"/>
        <v>2.7777777777777679E-3</v>
      </c>
      <c r="J108" s="11">
        <v>8</v>
      </c>
      <c r="K108" s="11">
        <v>39.29</v>
      </c>
      <c r="L108" s="16">
        <f t="shared" si="18"/>
        <v>73.668750000000259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/>
      <c r="X108" s="11"/>
      <c r="Y108" s="11"/>
      <c r="Z108" s="11"/>
      <c r="AA108" s="11"/>
      <c r="AB108" s="11">
        <v>4</v>
      </c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925</v>
      </c>
      <c r="F109" s="8" t="s">
        <v>42</v>
      </c>
      <c r="G109" s="9">
        <v>0.75624999999999998</v>
      </c>
      <c r="H109" s="9">
        <v>0.75902777777777775</v>
      </c>
      <c r="I109" s="10">
        <f t="shared" si="19"/>
        <v>2.7777777777777679E-3</v>
      </c>
      <c r="J109" s="11">
        <v>8</v>
      </c>
      <c r="K109" s="11">
        <v>39.49</v>
      </c>
      <c r="L109" s="16">
        <f t="shared" si="18"/>
        <v>74.043750000000259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/>
      <c r="X109" s="11"/>
      <c r="Y109" s="11"/>
      <c r="Z109" s="11"/>
      <c r="AA109" s="11"/>
      <c r="AB109" s="11">
        <v>4</v>
      </c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932</v>
      </c>
      <c r="F110" s="8" t="s">
        <v>42</v>
      </c>
      <c r="G110" s="9">
        <v>0.76249999999999996</v>
      </c>
      <c r="H110" s="9">
        <v>0.76527777777777772</v>
      </c>
      <c r="I110" s="10">
        <f t="shared" si="19"/>
        <v>2.7777777777777679E-3</v>
      </c>
      <c r="J110" s="11">
        <v>8</v>
      </c>
      <c r="K110" s="11">
        <v>39.67</v>
      </c>
      <c r="L110" s="16">
        <f t="shared" si="18"/>
        <v>74.381250000000264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/>
      <c r="X110" s="11"/>
      <c r="Y110" s="11"/>
      <c r="Z110" s="11"/>
      <c r="AA110" s="11"/>
      <c r="AB110" s="11">
        <v>4</v>
      </c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933</v>
      </c>
      <c r="F111" s="8" t="s">
        <v>42</v>
      </c>
      <c r="G111" s="9">
        <v>0.76875000000000004</v>
      </c>
      <c r="H111" s="9">
        <v>0.77152777777777781</v>
      </c>
      <c r="I111" s="10">
        <f t="shared" si="19"/>
        <v>2.7777777777777679E-3</v>
      </c>
      <c r="J111" s="11">
        <v>8</v>
      </c>
      <c r="K111" s="11">
        <v>39.51</v>
      </c>
      <c r="L111" s="16">
        <f t="shared" si="18"/>
        <v>74.081250000000253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/>
      <c r="X111" s="11"/>
      <c r="Y111" s="11"/>
      <c r="Z111" s="11"/>
      <c r="AA111" s="11"/>
      <c r="AB111" s="11">
        <v>4</v>
      </c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934</v>
      </c>
      <c r="F112" s="8" t="s">
        <v>42</v>
      </c>
      <c r="G112" s="9">
        <v>0.77569444444444446</v>
      </c>
      <c r="H112" s="9">
        <v>0.77847222222222223</v>
      </c>
      <c r="I112" s="10">
        <f t="shared" si="19"/>
        <v>2.7777777777777679E-3</v>
      </c>
      <c r="J112" s="11">
        <v>8</v>
      </c>
      <c r="K112" s="11">
        <v>39.71</v>
      </c>
      <c r="L112" s="16">
        <f t="shared" si="18"/>
        <v>74.456250000000267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/>
      <c r="X112" s="11"/>
      <c r="Y112" s="11"/>
      <c r="Z112" s="11"/>
      <c r="AA112" s="11"/>
      <c r="AB112" s="11">
        <v>4</v>
      </c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1:38" ht="25.05" customHeight="1">
      <c r="B113" s="13"/>
      <c r="C113" s="29"/>
      <c r="D113" s="30"/>
      <c r="E113" s="19" t="s">
        <v>935</v>
      </c>
      <c r="F113" s="8" t="s">
        <v>42</v>
      </c>
      <c r="G113" s="9">
        <v>0.78402777777777777</v>
      </c>
      <c r="H113" s="9">
        <v>0.78680555555555554</v>
      </c>
      <c r="I113" s="10">
        <f t="shared" si="19"/>
        <v>2.7777777777777679E-3</v>
      </c>
      <c r="J113" s="11">
        <v>8</v>
      </c>
      <c r="K113" s="11">
        <v>39.85</v>
      </c>
      <c r="L113" s="16">
        <f t="shared" si="18"/>
        <v>74.71875000000027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/>
      <c r="X113" s="11"/>
      <c r="Y113" s="11"/>
      <c r="Z113" s="11"/>
      <c r="AA113" s="11"/>
      <c r="AB113" s="11">
        <v>4</v>
      </c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1:38" ht="25.05" customHeight="1">
      <c r="B114" s="13"/>
      <c r="C114" s="29"/>
      <c r="D114" s="30"/>
      <c r="E114" s="19"/>
      <c r="F114" s="8" t="s">
        <v>42</v>
      </c>
      <c r="G114" s="9"/>
      <c r="H114" s="9"/>
      <c r="I114" s="10">
        <f t="shared" si="19"/>
        <v>0</v>
      </c>
      <c r="J114" s="11"/>
      <c r="K114" s="11"/>
      <c r="L114" s="16" t="str">
        <f t="shared" si="18"/>
        <v>0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1:38" ht="25.05" customHeight="1">
      <c r="B115" s="13"/>
      <c r="C115" s="29"/>
      <c r="D115" s="30" t="s">
        <v>730</v>
      </c>
      <c r="E115" s="19" t="s">
        <v>723</v>
      </c>
      <c r="F115" s="8" t="s">
        <v>42</v>
      </c>
      <c r="G115" s="9">
        <v>0.58333333333333337</v>
      </c>
      <c r="H115" s="9">
        <v>0.6</v>
      </c>
      <c r="I115" s="10">
        <f t="shared" si="19"/>
        <v>1.6666666666666607E-2</v>
      </c>
      <c r="J115" s="11">
        <v>1</v>
      </c>
      <c r="K115" s="11">
        <f>0.03*3200</f>
        <v>96</v>
      </c>
      <c r="L115" s="16">
        <f t="shared" si="18"/>
        <v>240.00000000000082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/>
      <c r="X115" s="11">
        <v>12</v>
      </c>
      <c r="Y115" s="11"/>
      <c r="Z115" s="11">
        <v>12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1:38" ht="25.05" customHeight="1">
      <c r="B116" s="13"/>
      <c r="C116" s="29"/>
      <c r="D116" s="30"/>
      <c r="E116" s="19" t="s">
        <v>724</v>
      </c>
      <c r="F116" s="8" t="s">
        <v>42</v>
      </c>
      <c r="G116" s="9">
        <v>0.59722222222222221</v>
      </c>
      <c r="H116" s="9">
        <v>0.61597222222222225</v>
      </c>
      <c r="I116" s="10">
        <f t="shared" si="19"/>
        <v>1.8750000000000044E-2</v>
      </c>
      <c r="J116" s="11">
        <v>1</v>
      </c>
      <c r="K116" s="11">
        <f t="shared" ref="K116:K120" si="20">0.03*3200</f>
        <v>96</v>
      </c>
      <c r="L116" s="16">
        <f t="shared" si="18"/>
        <v>213.33333333333283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/>
      <c r="X116" s="11">
        <f>17/2</f>
        <v>8.5</v>
      </c>
      <c r="Y116" s="11"/>
      <c r="Z116" s="11">
        <v>8.5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1:38" ht="25.05" customHeight="1">
      <c r="B117" s="13"/>
      <c r="C117" s="29"/>
      <c r="D117" s="30"/>
      <c r="E117" s="19" t="s">
        <v>725</v>
      </c>
      <c r="F117" s="8" t="s">
        <v>42</v>
      </c>
      <c r="G117" s="9">
        <v>0.6166666666666667</v>
      </c>
      <c r="H117" s="9">
        <v>0.62986111111111109</v>
      </c>
      <c r="I117" s="10">
        <f t="shared" si="19"/>
        <v>1.3194444444444398E-2</v>
      </c>
      <c r="J117" s="11">
        <v>1</v>
      </c>
      <c r="K117" s="11">
        <f t="shared" si="20"/>
        <v>96</v>
      </c>
      <c r="L117" s="16">
        <f t="shared" si="18"/>
        <v>303.15789473684316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/>
      <c r="X117" s="11">
        <f>19/2</f>
        <v>9.5</v>
      </c>
      <c r="Y117" s="11"/>
      <c r="Z117" s="11">
        <v>9.5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1:38" ht="25.05" customHeight="1">
      <c r="B118" s="13"/>
      <c r="C118" s="29"/>
      <c r="D118" s="30"/>
      <c r="E118" s="19" t="s">
        <v>936</v>
      </c>
      <c r="F118" s="8" t="s">
        <v>42</v>
      </c>
      <c r="G118" s="9">
        <v>0.63055555555555554</v>
      </c>
      <c r="H118" s="9">
        <v>0.6479166666666667</v>
      </c>
      <c r="I118" s="10">
        <f t="shared" si="19"/>
        <v>1.736111111111116E-2</v>
      </c>
      <c r="J118" s="11">
        <v>1</v>
      </c>
      <c r="K118" s="11">
        <f t="shared" si="20"/>
        <v>96</v>
      </c>
      <c r="L118" s="16">
        <f t="shared" si="18"/>
        <v>230.39999999999932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/>
      <c r="X118" s="11">
        <f>25/2</f>
        <v>12.5</v>
      </c>
      <c r="Y118" s="11"/>
      <c r="Z118" s="11">
        <v>12.5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1:38" ht="25.05" customHeight="1">
      <c r="B119" s="13"/>
      <c r="C119" s="29"/>
      <c r="D119" s="30"/>
      <c r="E119" s="19" t="s">
        <v>937</v>
      </c>
      <c r="F119" s="8" t="s">
        <v>42</v>
      </c>
      <c r="G119" s="9">
        <v>0.64861111111111114</v>
      </c>
      <c r="H119" s="9">
        <v>0.66666666666666663</v>
      </c>
      <c r="I119" s="10">
        <f t="shared" si="19"/>
        <v>1.8055555555555491E-2</v>
      </c>
      <c r="J119" s="11">
        <v>1</v>
      </c>
      <c r="K119" s="11">
        <f t="shared" si="20"/>
        <v>96</v>
      </c>
      <c r="L119" s="16">
        <f t="shared" si="18"/>
        <v>221.53846153846234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/>
      <c r="X119" s="11">
        <f>26/2</f>
        <v>13</v>
      </c>
      <c r="Y119" s="11"/>
      <c r="Z119" s="11">
        <v>13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1:38" ht="25.05" customHeight="1">
      <c r="B120" s="13"/>
      <c r="C120" s="29"/>
      <c r="D120" s="30"/>
      <c r="E120" s="19" t="s">
        <v>938</v>
      </c>
      <c r="F120" s="8" t="s">
        <v>42</v>
      </c>
      <c r="G120" s="9">
        <v>0.66805555555555551</v>
      </c>
      <c r="H120" s="9">
        <v>0.68402777777777779</v>
      </c>
      <c r="I120" s="10">
        <f t="shared" si="19"/>
        <v>1.5972222222222276E-2</v>
      </c>
      <c r="J120" s="11">
        <v>1</v>
      </c>
      <c r="K120" s="11">
        <f t="shared" si="20"/>
        <v>96</v>
      </c>
      <c r="L120" s="16">
        <f t="shared" si="18"/>
        <v>250.4347826086948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/>
      <c r="X120" s="11">
        <f>23/2</f>
        <v>11.5</v>
      </c>
      <c r="Y120" s="11"/>
      <c r="Z120" s="11">
        <v>11.5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1:38" ht="25.05" customHeight="1">
      <c r="B121" s="13"/>
      <c r="C121" s="29"/>
      <c r="D121" s="30"/>
      <c r="E121" s="19" t="s">
        <v>939</v>
      </c>
      <c r="F121" s="8" t="s">
        <v>42</v>
      </c>
      <c r="G121" s="9">
        <v>0.6875</v>
      </c>
      <c r="H121" s="9">
        <v>0.70416666666666672</v>
      </c>
      <c r="I121" s="10">
        <f>H121-G121</f>
        <v>1.6666666666666718E-2</v>
      </c>
      <c r="J121" s="11">
        <v>1</v>
      </c>
      <c r="K121" s="11">
        <f>0.03*3212</f>
        <v>96.36</v>
      </c>
      <c r="L121" s="16">
        <f t="shared" si="18"/>
        <v>240.89999999999927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/>
      <c r="X121" s="11">
        <f>24/2</f>
        <v>12</v>
      </c>
      <c r="Y121" s="11"/>
      <c r="Z121" s="11">
        <v>12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1:38" ht="25.05" customHeight="1">
      <c r="B122" s="13"/>
      <c r="C122" s="29"/>
      <c r="D122" s="30"/>
      <c r="E122" s="19"/>
      <c r="F122" s="8" t="s">
        <v>42</v>
      </c>
      <c r="G122" s="9"/>
      <c r="H122" s="9"/>
      <c r="I122" s="10">
        <f>H122-G122</f>
        <v>0</v>
      </c>
      <c r="J122" s="11"/>
      <c r="K122" s="11"/>
      <c r="L122" s="16" t="str">
        <f t="shared" ref="L122:L124" si="21">IFERROR(((K122/(J122*I122)/24)),"0")</f>
        <v>0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/>
      <c r="W122" s="12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1:38" ht="25.05" customHeight="1">
      <c r="B123" s="13"/>
      <c r="C123" s="29"/>
      <c r="D123" s="30"/>
      <c r="E123" s="19"/>
      <c r="F123" s="8" t="s">
        <v>42</v>
      </c>
      <c r="G123" s="9"/>
      <c r="H123" s="9"/>
      <c r="I123" s="10">
        <f>H123-G123</f>
        <v>0</v>
      </c>
      <c r="J123" s="11"/>
      <c r="K123" s="11"/>
      <c r="L123" s="16" t="str">
        <f t="shared" si="21"/>
        <v>0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/>
      <c r="W123" s="12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1:38" ht="25.05" customHeight="1">
      <c r="B124" s="13"/>
      <c r="C124" s="29"/>
      <c r="D124" s="30"/>
      <c r="E124" s="19"/>
      <c r="F124" s="8" t="s">
        <v>42</v>
      </c>
      <c r="G124" s="9"/>
      <c r="H124" s="9"/>
      <c r="I124" s="10">
        <v>4</v>
      </c>
      <c r="J124" s="11"/>
      <c r="K124" s="11"/>
      <c r="L124" s="16" t="str">
        <f t="shared" si="21"/>
        <v>0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/>
      <c r="W124" s="12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1:38" s="28" customFormat="1" ht="25.5" customHeight="1">
      <c r="A125" s="2"/>
      <c r="B125" s="32"/>
      <c r="C125" s="33"/>
      <c r="D125" s="34"/>
      <c r="E125" s="35"/>
      <c r="F125" s="35"/>
      <c r="G125" s="36"/>
      <c r="H125" s="36"/>
      <c r="I125" s="37"/>
      <c r="J125" s="38"/>
      <c r="K125" s="38">
        <f t="shared" ref="K125:AJ125" si="22">SUM(K28:K124)</f>
        <v>6643.7800000000007</v>
      </c>
      <c r="L125" s="39">
        <f t="shared" si="22"/>
        <v>9496.6371279431023</v>
      </c>
      <c r="M125" s="38">
        <f t="shared" si="22"/>
        <v>0</v>
      </c>
      <c r="N125" s="38">
        <f t="shared" si="22"/>
        <v>0</v>
      </c>
      <c r="O125" s="38">
        <f t="shared" si="22"/>
        <v>0</v>
      </c>
      <c r="P125" s="38">
        <f t="shared" si="22"/>
        <v>0</v>
      </c>
      <c r="Q125" s="38">
        <f t="shared" si="22"/>
        <v>0</v>
      </c>
      <c r="R125" s="38">
        <f t="shared" si="22"/>
        <v>0</v>
      </c>
      <c r="S125" s="38">
        <f t="shared" si="22"/>
        <v>0</v>
      </c>
      <c r="T125" s="38">
        <f t="shared" si="22"/>
        <v>0</v>
      </c>
      <c r="U125" s="38">
        <f t="shared" si="22"/>
        <v>0</v>
      </c>
      <c r="V125" s="38">
        <f t="shared" si="22"/>
        <v>0</v>
      </c>
      <c r="W125" s="38">
        <f t="shared" si="22"/>
        <v>0</v>
      </c>
      <c r="X125" s="38">
        <f t="shared" si="22"/>
        <v>79</v>
      </c>
      <c r="Y125" s="38">
        <f t="shared" si="22"/>
        <v>0</v>
      </c>
      <c r="Z125" s="38">
        <f t="shared" si="22"/>
        <v>79</v>
      </c>
      <c r="AA125" s="38">
        <f t="shared" si="22"/>
        <v>44</v>
      </c>
      <c r="AB125" s="38">
        <f t="shared" si="22"/>
        <v>248</v>
      </c>
      <c r="AC125" s="38">
        <f t="shared" si="22"/>
        <v>388</v>
      </c>
      <c r="AD125" s="38">
        <f t="shared" si="22"/>
        <v>194</v>
      </c>
      <c r="AE125" s="38">
        <f t="shared" si="22"/>
        <v>69</v>
      </c>
      <c r="AF125" s="38">
        <f t="shared" si="22"/>
        <v>0</v>
      </c>
      <c r="AG125" s="38">
        <f t="shared" si="22"/>
        <v>36</v>
      </c>
      <c r="AH125" s="38">
        <f t="shared" si="22"/>
        <v>36</v>
      </c>
      <c r="AI125" s="38">
        <f t="shared" si="22"/>
        <v>36</v>
      </c>
      <c r="AJ125" s="38">
        <f t="shared" si="22"/>
        <v>36</v>
      </c>
      <c r="AK125" s="38">
        <f>SUM(AK28:AK124)</f>
        <v>0</v>
      </c>
      <c r="AL125" s="38">
        <f>SUM(AL28:AL124)</f>
        <v>0</v>
      </c>
    </row>
    <row r="126" spans="1:38" ht="38.1" customHeight="1">
      <c r="B126" s="40" t="s">
        <v>45</v>
      </c>
      <c r="C126" s="41"/>
      <c r="D126" s="41"/>
      <c r="E126" s="41"/>
      <c r="F126" s="41"/>
      <c r="G126" s="41"/>
      <c r="H126" s="41"/>
      <c r="I126" s="41"/>
      <c r="J126" s="41"/>
      <c r="K126" s="42">
        <f>K19+K27+K125</f>
        <v>9188.26</v>
      </c>
      <c r="L126" s="42">
        <f>L19+L27+L125</f>
        <v>10396.452616609195</v>
      </c>
      <c r="M126" s="43">
        <f t="shared" ref="M126:AL126" si="23">(M19+M27+M125)/(480-15-30)</f>
        <v>0.4091954022988506</v>
      </c>
      <c r="N126" s="43">
        <f t="shared" si="23"/>
        <v>0</v>
      </c>
      <c r="O126" s="43">
        <f t="shared" si="23"/>
        <v>5.7471264367816091E-2</v>
      </c>
      <c r="P126" s="43">
        <f t="shared" si="23"/>
        <v>0</v>
      </c>
      <c r="Q126" s="43">
        <f t="shared" si="23"/>
        <v>0</v>
      </c>
      <c r="R126" s="43">
        <f t="shared" si="23"/>
        <v>0</v>
      </c>
      <c r="S126" s="43">
        <f t="shared" si="23"/>
        <v>0.97701149425287359</v>
      </c>
      <c r="T126" s="43">
        <f t="shared" si="23"/>
        <v>0</v>
      </c>
      <c r="U126" s="43">
        <f t="shared" si="23"/>
        <v>0</v>
      </c>
      <c r="V126" s="43">
        <f t="shared" si="23"/>
        <v>0</v>
      </c>
      <c r="W126" s="43">
        <f t="shared" si="23"/>
        <v>0</v>
      </c>
      <c r="X126" s="43">
        <f t="shared" si="23"/>
        <v>0.18160919540229886</v>
      </c>
      <c r="Y126" s="43">
        <f t="shared" si="23"/>
        <v>0</v>
      </c>
      <c r="Z126" s="43">
        <f t="shared" si="23"/>
        <v>0.18160919540229886</v>
      </c>
      <c r="AA126" s="43">
        <f t="shared" si="23"/>
        <v>0.10114942528735632</v>
      </c>
      <c r="AB126" s="43">
        <f t="shared" si="23"/>
        <v>0.57011494252873562</v>
      </c>
      <c r="AC126" s="43">
        <f t="shared" si="23"/>
        <v>0.89195402298850579</v>
      </c>
      <c r="AD126" s="43">
        <f t="shared" si="23"/>
        <v>0.4459770114942529</v>
      </c>
      <c r="AE126" s="43">
        <f t="shared" si="23"/>
        <v>0.15862068965517243</v>
      </c>
      <c r="AF126" s="43">
        <f t="shared" si="23"/>
        <v>0</v>
      </c>
      <c r="AG126" s="43">
        <f t="shared" si="23"/>
        <v>8.2758620689655171E-2</v>
      </c>
      <c r="AH126" s="43">
        <f t="shared" si="23"/>
        <v>8.2758620689655171E-2</v>
      </c>
      <c r="AI126" s="43">
        <f t="shared" si="23"/>
        <v>8.2758620689655171E-2</v>
      </c>
      <c r="AJ126" s="43">
        <f t="shared" si="23"/>
        <v>8.2758620689655171E-2</v>
      </c>
      <c r="AK126" s="43">
        <f t="shared" si="23"/>
        <v>0</v>
      </c>
      <c r="AL126" s="43">
        <f t="shared" si="23"/>
        <v>0</v>
      </c>
    </row>
    <row r="127" spans="1:38" ht="25.05" customHeight="1">
      <c r="B127" s="44"/>
      <c r="C127" s="44"/>
      <c r="D127" s="44"/>
      <c r="E127" s="45"/>
      <c r="F127" s="45"/>
      <c r="G127" s="45"/>
      <c r="H127" s="45"/>
      <c r="I127" s="46"/>
      <c r="J127" s="46"/>
      <c r="K127" s="45"/>
      <c r="L127" s="47"/>
      <c r="M127" s="47"/>
      <c r="N127" s="47"/>
      <c r="O127" s="47"/>
      <c r="P127" s="47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  <c r="AI127" s="45"/>
      <c r="AJ127" s="45"/>
    </row>
    <row r="128" spans="1:38" ht="25.05" customHeight="1">
      <c r="B128" s="44"/>
      <c r="C128" s="44"/>
      <c r="D128" s="44"/>
      <c r="E128" s="45"/>
      <c r="F128" s="45"/>
      <c r="G128" s="45"/>
      <c r="H128" s="45"/>
      <c r="I128" s="48" t="s">
        <v>46</v>
      </c>
      <c r="J128" s="46"/>
      <c r="K128" s="45"/>
      <c r="L128" s="47"/>
      <c r="M128" s="47"/>
      <c r="N128" s="47"/>
      <c r="O128" s="47"/>
      <c r="P128" s="47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  <c r="AI128" s="45"/>
      <c r="AJ128" s="45"/>
    </row>
    <row r="129" spans="2:34" ht="25.05" customHeight="1">
      <c r="B129" s="44"/>
      <c r="C129" s="44"/>
      <c r="D129" s="44"/>
      <c r="E129" s="45"/>
      <c r="F129" s="45"/>
      <c r="G129" s="45"/>
      <c r="H129" s="45"/>
      <c r="I129" s="49" t="s">
        <v>47</v>
      </c>
      <c r="J129" s="9">
        <v>0</v>
      </c>
      <c r="K129" s="11">
        <v>10</v>
      </c>
      <c r="L129" s="11" t="s">
        <v>48</v>
      </c>
      <c r="M129" s="47"/>
      <c r="N129" s="14">
        <v>1</v>
      </c>
      <c r="O129" s="14"/>
      <c r="P129" s="14"/>
      <c r="Q129" s="50" t="s">
        <v>49</v>
      </c>
      <c r="R129" s="51"/>
      <c r="S129" s="45"/>
      <c r="T129" s="45"/>
      <c r="U129" s="45"/>
      <c r="V129" s="45"/>
      <c r="W129" s="45"/>
      <c r="X129" s="45"/>
      <c r="Y129" s="45"/>
      <c r="Z129" s="45"/>
      <c r="AA129" s="45"/>
      <c r="AC129" s="45"/>
      <c r="AD129" s="45"/>
      <c r="AE129" s="45"/>
      <c r="AF129" s="45"/>
      <c r="AG129" s="45"/>
      <c r="AH129" s="45"/>
    </row>
    <row r="130" spans="2:34" ht="25.05" customHeight="1">
      <c r="B130" s="44"/>
      <c r="C130" s="44"/>
      <c r="D130" s="44"/>
      <c r="E130" s="45"/>
      <c r="F130" s="45"/>
      <c r="G130" s="45"/>
      <c r="H130" s="45"/>
      <c r="I130" s="49" t="s">
        <v>50</v>
      </c>
      <c r="J130" s="9">
        <v>0</v>
      </c>
      <c r="K130" s="11">
        <v>3</v>
      </c>
      <c r="L130" s="11" t="s">
        <v>48</v>
      </c>
      <c r="M130" s="47"/>
      <c r="N130" s="14">
        <v>3</v>
      </c>
      <c r="O130" s="14"/>
      <c r="P130" s="14"/>
      <c r="Q130" s="50" t="s">
        <v>51</v>
      </c>
      <c r="R130" s="51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</row>
    <row r="131" spans="2:34" ht="25.05" customHeight="1">
      <c r="B131" s="44"/>
      <c r="C131" s="44"/>
      <c r="D131" s="44"/>
      <c r="E131" s="45"/>
      <c r="F131" s="45"/>
      <c r="G131" s="45"/>
      <c r="H131" s="45"/>
      <c r="I131" s="49" t="s">
        <v>52</v>
      </c>
      <c r="J131" s="9">
        <v>0</v>
      </c>
      <c r="K131" s="11">
        <v>18</v>
      </c>
      <c r="L131" s="11" t="s">
        <v>48</v>
      </c>
      <c r="M131" s="47"/>
      <c r="N131" s="14">
        <v>1</v>
      </c>
      <c r="O131" s="14"/>
      <c r="P131" s="14"/>
      <c r="Q131" s="50" t="s">
        <v>53</v>
      </c>
      <c r="R131" s="51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</row>
    <row r="132" spans="2:34" ht="25.05" customHeight="1">
      <c r="B132" s="44"/>
      <c r="C132" s="44"/>
      <c r="D132" s="44"/>
      <c r="E132" s="45"/>
      <c r="F132" s="45"/>
      <c r="G132" s="45"/>
      <c r="H132" s="45"/>
      <c r="I132" s="52" t="s">
        <v>54</v>
      </c>
      <c r="J132" s="53">
        <v>0</v>
      </c>
      <c r="K132" s="11">
        <v>5</v>
      </c>
      <c r="L132" s="54" t="s">
        <v>48</v>
      </c>
      <c r="M132" s="47"/>
      <c r="N132" s="14">
        <v>4</v>
      </c>
      <c r="O132" s="14"/>
      <c r="P132" s="14"/>
      <c r="Q132" s="50" t="s">
        <v>55</v>
      </c>
      <c r="R132" s="51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</row>
    <row r="133" spans="2:34" ht="25.05" customHeight="1">
      <c r="B133" s="44"/>
      <c r="C133" s="44"/>
      <c r="D133" s="44"/>
      <c r="E133" s="45"/>
      <c r="F133" s="45"/>
      <c r="G133" s="45"/>
      <c r="H133" s="45"/>
      <c r="I133" s="49" t="s">
        <v>56</v>
      </c>
      <c r="J133" s="9">
        <v>0</v>
      </c>
      <c r="K133" s="11">
        <v>36</v>
      </c>
      <c r="L133" s="11" t="s">
        <v>48</v>
      </c>
      <c r="M133" s="47"/>
      <c r="N133"/>
      <c r="O133"/>
      <c r="P133"/>
      <c r="Q133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</row>
    <row r="134" spans="2:34" ht="25.05" customHeight="1">
      <c r="B134" s="44"/>
      <c r="C134" s="44"/>
      <c r="D134" s="44"/>
      <c r="E134" s="45"/>
      <c r="F134" s="45"/>
      <c r="G134" s="45"/>
      <c r="H134" s="45"/>
      <c r="M134" s="47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</row>
    <row r="135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0F50B-5661-4BF4-B73C-CC43461DB38B}">
  <sheetPr>
    <pageSetUpPr fitToPage="1"/>
  </sheetPr>
  <dimension ref="A1:AL98"/>
  <sheetViews>
    <sheetView zoomScale="70" zoomScaleNormal="70" workbookViewId="0">
      <pane xSplit="12" ySplit="3" topLeftCell="M49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84" style="2" customWidth="1"/>
    <col min="5" max="5" width="54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46103</v>
      </c>
      <c r="C4" s="60" t="s">
        <v>40</v>
      </c>
      <c r="D4" s="6"/>
      <c r="E4" s="157" t="s">
        <v>41</v>
      </c>
      <c r="F4" s="8" t="s">
        <v>42</v>
      </c>
      <c r="G4" s="9">
        <v>0.79166666666666663</v>
      </c>
      <c r="H4" s="9">
        <v>0.79861111111111116</v>
      </c>
      <c r="I4" s="10">
        <f t="shared" ref="I4:I27" si="0">H4-G4</f>
        <v>6.9444444444445308E-3</v>
      </c>
      <c r="J4" s="11">
        <v>8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162" t="s">
        <v>191</v>
      </c>
      <c r="E5" s="156" t="s">
        <v>940</v>
      </c>
      <c r="F5" s="55" t="s">
        <v>59</v>
      </c>
      <c r="G5" s="9">
        <v>0.81736111111111109</v>
      </c>
      <c r="H5" s="9">
        <v>0.84375</v>
      </c>
      <c r="I5" s="10">
        <f t="shared" si="0"/>
        <v>2.6388888888888906E-2</v>
      </c>
      <c r="J5" s="11">
        <v>1</v>
      </c>
      <c r="K5" s="11">
        <v>15</v>
      </c>
      <c r="L5" s="16">
        <f t="shared" ref="L5:L27" si="1">IFERROR(((K5/(J5*I5)/24)),"0")</f>
        <v>23.684210526315777</v>
      </c>
      <c r="M5" s="11">
        <v>38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13" t="s">
        <v>941</v>
      </c>
      <c r="F6" s="55" t="s">
        <v>851</v>
      </c>
      <c r="G6" s="9">
        <v>0.85347222222222219</v>
      </c>
      <c r="H6" s="9">
        <v>0.87847222222222221</v>
      </c>
      <c r="I6" s="10">
        <f t="shared" si="0"/>
        <v>2.5000000000000022E-2</v>
      </c>
      <c r="J6" s="11">
        <v>1</v>
      </c>
      <c r="K6" s="11">
        <v>95</v>
      </c>
      <c r="L6" s="16">
        <f t="shared" si="1"/>
        <v>158.3333333333332</v>
      </c>
      <c r="M6" s="11">
        <v>36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31"/>
      <c r="E7" s="156" t="s">
        <v>942</v>
      </c>
      <c r="F7" s="55" t="s">
        <v>221</v>
      </c>
      <c r="G7" s="9">
        <v>0.88194444444444442</v>
      </c>
      <c r="H7" s="9">
        <v>0.89236111111111116</v>
      </c>
      <c r="I7" s="10">
        <f t="shared" si="0"/>
        <v>1.0416666666666741E-2</v>
      </c>
      <c r="J7" s="11">
        <v>1</v>
      </c>
      <c r="K7" s="11">
        <v>45</v>
      </c>
      <c r="L7" s="16">
        <f t="shared" si="1"/>
        <v>179.99999999999872</v>
      </c>
      <c r="M7" s="11">
        <v>15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1"/>
      <c r="E8" s="156" t="s">
        <v>943</v>
      </c>
      <c r="F8" s="88" t="s">
        <v>42</v>
      </c>
      <c r="G8" s="9">
        <v>0.83333333333333337</v>
      </c>
      <c r="H8" s="9">
        <v>0.875</v>
      </c>
      <c r="I8" s="10">
        <f t="shared" si="0"/>
        <v>4.166666666666663E-2</v>
      </c>
      <c r="J8" s="11">
        <v>4</v>
      </c>
      <c r="K8" s="11">
        <v>55</v>
      </c>
      <c r="L8" s="16">
        <f t="shared" si="1"/>
        <v>13.750000000000012</v>
      </c>
      <c r="M8" s="11"/>
      <c r="N8" s="11"/>
      <c r="O8" s="11"/>
      <c r="P8" s="11"/>
      <c r="Q8" s="11"/>
      <c r="R8" s="12"/>
      <c r="S8" s="12">
        <v>60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21"/>
      <c r="C9" s="22"/>
      <c r="D9" s="165" t="s">
        <v>944</v>
      </c>
      <c r="E9" s="163" t="s">
        <v>945</v>
      </c>
      <c r="F9" s="167" t="s">
        <v>42</v>
      </c>
      <c r="G9" s="25">
        <v>0.80208333333333337</v>
      </c>
      <c r="H9" s="25">
        <v>0.87152777777777779</v>
      </c>
      <c r="I9" s="26">
        <f t="shared" si="0"/>
        <v>6.944444444444442E-2</v>
      </c>
      <c r="J9" s="27">
        <v>1</v>
      </c>
      <c r="K9" s="27">
        <v>107</v>
      </c>
      <c r="L9" s="164">
        <f t="shared" si="1"/>
        <v>64.200000000000031</v>
      </c>
      <c r="M9" s="11"/>
      <c r="N9" s="11"/>
      <c r="O9" s="11"/>
      <c r="P9" s="11"/>
      <c r="Q9" s="11">
        <v>100</v>
      </c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166" t="s">
        <v>860</v>
      </c>
      <c r="E10" s="147" t="s">
        <v>946</v>
      </c>
      <c r="F10" s="55" t="s">
        <v>232</v>
      </c>
      <c r="G10" s="9">
        <v>0.80902777777777779</v>
      </c>
      <c r="H10" s="9">
        <v>0.81736111111111109</v>
      </c>
      <c r="I10" s="10">
        <f t="shared" si="0"/>
        <v>8.3333333333333037E-3</v>
      </c>
      <c r="J10" s="11">
        <v>1</v>
      </c>
      <c r="K10" s="11">
        <v>10.199999999999999</v>
      </c>
      <c r="L10" s="16">
        <f t="shared" si="1"/>
        <v>51.000000000000178</v>
      </c>
      <c r="M10" s="11">
        <v>12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47" t="s">
        <v>947</v>
      </c>
      <c r="F11" s="55" t="s">
        <v>64</v>
      </c>
      <c r="G11" s="9">
        <v>0.89236111111111116</v>
      </c>
      <c r="H11" s="9">
        <v>0.92708333333333337</v>
      </c>
      <c r="I11" s="10">
        <f t="shared" si="0"/>
        <v>3.472222222222221E-2</v>
      </c>
      <c r="J11" s="11">
        <v>1</v>
      </c>
      <c r="K11" s="11">
        <v>152.4</v>
      </c>
      <c r="L11" s="16">
        <f t="shared" si="1"/>
        <v>182.88000000000008</v>
      </c>
      <c r="M11" s="11">
        <v>50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47" t="s">
        <v>948</v>
      </c>
      <c r="F12" s="55" t="s">
        <v>949</v>
      </c>
      <c r="G12" s="9">
        <v>0.89166666666666672</v>
      </c>
      <c r="H12" s="9">
        <v>46104.045138888891</v>
      </c>
      <c r="I12" s="10">
        <f t="shared" si="0"/>
        <v>46103.15347222222</v>
      </c>
      <c r="J12" s="11">
        <v>9</v>
      </c>
      <c r="K12" s="11">
        <v>208.2</v>
      </c>
      <c r="L12" s="16">
        <f t="shared" si="1"/>
        <v>2.0907222528056459E-5</v>
      </c>
      <c r="M12" s="11"/>
      <c r="N12" s="11"/>
      <c r="O12" s="11"/>
      <c r="P12" s="11"/>
      <c r="Q12" s="11"/>
      <c r="R12" s="12"/>
      <c r="S12" s="12">
        <v>221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47" t="s">
        <v>950</v>
      </c>
      <c r="F13" s="88" t="s">
        <v>42</v>
      </c>
      <c r="G13" s="9">
        <v>0.88888888888888884</v>
      </c>
      <c r="H13" s="9">
        <v>0.92361111111111116</v>
      </c>
      <c r="I13" s="10">
        <f t="shared" si="0"/>
        <v>3.4722222222222321E-2</v>
      </c>
      <c r="J13" s="11">
        <v>1</v>
      </c>
      <c r="K13" s="11">
        <v>198.6</v>
      </c>
      <c r="L13" s="16">
        <f t="shared" si="1"/>
        <v>238.31999999999934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951</v>
      </c>
      <c r="F14" s="55" t="s">
        <v>952</v>
      </c>
      <c r="G14" s="9">
        <v>0.88888888888888884</v>
      </c>
      <c r="H14" s="9">
        <v>0.90972222222222221</v>
      </c>
      <c r="I14" s="10">
        <f t="shared" si="0"/>
        <v>2.083333333333337E-2</v>
      </c>
      <c r="J14" s="11">
        <v>2</v>
      </c>
      <c r="K14" s="11">
        <v>122.4</v>
      </c>
      <c r="L14" s="16">
        <f t="shared" si="1"/>
        <v>122.39999999999979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160" t="s">
        <v>953</v>
      </c>
      <c r="E15" s="17" t="s">
        <v>954</v>
      </c>
      <c r="F15" s="55" t="s">
        <v>63</v>
      </c>
      <c r="G15" s="9">
        <v>0.90972222222222221</v>
      </c>
      <c r="H15" s="9">
        <v>0.98263888888888884</v>
      </c>
      <c r="I15" s="10">
        <f t="shared" si="0"/>
        <v>7.291666666666663E-2</v>
      </c>
      <c r="J15" s="11">
        <v>1</v>
      </c>
      <c r="K15" s="11">
        <v>97.35</v>
      </c>
      <c r="L15" s="16">
        <f t="shared" si="1"/>
        <v>55.628571428571455</v>
      </c>
      <c r="M15" s="11"/>
      <c r="N15" s="11"/>
      <c r="O15" s="11"/>
      <c r="P15" s="11"/>
      <c r="Q15" s="11"/>
      <c r="R15" s="12">
        <v>105</v>
      </c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66" t="s">
        <v>955</v>
      </c>
      <c r="F16" s="55" t="s">
        <v>66</v>
      </c>
      <c r="G16" s="9">
        <v>0.89236111111111116</v>
      </c>
      <c r="H16" s="9">
        <v>0.93402777777777779</v>
      </c>
      <c r="I16" s="10">
        <f t="shared" si="0"/>
        <v>4.166666666666663E-2</v>
      </c>
      <c r="J16" s="11">
        <v>1</v>
      </c>
      <c r="K16" s="11">
        <v>13.2</v>
      </c>
      <c r="L16" s="16">
        <f t="shared" si="1"/>
        <v>13.20000000000001</v>
      </c>
      <c r="M16" s="11">
        <v>60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5" customHeight="1">
      <c r="B17" s="13"/>
      <c r="C17" s="14"/>
      <c r="D17" s="6"/>
      <c r="E17" s="66" t="s">
        <v>956</v>
      </c>
      <c r="F17" s="55" t="s">
        <v>59</v>
      </c>
      <c r="G17" s="9">
        <v>0.94791666666666663</v>
      </c>
      <c r="H17" s="9">
        <v>0.95347222222222228</v>
      </c>
      <c r="I17" s="10">
        <f t="shared" si="0"/>
        <v>5.5555555555556468E-3</v>
      </c>
      <c r="J17" s="11">
        <v>1</v>
      </c>
      <c r="K17" s="11">
        <v>1.43</v>
      </c>
      <c r="L17" s="16">
        <f t="shared" si="1"/>
        <v>10.724999999999824</v>
      </c>
      <c r="M17" s="11">
        <v>8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/>
      <c r="E18" s="143" t="s">
        <v>957</v>
      </c>
      <c r="F18" s="57">
        <v>0.75</v>
      </c>
      <c r="G18" s="9">
        <v>0.93125000000000002</v>
      </c>
      <c r="H18" s="9">
        <v>0.93888888888888888</v>
      </c>
      <c r="I18" s="10">
        <f t="shared" si="0"/>
        <v>7.6388888888888618E-3</v>
      </c>
      <c r="J18" s="11">
        <v>1</v>
      </c>
      <c r="K18" s="11">
        <v>88</v>
      </c>
      <c r="L18" s="16">
        <f t="shared" si="1"/>
        <v>480.00000000000165</v>
      </c>
      <c r="M18" s="11">
        <v>11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31"/>
      <c r="E19" s="132" t="s">
        <v>958</v>
      </c>
      <c r="F19" s="55" t="s">
        <v>232</v>
      </c>
      <c r="G19" s="9">
        <v>0.98958333333333337</v>
      </c>
      <c r="H19" s="9">
        <v>46104.017361111109</v>
      </c>
      <c r="I19" s="10">
        <f t="shared" si="0"/>
        <v>46103.027777777774</v>
      </c>
      <c r="J19" s="11">
        <v>3</v>
      </c>
      <c r="K19" s="11">
        <v>9.9</v>
      </c>
      <c r="L19" s="16">
        <f t="shared" si="1"/>
        <v>2.9824505380160023E-6</v>
      </c>
      <c r="M19" s="11">
        <v>40</v>
      </c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13" t="s">
        <v>959</v>
      </c>
      <c r="F20" s="55" t="s">
        <v>960</v>
      </c>
      <c r="G20" s="9">
        <v>8.3333333333333329E-2</v>
      </c>
      <c r="H20" s="9">
        <v>0.14583333333333334</v>
      </c>
      <c r="I20" s="10">
        <f t="shared" si="0"/>
        <v>6.2500000000000014E-2</v>
      </c>
      <c r="J20" s="11">
        <v>8</v>
      </c>
      <c r="K20" s="11">
        <v>176</v>
      </c>
      <c r="L20" s="16">
        <f t="shared" si="1"/>
        <v>14.666666666666664</v>
      </c>
      <c r="M20" s="11"/>
      <c r="N20" s="11"/>
      <c r="O20" s="11"/>
      <c r="P20" s="11"/>
      <c r="Q20" s="11"/>
      <c r="R20" s="12"/>
      <c r="S20" s="12">
        <v>90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30" t="s">
        <v>730</v>
      </c>
      <c r="E21" s="15" t="s">
        <v>961</v>
      </c>
      <c r="F21" s="55" t="s">
        <v>232</v>
      </c>
      <c r="G21" s="9">
        <v>0.94791666666666663</v>
      </c>
      <c r="H21" s="9">
        <v>0.95138888888888884</v>
      </c>
      <c r="I21" s="10">
        <f t="shared" si="0"/>
        <v>3.4722222222222099E-3</v>
      </c>
      <c r="J21" s="11">
        <v>1</v>
      </c>
      <c r="K21" s="11">
        <v>7</v>
      </c>
      <c r="L21" s="16">
        <f t="shared" si="1"/>
        <v>84.000000000000298</v>
      </c>
      <c r="M21" s="11">
        <v>5</v>
      </c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30"/>
      <c r="E22" s="15" t="s">
        <v>962</v>
      </c>
      <c r="F22" s="55" t="s">
        <v>963</v>
      </c>
      <c r="G22" s="9">
        <v>0.95138888888888884</v>
      </c>
      <c r="H22" s="9">
        <v>0.95833333333333337</v>
      </c>
      <c r="I22" s="10">
        <f t="shared" si="0"/>
        <v>6.9444444444445308E-3</v>
      </c>
      <c r="J22" s="11">
        <v>1</v>
      </c>
      <c r="K22" s="11">
        <v>1.4</v>
      </c>
      <c r="L22" s="16">
        <f t="shared" si="1"/>
        <v>8.3999999999998956</v>
      </c>
      <c r="M22" s="11">
        <v>10</v>
      </c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30"/>
      <c r="E23" s="15" t="s">
        <v>732</v>
      </c>
      <c r="F23" s="57">
        <v>0.5</v>
      </c>
      <c r="G23" s="9">
        <v>0.93125000000000002</v>
      </c>
      <c r="H23" s="9">
        <v>0.94444444444444442</v>
      </c>
      <c r="I23" s="10">
        <f t="shared" si="0"/>
        <v>1.3194444444444398E-2</v>
      </c>
      <c r="J23" s="11">
        <v>1</v>
      </c>
      <c r="K23" s="11">
        <v>37.31</v>
      </c>
      <c r="L23" s="16">
        <f t="shared" si="1"/>
        <v>117.82105263157938</v>
      </c>
      <c r="M23" s="11">
        <v>19</v>
      </c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30"/>
      <c r="E24" s="15" t="s">
        <v>808</v>
      </c>
      <c r="F24" s="55" t="s">
        <v>237</v>
      </c>
      <c r="G24" s="9">
        <v>0.96458333333333335</v>
      </c>
      <c r="H24" s="9">
        <v>0.97222222222222221</v>
      </c>
      <c r="I24" s="10">
        <f t="shared" si="0"/>
        <v>7.6388888888888618E-3</v>
      </c>
      <c r="J24" s="11">
        <v>1</v>
      </c>
      <c r="K24" s="11">
        <v>0.14000000000000001</v>
      </c>
      <c r="L24" s="16">
        <f t="shared" si="1"/>
        <v>0.76363636363636644</v>
      </c>
      <c r="M24" s="11"/>
      <c r="N24" s="11"/>
      <c r="O24" s="11"/>
      <c r="P24" s="11"/>
      <c r="Q24" s="11"/>
      <c r="R24" s="12"/>
      <c r="S24" s="12">
        <v>11</v>
      </c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30"/>
      <c r="E25" s="71" t="s">
        <v>733</v>
      </c>
      <c r="F25" s="55" t="s">
        <v>239</v>
      </c>
      <c r="G25" s="9">
        <v>0.99305555555555558</v>
      </c>
      <c r="H25" s="9">
        <v>46104.045138888891</v>
      </c>
      <c r="I25" s="10">
        <f t="shared" si="0"/>
        <v>46103.052083333336</v>
      </c>
      <c r="J25" s="11">
        <v>3</v>
      </c>
      <c r="K25" s="11">
        <v>3.71</v>
      </c>
      <c r="L25" s="16">
        <f t="shared" si="1"/>
        <v>1.1176652184466878E-6</v>
      </c>
      <c r="M25" s="11">
        <v>75</v>
      </c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15"/>
      <c r="F26" s="55"/>
      <c r="G26" s="9"/>
      <c r="H26" s="9"/>
      <c r="I26" s="10">
        <f t="shared" si="0"/>
        <v>0</v>
      </c>
      <c r="J26" s="11"/>
      <c r="K26" s="11"/>
      <c r="L26" s="16" t="str">
        <f t="shared" si="1"/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15"/>
      <c r="F27" s="55"/>
      <c r="G27" s="9"/>
      <c r="H27" s="9"/>
      <c r="I27" s="10">
        <f t="shared" si="0"/>
        <v>0</v>
      </c>
      <c r="J27" s="11"/>
      <c r="K27" s="11"/>
      <c r="L27" s="16" t="str">
        <f t="shared" si="1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s="28" customFormat="1" ht="25.05" customHeight="1">
      <c r="A28" s="2"/>
      <c r="B28" s="21"/>
      <c r="C28" s="22"/>
      <c r="D28" s="23"/>
      <c r="E28" s="24"/>
      <c r="F28" s="24"/>
      <c r="G28" s="25"/>
      <c r="H28" s="25"/>
      <c r="I28" s="26"/>
      <c r="J28" s="27"/>
      <c r="K28" s="27">
        <f t="shared" ref="K28:AL28" si="2">SUM(K4:K20)</f>
        <v>1394.68</v>
      </c>
      <c r="L28" s="39">
        <f t="shared" si="2"/>
        <v>1608.7878058445599</v>
      </c>
      <c r="M28" s="27">
        <f t="shared" si="2"/>
        <v>270</v>
      </c>
      <c r="N28" s="27">
        <f t="shared" si="2"/>
        <v>0</v>
      </c>
      <c r="O28" s="27">
        <f t="shared" si="2"/>
        <v>0</v>
      </c>
      <c r="P28" s="27">
        <f t="shared" si="2"/>
        <v>0</v>
      </c>
      <c r="Q28" s="27">
        <f t="shared" si="2"/>
        <v>100</v>
      </c>
      <c r="R28" s="27">
        <f t="shared" si="2"/>
        <v>105</v>
      </c>
      <c r="S28" s="27">
        <f t="shared" si="2"/>
        <v>371</v>
      </c>
      <c r="T28" s="27">
        <f t="shared" si="2"/>
        <v>0</v>
      </c>
      <c r="U28" s="27">
        <f t="shared" si="2"/>
        <v>0</v>
      </c>
      <c r="V28" s="27">
        <f t="shared" si="2"/>
        <v>0</v>
      </c>
      <c r="W28" s="27">
        <f t="shared" si="2"/>
        <v>0</v>
      </c>
      <c r="X28" s="27">
        <f t="shared" si="2"/>
        <v>0</v>
      </c>
      <c r="Y28" s="27">
        <f t="shared" si="2"/>
        <v>0</v>
      </c>
      <c r="Z28" s="27">
        <f t="shared" si="2"/>
        <v>0</v>
      </c>
      <c r="AA28" s="27">
        <f t="shared" si="2"/>
        <v>0</v>
      </c>
      <c r="AB28" s="27">
        <f t="shared" si="2"/>
        <v>0</v>
      </c>
      <c r="AC28" s="27">
        <f t="shared" si="2"/>
        <v>0</v>
      </c>
      <c r="AD28" s="27">
        <f t="shared" si="2"/>
        <v>0</v>
      </c>
      <c r="AE28" s="27">
        <f t="shared" si="2"/>
        <v>0</v>
      </c>
      <c r="AF28" s="27">
        <f t="shared" si="2"/>
        <v>0</v>
      </c>
      <c r="AG28" s="27">
        <f t="shared" si="2"/>
        <v>0</v>
      </c>
      <c r="AH28" s="27">
        <f t="shared" si="2"/>
        <v>0</v>
      </c>
      <c r="AI28" s="27">
        <f t="shared" si="2"/>
        <v>0</v>
      </c>
      <c r="AJ28" s="27">
        <f t="shared" si="2"/>
        <v>0</v>
      </c>
      <c r="AK28" s="27">
        <f t="shared" si="2"/>
        <v>0</v>
      </c>
      <c r="AL28" s="27">
        <f t="shared" si="2"/>
        <v>0</v>
      </c>
    </row>
    <row r="29" spans="1:38" ht="25.05" customHeight="1">
      <c r="B29" s="13"/>
      <c r="C29" s="14" t="s">
        <v>43</v>
      </c>
      <c r="D29" s="6"/>
      <c r="E29" s="7" t="s">
        <v>41</v>
      </c>
      <c r="F29" s="8" t="s">
        <v>42</v>
      </c>
      <c r="G29" s="9"/>
      <c r="H29" s="9"/>
      <c r="I29" s="10">
        <f>H29-G29</f>
        <v>0</v>
      </c>
      <c r="J29" s="11"/>
      <c r="K29" s="11"/>
      <c r="L29" s="16" t="str">
        <f>IFERROR(((K29/(J29*I29)/24)),"0")</f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18"/>
      <c r="E30" s="6"/>
      <c r="F30" s="14"/>
      <c r="G30" s="9"/>
      <c r="H30" s="9"/>
      <c r="I30" s="10"/>
      <c r="J30" s="11"/>
      <c r="K30" s="11"/>
      <c r="L30" s="16"/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s="28" customFormat="1" ht="25.05" customHeight="1">
      <c r="A31" s="2"/>
      <c r="B31" s="21"/>
      <c r="C31" s="22"/>
      <c r="D31" s="23"/>
      <c r="E31" s="24"/>
      <c r="F31" s="22"/>
      <c r="G31" s="25"/>
      <c r="H31" s="25"/>
      <c r="I31" s="26"/>
      <c r="J31" s="27"/>
      <c r="K31" s="27">
        <f t="shared" ref="K31:AI31" si="3">SUM(K29:K30)</f>
        <v>0</v>
      </c>
      <c r="L31" s="27">
        <f t="shared" si="3"/>
        <v>0</v>
      </c>
      <c r="M31" s="27">
        <f t="shared" si="3"/>
        <v>0</v>
      </c>
      <c r="N31" s="27">
        <f t="shared" si="3"/>
        <v>0</v>
      </c>
      <c r="O31" s="27">
        <f t="shared" si="3"/>
        <v>0</v>
      </c>
      <c r="P31" s="27">
        <f t="shared" si="3"/>
        <v>0</v>
      </c>
      <c r="Q31" s="27">
        <f t="shared" si="3"/>
        <v>0</v>
      </c>
      <c r="R31" s="27">
        <f t="shared" si="3"/>
        <v>0</v>
      </c>
      <c r="S31" s="27">
        <f t="shared" si="3"/>
        <v>0</v>
      </c>
      <c r="T31" s="27">
        <f t="shared" si="3"/>
        <v>0</v>
      </c>
      <c r="U31" s="27">
        <f t="shared" si="3"/>
        <v>0</v>
      </c>
      <c r="V31" s="27">
        <f t="shared" si="3"/>
        <v>0</v>
      </c>
      <c r="W31" s="27">
        <f t="shared" si="3"/>
        <v>0</v>
      </c>
      <c r="X31" s="27">
        <f t="shared" si="3"/>
        <v>0</v>
      </c>
      <c r="Y31" s="27">
        <f t="shared" si="3"/>
        <v>0</v>
      </c>
      <c r="Z31" s="27">
        <f t="shared" si="3"/>
        <v>0</v>
      </c>
      <c r="AA31" s="27">
        <f t="shared" si="3"/>
        <v>0</v>
      </c>
      <c r="AB31" s="27">
        <f t="shared" si="3"/>
        <v>0</v>
      </c>
      <c r="AC31" s="27">
        <f t="shared" si="3"/>
        <v>0</v>
      </c>
      <c r="AD31" s="27">
        <f t="shared" si="3"/>
        <v>0</v>
      </c>
      <c r="AE31" s="27">
        <f t="shared" si="3"/>
        <v>0</v>
      </c>
      <c r="AF31" s="27">
        <f t="shared" si="3"/>
        <v>0</v>
      </c>
      <c r="AG31" s="27">
        <f t="shared" si="3"/>
        <v>0</v>
      </c>
      <c r="AH31" s="27">
        <f t="shared" si="3"/>
        <v>0</v>
      </c>
      <c r="AI31" s="27">
        <f t="shared" si="3"/>
        <v>0</v>
      </c>
      <c r="AJ31" s="27">
        <f>SUM(AJ29:AJ30)</f>
        <v>0</v>
      </c>
      <c r="AK31" s="27">
        <f>SUM(AK29:AK30)</f>
        <v>0</v>
      </c>
      <c r="AL31" s="27">
        <f>SUM(AL29:AL30)</f>
        <v>0</v>
      </c>
    </row>
    <row r="32" spans="1:38" ht="25.05" customHeight="1">
      <c r="B32" s="5">
        <v>46103</v>
      </c>
      <c r="C32" s="29" t="s">
        <v>44</v>
      </c>
      <c r="D32" s="30"/>
      <c r="E32" s="7" t="s">
        <v>41</v>
      </c>
      <c r="F32" s="8" t="s">
        <v>42</v>
      </c>
      <c r="G32" s="9">
        <v>0.79166666666666663</v>
      </c>
      <c r="H32" s="9">
        <v>0.83333333333333337</v>
      </c>
      <c r="I32" s="10">
        <f t="shared" ref="I32:I66" si="4">H32-G32</f>
        <v>4.1666666666666741E-2</v>
      </c>
      <c r="J32" s="11"/>
      <c r="K32" s="11"/>
      <c r="L32" s="16" t="str">
        <f t="shared" ref="L32:L67" si="5">IFERROR(((K32/(J32*I32)/24)),"0")</f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6" t="s">
        <v>271</v>
      </c>
      <c r="E33" s="19" t="s">
        <v>964</v>
      </c>
      <c r="F33" s="8" t="s">
        <v>42</v>
      </c>
      <c r="G33" s="9">
        <v>0.87222222222222223</v>
      </c>
      <c r="H33" s="9">
        <v>0.87777777777777777</v>
      </c>
      <c r="I33" s="10">
        <f t="shared" si="4"/>
        <v>5.5555555555555358E-3</v>
      </c>
      <c r="J33" s="11">
        <v>2</v>
      </c>
      <c r="K33" s="11">
        <v>33.5</v>
      </c>
      <c r="L33" s="16">
        <f t="shared" si="5"/>
        <v>125.62500000000045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8</v>
      </c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965</v>
      </c>
      <c r="F34" s="8" t="s">
        <v>42</v>
      </c>
      <c r="G34" s="9">
        <v>0.87291666666666667</v>
      </c>
      <c r="H34" s="9">
        <v>0.87986111111111109</v>
      </c>
      <c r="I34" s="10">
        <f t="shared" si="4"/>
        <v>6.9444444444444198E-3</v>
      </c>
      <c r="J34" s="11">
        <v>2</v>
      </c>
      <c r="K34" s="11">
        <v>22.5</v>
      </c>
      <c r="L34" s="16">
        <f t="shared" si="5"/>
        <v>67.500000000000242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10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/>
      <c r="F35" s="8" t="s">
        <v>42</v>
      </c>
      <c r="G35" s="9"/>
      <c r="H35" s="9"/>
      <c r="I35" s="10">
        <f t="shared" si="4"/>
        <v>0</v>
      </c>
      <c r="J35" s="11"/>
      <c r="K35" s="11"/>
      <c r="L35" s="16" t="str">
        <f t="shared" si="5"/>
        <v>0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161" t="s">
        <v>726</v>
      </c>
      <c r="E36" s="147" t="s">
        <v>966</v>
      </c>
      <c r="F36" s="8" t="s">
        <v>42</v>
      </c>
      <c r="G36" s="9">
        <v>0.88124999999999998</v>
      </c>
      <c r="H36" s="9">
        <v>0.89166666666666672</v>
      </c>
      <c r="I36" s="10">
        <f t="shared" si="4"/>
        <v>1.0416666666666741E-2</v>
      </c>
      <c r="J36" s="11">
        <v>1</v>
      </c>
      <c r="K36" s="11">
        <v>0.6</v>
      </c>
      <c r="L36" s="16">
        <f t="shared" si="5"/>
        <v>2.399999999999983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15</v>
      </c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148" t="s">
        <v>967</v>
      </c>
      <c r="E37" s="147" t="s">
        <v>814</v>
      </c>
      <c r="F37" s="8" t="s">
        <v>42</v>
      </c>
      <c r="G37" s="9">
        <v>0.93194444444444446</v>
      </c>
      <c r="H37" s="9">
        <v>0.93541666666666667</v>
      </c>
      <c r="I37" s="10">
        <f t="shared" si="4"/>
        <v>3.4722222222222099E-3</v>
      </c>
      <c r="J37" s="11">
        <v>4</v>
      </c>
      <c r="K37" s="11">
        <v>19.46</v>
      </c>
      <c r="L37" s="16">
        <f t="shared" si="5"/>
        <v>58.380000000000216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3</v>
      </c>
      <c r="X37" s="11"/>
      <c r="Y37" s="11"/>
      <c r="Z37" s="11">
        <v>5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148" t="s">
        <v>967</v>
      </c>
      <c r="E38" s="147" t="s">
        <v>815</v>
      </c>
      <c r="F38" s="8" t="s">
        <v>42</v>
      </c>
      <c r="G38" s="9">
        <v>0.93194444444444446</v>
      </c>
      <c r="H38" s="9">
        <v>0.93541666666666667</v>
      </c>
      <c r="I38" s="10">
        <f t="shared" si="4"/>
        <v>3.4722222222222099E-3</v>
      </c>
      <c r="J38" s="11">
        <v>4</v>
      </c>
      <c r="K38" s="11">
        <v>19.27</v>
      </c>
      <c r="L38" s="16">
        <f t="shared" si="5"/>
        <v>57.810000000000201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3</v>
      </c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148" t="s">
        <v>967</v>
      </c>
      <c r="E39" s="147" t="s">
        <v>816</v>
      </c>
      <c r="F39" s="8" t="s">
        <v>42</v>
      </c>
      <c r="G39" s="9">
        <v>0.94861111111111107</v>
      </c>
      <c r="H39" s="9">
        <v>0.95208333333333328</v>
      </c>
      <c r="I39" s="10">
        <f t="shared" si="4"/>
        <v>3.4722222222222099E-3</v>
      </c>
      <c r="J39" s="11">
        <v>4</v>
      </c>
      <c r="K39" s="11">
        <v>17.95</v>
      </c>
      <c r="L39" s="16">
        <f t="shared" si="5"/>
        <v>53.850000000000193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3</v>
      </c>
      <c r="X39" s="11"/>
      <c r="Y39" s="11"/>
      <c r="Z39" s="11">
        <v>5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148" t="s">
        <v>967</v>
      </c>
      <c r="E40" s="147" t="s">
        <v>817</v>
      </c>
      <c r="F40" s="8" t="s">
        <v>42</v>
      </c>
      <c r="G40" s="9">
        <v>0.94861111111111107</v>
      </c>
      <c r="H40" s="9">
        <v>0.95208333333333328</v>
      </c>
      <c r="I40" s="10">
        <f t="shared" si="4"/>
        <v>3.4722222222222099E-3</v>
      </c>
      <c r="J40" s="11">
        <v>4</v>
      </c>
      <c r="K40" s="11">
        <v>18.21</v>
      </c>
      <c r="L40" s="16">
        <f t="shared" si="5"/>
        <v>54.630000000000194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3</v>
      </c>
      <c r="X40" s="11"/>
      <c r="Y40" s="11"/>
      <c r="Z40" s="11">
        <v>5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148" t="s">
        <v>967</v>
      </c>
      <c r="E41" s="147" t="s">
        <v>818</v>
      </c>
      <c r="F41" s="8" t="s">
        <v>42</v>
      </c>
      <c r="G41" s="9">
        <v>0.99583333333333335</v>
      </c>
      <c r="H41" s="9">
        <v>0.99930555555555556</v>
      </c>
      <c r="I41" s="10">
        <f t="shared" si="4"/>
        <v>3.4722222222222099E-3</v>
      </c>
      <c r="J41" s="11">
        <v>4</v>
      </c>
      <c r="K41" s="11">
        <v>18.149999999999999</v>
      </c>
      <c r="L41" s="16">
        <f t="shared" si="5"/>
        <v>54.450000000000188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3</v>
      </c>
      <c r="X41" s="11"/>
      <c r="Y41" s="11"/>
      <c r="Z41" s="11">
        <v>5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148" t="s">
        <v>967</v>
      </c>
      <c r="E42" s="147" t="s">
        <v>819</v>
      </c>
      <c r="F42" s="8" t="s">
        <v>42</v>
      </c>
      <c r="G42" s="9">
        <v>0.99583333333333335</v>
      </c>
      <c r="H42" s="9">
        <v>0.99930555555555556</v>
      </c>
      <c r="I42" s="10">
        <f t="shared" si="4"/>
        <v>3.4722222222222099E-3</v>
      </c>
      <c r="J42" s="11">
        <v>4</v>
      </c>
      <c r="K42" s="11">
        <v>18.11</v>
      </c>
      <c r="L42" s="16">
        <f t="shared" si="5"/>
        <v>54.33000000000019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3</v>
      </c>
      <c r="X42" s="11"/>
      <c r="Y42" s="11"/>
      <c r="Z42" s="11">
        <v>5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47" t="s">
        <v>968</v>
      </c>
      <c r="F43" s="8" t="s">
        <v>42</v>
      </c>
      <c r="G43" s="9">
        <v>0.9291666666666667</v>
      </c>
      <c r="H43" s="9">
        <v>0.96597222222222223</v>
      </c>
      <c r="I43" s="10">
        <f t="shared" si="4"/>
        <v>3.6805555555555536E-2</v>
      </c>
      <c r="J43" s="11">
        <v>4</v>
      </c>
      <c r="K43" s="11">
        <v>141.6</v>
      </c>
      <c r="L43" s="16">
        <f t="shared" si="5"/>
        <v>40.075471698113226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>
        <v>53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47" t="s">
        <v>969</v>
      </c>
      <c r="F44" s="8" t="s">
        <v>42</v>
      </c>
      <c r="G44" s="9">
        <v>46103.976388888892</v>
      </c>
      <c r="H44" s="9">
        <v>46104.010416666664</v>
      </c>
      <c r="I44" s="10">
        <f t="shared" si="4"/>
        <v>3.4027777772280388E-2</v>
      </c>
      <c r="J44" s="11">
        <v>4</v>
      </c>
      <c r="K44" s="11">
        <v>142.80000000000001</v>
      </c>
      <c r="L44" s="16">
        <f t="shared" si="5"/>
        <v>43.714285721348027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>
        <v>49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47" t="s">
        <v>970</v>
      </c>
      <c r="F45" s="8" t="s">
        <v>42</v>
      </c>
      <c r="G45" s="9">
        <v>0.11805555555555555</v>
      </c>
      <c r="H45" s="9">
        <v>0.15277777777777779</v>
      </c>
      <c r="I45" s="10">
        <f t="shared" si="4"/>
        <v>3.4722222222222238E-2</v>
      </c>
      <c r="J45" s="11">
        <v>3</v>
      </c>
      <c r="K45" s="11">
        <v>141.34</v>
      </c>
      <c r="L45" s="16">
        <f t="shared" si="5"/>
        <v>56.535999999999973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/>
      <c r="AC45" s="11"/>
      <c r="AD45" s="11">
        <v>50</v>
      </c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47" t="s">
        <v>971</v>
      </c>
      <c r="F46" s="8" t="s">
        <v>42</v>
      </c>
      <c r="G46" s="9">
        <v>0.11805555555555555</v>
      </c>
      <c r="H46" s="9">
        <v>0.15625</v>
      </c>
      <c r="I46" s="10">
        <f t="shared" si="4"/>
        <v>3.8194444444444448E-2</v>
      </c>
      <c r="J46" s="11">
        <v>3</v>
      </c>
      <c r="K46" s="11">
        <v>140.18</v>
      </c>
      <c r="L46" s="16">
        <f t="shared" si="5"/>
        <v>50.974545454545449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>
        <v>55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47" t="s">
        <v>972</v>
      </c>
      <c r="F47" s="8" t="s">
        <v>42</v>
      </c>
      <c r="G47" s="9">
        <v>0.16597222222222222</v>
      </c>
      <c r="H47" s="9">
        <v>0.2013888888888889</v>
      </c>
      <c r="I47" s="10">
        <f t="shared" si="4"/>
        <v>3.541666666666668E-2</v>
      </c>
      <c r="J47" s="11">
        <v>3</v>
      </c>
      <c r="K47" s="11">
        <v>142.12</v>
      </c>
      <c r="L47" s="16">
        <f t="shared" si="5"/>
        <v>55.733333333333313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>
        <v>51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47" t="s">
        <v>973</v>
      </c>
      <c r="F48" s="8" t="s">
        <v>42</v>
      </c>
      <c r="G48" s="9">
        <v>0.17083333333333334</v>
      </c>
      <c r="H48" s="9">
        <v>0.20694444444444443</v>
      </c>
      <c r="I48" s="10">
        <f t="shared" si="4"/>
        <v>3.6111111111111094E-2</v>
      </c>
      <c r="J48" s="11">
        <v>3</v>
      </c>
      <c r="K48" s="11">
        <v>142.4</v>
      </c>
      <c r="L48" s="16">
        <f t="shared" si="5"/>
        <v>54.769230769230802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>
        <v>52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47" t="s">
        <v>827</v>
      </c>
      <c r="F49" s="8" t="s">
        <v>42</v>
      </c>
      <c r="G49" s="9">
        <v>0.86805555555555558</v>
      </c>
      <c r="H49" s="9">
        <v>0.87916666666666665</v>
      </c>
      <c r="I49" s="10">
        <f t="shared" si="4"/>
        <v>1.1111111111111072E-2</v>
      </c>
      <c r="J49" s="11">
        <v>4</v>
      </c>
      <c r="K49" s="11">
        <v>79.150000000000006</v>
      </c>
      <c r="L49" s="16">
        <f t="shared" si="5"/>
        <v>74.20312500000027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>
        <v>8</v>
      </c>
      <c r="Y49" s="11"/>
      <c r="Z49" s="11">
        <v>8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47" t="s">
        <v>829</v>
      </c>
      <c r="F50" s="8" t="s">
        <v>42</v>
      </c>
      <c r="G50" s="9">
        <v>0.87361111111111112</v>
      </c>
      <c r="H50" s="9">
        <v>0.88611111111111107</v>
      </c>
      <c r="I50" s="10">
        <f t="shared" si="4"/>
        <v>1.2499999999999956E-2</v>
      </c>
      <c r="J50" s="11">
        <v>4</v>
      </c>
      <c r="K50" s="11">
        <v>73.55</v>
      </c>
      <c r="L50" s="16">
        <f t="shared" si="5"/>
        <v>61.291666666666885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>
        <v>9</v>
      </c>
      <c r="Z50" s="11"/>
      <c r="AA50" s="11">
        <v>9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47" t="s">
        <v>830</v>
      </c>
      <c r="F51" s="8" t="s">
        <v>42</v>
      </c>
      <c r="G51" s="9">
        <v>0.88472222222222219</v>
      </c>
      <c r="H51" s="9">
        <v>0.8979166666666667</v>
      </c>
      <c r="I51" s="10">
        <f t="shared" si="4"/>
        <v>1.3194444444444509E-2</v>
      </c>
      <c r="J51" s="11">
        <v>4</v>
      </c>
      <c r="K51" s="11">
        <v>77.84</v>
      </c>
      <c r="L51" s="16">
        <f t="shared" si="5"/>
        <v>61.45263157894707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>
        <v>9.5</v>
      </c>
      <c r="Y51" s="11"/>
      <c r="Z51" s="11">
        <v>9.5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47" t="s">
        <v>831</v>
      </c>
      <c r="F52" s="8" t="s">
        <v>42</v>
      </c>
      <c r="G52" s="9">
        <v>0.89583333333333337</v>
      </c>
      <c r="H52" s="9">
        <v>0.90694444444444444</v>
      </c>
      <c r="I52" s="10">
        <f t="shared" si="4"/>
        <v>1.1111111111111072E-2</v>
      </c>
      <c r="J52" s="11">
        <v>4</v>
      </c>
      <c r="K52" s="11">
        <v>74.52</v>
      </c>
      <c r="L52" s="16">
        <f t="shared" si="5"/>
        <v>69.862500000000253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>
        <v>8</v>
      </c>
      <c r="Z52" s="11"/>
      <c r="AA52" s="11">
        <v>8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47" t="s">
        <v>832</v>
      </c>
      <c r="F53" s="8" t="s">
        <v>42</v>
      </c>
      <c r="G53" s="9">
        <v>0.90277777777777779</v>
      </c>
      <c r="H53" s="9">
        <v>0.91319444444444442</v>
      </c>
      <c r="I53" s="10">
        <f t="shared" si="4"/>
        <v>1.041666666666663E-2</v>
      </c>
      <c r="J53" s="11">
        <v>4</v>
      </c>
      <c r="K53" s="11">
        <v>80</v>
      </c>
      <c r="L53" s="16">
        <f t="shared" si="5"/>
        <v>80.000000000000284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>
        <v>7.5</v>
      </c>
      <c r="Y53" s="11"/>
      <c r="Z53" s="11">
        <v>7.5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47" t="s">
        <v>833</v>
      </c>
      <c r="F54" s="8" t="s">
        <v>42</v>
      </c>
      <c r="G54" s="9">
        <v>0.91041666666666665</v>
      </c>
      <c r="H54" s="9">
        <v>0.92152777777777772</v>
      </c>
      <c r="I54" s="10">
        <f t="shared" si="4"/>
        <v>1.1111111111111072E-2</v>
      </c>
      <c r="J54" s="11">
        <v>4</v>
      </c>
      <c r="K54" s="11">
        <v>75.92</v>
      </c>
      <c r="L54" s="16">
        <f t="shared" si="5"/>
        <v>71.175000000000253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>
        <v>8</v>
      </c>
      <c r="Z54" s="11"/>
      <c r="AA54" s="11">
        <v>8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/>
      <c r="F55" s="8" t="s">
        <v>42</v>
      </c>
      <c r="G55" s="9"/>
      <c r="H55" s="9"/>
      <c r="I55" s="10">
        <f t="shared" si="4"/>
        <v>0</v>
      </c>
      <c r="J55" s="11"/>
      <c r="K55" s="11"/>
      <c r="L55" s="16" t="str">
        <f t="shared" si="5"/>
        <v>0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160" t="s">
        <v>953</v>
      </c>
      <c r="E56" s="17" t="s">
        <v>974</v>
      </c>
      <c r="F56" s="8" t="s">
        <v>42</v>
      </c>
      <c r="G56" s="9">
        <v>0.97569444444444442</v>
      </c>
      <c r="H56" s="9">
        <v>0.99236111111111114</v>
      </c>
      <c r="I56" s="10">
        <f t="shared" si="4"/>
        <v>1.6666666666666718E-2</v>
      </c>
      <c r="J56" s="11">
        <v>3</v>
      </c>
      <c r="K56" s="11">
        <v>98.2</v>
      </c>
      <c r="L56" s="16">
        <f t="shared" si="5"/>
        <v>81.833333333333073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/>
      <c r="AD56" s="11">
        <v>24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7" t="s">
        <v>975</v>
      </c>
      <c r="F57" s="8" t="s">
        <v>42</v>
      </c>
      <c r="G57" s="9">
        <v>2.361111111111111E-2</v>
      </c>
      <c r="H57" s="9">
        <v>3.3333333333333333E-2</v>
      </c>
      <c r="I57" s="10">
        <f t="shared" si="4"/>
        <v>9.7222222222222224E-3</v>
      </c>
      <c r="J57" s="11">
        <v>3</v>
      </c>
      <c r="K57" s="11">
        <v>88.81</v>
      </c>
      <c r="L57" s="16">
        <f t="shared" si="5"/>
        <v>126.87142857142857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/>
      <c r="AA57" s="11"/>
      <c r="AB57" s="11"/>
      <c r="AC57" s="11"/>
      <c r="AD57" s="11">
        <v>14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7" t="s">
        <v>976</v>
      </c>
      <c r="F58" s="8" t="s">
        <v>42</v>
      </c>
      <c r="G58" s="9">
        <v>2.5000000000000001E-2</v>
      </c>
      <c r="H58" s="9">
        <v>3.4722222222222224E-2</v>
      </c>
      <c r="I58" s="10">
        <f t="shared" si="4"/>
        <v>9.7222222222222224E-3</v>
      </c>
      <c r="J58" s="11">
        <v>3</v>
      </c>
      <c r="K58" s="11">
        <v>90.31</v>
      </c>
      <c r="L58" s="16">
        <f t="shared" si="5"/>
        <v>129.01428571428571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/>
      <c r="Y58" s="11"/>
      <c r="Z58" s="11"/>
      <c r="AA58" s="11"/>
      <c r="AB58" s="11"/>
      <c r="AC58" s="11">
        <v>14</v>
      </c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7" t="s">
        <v>977</v>
      </c>
      <c r="F59" s="8" t="s">
        <v>42</v>
      </c>
      <c r="G59" s="9">
        <v>2.6388888888888889E-2</v>
      </c>
      <c r="H59" s="9">
        <v>3.6111111111111108E-2</v>
      </c>
      <c r="I59" s="10">
        <f t="shared" si="4"/>
        <v>9.7222222222222189E-3</v>
      </c>
      <c r="J59" s="11">
        <v>3</v>
      </c>
      <c r="K59" s="11">
        <v>91.83</v>
      </c>
      <c r="L59" s="16">
        <f t="shared" si="5"/>
        <v>131.18571428571434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/>
      <c r="Z59" s="11"/>
      <c r="AA59" s="11"/>
      <c r="AB59" s="11">
        <v>14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7" t="s">
        <v>978</v>
      </c>
      <c r="F60" s="8" t="s">
        <v>42</v>
      </c>
      <c r="G60" s="9">
        <v>4.027777777777778E-2</v>
      </c>
      <c r="H60" s="9">
        <v>0.05</v>
      </c>
      <c r="I60" s="10">
        <f t="shared" si="4"/>
        <v>9.7222222222222224E-3</v>
      </c>
      <c r="J60" s="11">
        <v>3</v>
      </c>
      <c r="K60" s="11">
        <v>90.8</v>
      </c>
      <c r="L60" s="16">
        <f t="shared" si="5"/>
        <v>129.71428571428569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/>
      <c r="Z60" s="11"/>
      <c r="AA60" s="11"/>
      <c r="AB60" s="11"/>
      <c r="AC60" s="11"/>
      <c r="AD60" s="11">
        <v>14</v>
      </c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7" t="s">
        <v>979</v>
      </c>
      <c r="F61" s="8" t="s">
        <v>42</v>
      </c>
      <c r="G61" s="9">
        <v>4.1666666666666664E-2</v>
      </c>
      <c r="H61" s="9">
        <v>5.1388888888888887E-2</v>
      </c>
      <c r="I61" s="10">
        <f t="shared" si="4"/>
        <v>9.7222222222222224E-3</v>
      </c>
      <c r="J61" s="11">
        <v>3</v>
      </c>
      <c r="K61" s="11">
        <v>90.93</v>
      </c>
      <c r="L61" s="16">
        <f t="shared" si="5"/>
        <v>129.9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/>
      <c r="AA61" s="11"/>
      <c r="AB61" s="11"/>
      <c r="AC61" s="11">
        <v>14</v>
      </c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7" t="s">
        <v>980</v>
      </c>
      <c r="F62" s="8" t="s">
        <v>42</v>
      </c>
      <c r="G62" s="9">
        <v>4.6527777777777779E-2</v>
      </c>
      <c r="H62" s="9">
        <v>5.347222222222222E-2</v>
      </c>
      <c r="I62" s="10">
        <f t="shared" si="4"/>
        <v>6.9444444444444406E-3</v>
      </c>
      <c r="J62" s="11">
        <v>3</v>
      </c>
      <c r="K62" s="11">
        <v>45.53</v>
      </c>
      <c r="L62" s="16">
        <f t="shared" si="5"/>
        <v>91.060000000000059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2</v>
      </c>
      <c r="X62" s="11"/>
      <c r="Y62" s="11"/>
      <c r="Z62" s="11"/>
      <c r="AA62" s="11"/>
      <c r="AB62" s="11">
        <v>10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7" t="s">
        <v>981</v>
      </c>
      <c r="F63" s="8" t="s">
        <v>42</v>
      </c>
      <c r="G63" s="9">
        <v>0.1361111111111111</v>
      </c>
      <c r="H63" s="9">
        <v>0.16319444444444445</v>
      </c>
      <c r="I63" s="10">
        <f t="shared" si="4"/>
        <v>2.7083333333333348E-2</v>
      </c>
      <c r="J63" s="11">
        <v>3</v>
      </c>
      <c r="K63" s="11">
        <v>94.71</v>
      </c>
      <c r="L63" s="16">
        <f t="shared" si="5"/>
        <v>48.569230769230735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/>
      <c r="AC63" s="11">
        <v>39</v>
      </c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7" t="s">
        <v>982</v>
      </c>
      <c r="F64" s="8" t="s">
        <v>42</v>
      </c>
      <c r="G64" s="9">
        <v>0.1701388888888889</v>
      </c>
      <c r="H64" s="9">
        <v>0.19444444444444445</v>
      </c>
      <c r="I64" s="10">
        <f t="shared" si="4"/>
        <v>2.4305555555555552E-2</v>
      </c>
      <c r="J64" s="11">
        <v>3</v>
      </c>
      <c r="K64" s="11">
        <v>78.930000000000007</v>
      </c>
      <c r="L64" s="16">
        <f t="shared" si="5"/>
        <v>45.102857142857154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/>
      <c r="Z64" s="11"/>
      <c r="AA64" s="11"/>
      <c r="AB64" s="11"/>
      <c r="AC64" s="11">
        <v>35</v>
      </c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67" t="s">
        <v>983</v>
      </c>
      <c r="F65" s="8" t="s">
        <v>42</v>
      </c>
      <c r="G65" s="9">
        <v>0.85416666666666663</v>
      </c>
      <c r="H65" s="9">
        <v>0.88749999999999996</v>
      </c>
      <c r="I65" s="10">
        <f t="shared" si="4"/>
        <v>3.3333333333333326E-2</v>
      </c>
      <c r="J65" s="11">
        <v>4</v>
      </c>
      <c r="K65" s="11">
        <v>80.81</v>
      </c>
      <c r="L65" s="16">
        <f t="shared" si="5"/>
        <v>25.253125000000008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>
        <v>12</v>
      </c>
      <c r="AH65" s="11">
        <v>12</v>
      </c>
      <c r="AI65" s="11">
        <v>12</v>
      </c>
      <c r="AJ65" s="11">
        <v>12</v>
      </c>
      <c r="AK65" s="11"/>
      <c r="AL65" s="14"/>
    </row>
    <row r="66" spans="2:38" ht="25.05" customHeight="1">
      <c r="B66" s="13"/>
      <c r="C66" s="29"/>
      <c r="D66" s="67"/>
      <c r="E66" s="67" t="s">
        <v>984</v>
      </c>
      <c r="F66" s="8" t="s">
        <v>42</v>
      </c>
      <c r="G66" s="9">
        <v>0.8881944444444444</v>
      </c>
      <c r="H66" s="9">
        <v>0.91666666666666663</v>
      </c>
      <c r="I66" s="10">
        <f t="shared" si="4"/>
        <v>2.8472222222222232E-2</v>
      </c>
      <c r="J66" s="11">
        <v>4</v>
      </c>
      <c r="K66" s="11">
        <v>82.85</v>
      </c>
      <c r="L66" s="16">
        <f t="shared" si="5"/>
        <v>30.310975609756085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2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>
        <v>10.25</v>
      </c>
      <c r="AH66" s="11">
        <v>10.25</v>
      </c>
      <c r="AI66" s="11">
        <v>10.25</v>
      </c>
      <c r="AJ66" s="11">
        <v>10.25</v>
      </c>
      <c r="AK66" s="11"/>
      <c r="AL66" s="14"/>
    </row>
    <row r="67" spans="2:38" ht="25.05" customHeight="1">
      <c r="B67" s="13"/>
      <c r="C67" s="29"/>
      <c r="D67" s="30"/>
      <c r="E67" s="67" t="s">
        <v>985</v>
      </c>
      <c r="F67" s="8" t="s">
        <v>42</v>
      </c>
      <c r="G67" s="9">
        <v>0.91874999999999996</v>
      </c>
      <c r="H67" s="9">
        <v>0.94166666666666665</v>
      </c>
      <c r="I67" s="10">
        <f t="shared" ref="I67:I77" si="6">H67-G67</f>
        <v>2.2916666666666696E-2</v>
      </c>
      <c r="J67" s="11">
        <v>4</v>
      </c>
      <c r="K67" s="11">
        <v>82.31</v>
      </c>
      <c r="L67" s="16">
        <f t="shared" si="5"/>
        <v>37.413636363636314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2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>
        <v>8.25</v>
      </c>
      <c r="AH67" s="11">
        <v>8.25</v>
      </c>
      <c r="AI67" s="11">
        <v>8.25</v>
      </c>
      <c r="AJ67" s="11">
        <v>8.25</v>
      </c>
      <c r="AK67" s="11"/>
      <c r="AL67" s="14"/>
    </row>
    <row r="68" spans="2:38" ht="25.05" customHeight="1">
      <c r="B68" s="13"/>
      <c r="C68" s="29"/>
      <c r="D68" s="30"/>
      <c r="E68" s="67" t="s">
        <v>986</v>
      </c>
      <c r="F68" s="8" t="s">
        <v>42</v>
      </c>
      <c r="G68" s="9">
        <v>0.94722222222222219</v>
      </c>
      <c r="H68" s="9">
        <v>0.97083333333333333</v>
      </c>
      <c r="I68" s="10">
        <f t="shared" si="6"/>
        <v>2.3611111111111138E-2</v>
      </c>
      <c r="J68" s="11">
        <v>4</v>
      </c>
      <c r="K68" s="11">
        <v>81.150000000000006</v>
      </c>
      <c r="L68" s="16">
        <f t="shared" ref="L68:L77" si="7">IFERROR(((K68/(J68*I68)/24)),"0")</f>
        <v>35.801470588235254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2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>
        <v>8.5</v>
      </c>
      <c r="AH68" s="11">
        <v>8.5</v>
      </c>
      <c r="AI68" s="11">
        <v>8.5</v>
      </c>
      <c r="AJ68" s="11">
        <v>8.5</v>
      </c>
      <c r="AK68" s="11"/>
      <c r="AL68" s="14"/>
    </row>
    <row r="69" spans="2:38" ht="25.05" customHeight="1">
      <c r="B69" s="13"/>
      <c r="C69" s="29"/>
      <c r="D69" s="30"/>
      <c r="E69" s="67" t="s">
        <v>987</v>
      </c>
      <c r="F69" s="8" t="s">
        <v>42</v>
      </c>
      <c r="G69" s="9">
        <v>1.3888888888888889E-3</v>
      </c>
      <c r="H69" s="9">
        <v>2.6388888888888889E-2</v>
      </c>
      <c r="I69" s="10">
        <f t="shared" si="6"/>
        <v>2.5000000000000001E-2</v>
      </c>
      <c r="J69" s="11">
        <v>4</v>
      </c>
      <c r="K69" s="11">
        <v>81.61</v>
      </c>
      <c r="L69" s="16">
        <f t="shared" si="7"/>
        <v>34.004166666666663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2</v>
      </c>
      <c r="X69" s="11"/>
      <c r="Y69" s="11"/>
      <c r="Z69" s="11"/>
      <c r="AA69" s="11"/>
      <c r="AB69" s="11"/>
      <c r="AC69" s="11"/>
      <c r="AD69" s="11"/>
      <c r="AE69" s="11"/>
      <c r="AF69" s="11"/>
      <c r="AG69" s="11">
        <v>9</v>
      </c>
      <c r="AH69" s="11">
        <v>9</v>
      </c>
      <c r="AI69" s="11">
        <v>9</v>
      </c>
      <c r="AJ69" s="11">
        <v>9</v>
      </c>
      <c r="AK69" s="11"/>
      <c r="AL69" s="14"/>
    </row>
    <row r="70" spans="2:38" ht="25.05" customHeight="1">
      <c r="B70" s="13"/>
      <c r="C70" s="29"/>
      <c r="D70" s="30"/>
      <c r="E70" s="67" t="s">
        <v>988</v>
      </c>
      <c r="F70" s="8" t="s">
        <v>42</v>
      </c>
      <c r="G70" s="9">
        <v>8.3333333333333329E-2</v>
      </c>
      <c r="H70" s="9">
        <v>0.10694444444444444</v>
      </c>
      <c r="I70" s="10">
        <f t="shared" si="6"/>
        <v>2.361111111111111E-2</v>
      </c>
      <c r="J70" s="11">
        <v>4</v>
      </c>
      <c r="K70" s="11">
        <v>82</v>
      </c>
      <c r="L70" s="16">
        <f t="shared" si="7"/>
        <v>36.176470588235297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2</v>
      </c>
      <c r="X70" s="11"/>
      <c r="Y70" s="11"/>
      <c r="Z70" s="11"/>
      <c r="AA70" s="11"/>
      <c r="AB70" s="11"/>
      <c r="AC70" s="11"/>
      <c r="AD70" s="11"/>
      <c r="AE70" s="11"/>
      <c r="AF70" s="11"/>
      <c r="AG70" s="11">
        <v>8.5</v>
      </c>
      <c r="AH70" s="11">
        <v>8.5</v>
      </c>
      <c r="AI70" s="11">
        <v>8.5</v>
      </c>
      <c r="AJ70" s="11">
        <v>8.5</v>
      </c>
      <c r="AK70" s="11"/>
      <c r="AL70" s="14"/>
    </row>
    <row r="71" spans="2:38" ht="25.05" customHeight="1">
      <c r="B71" s="13"/>
      <c r="C71" s="29"/>
      <c r="D71" s="30"/>
      <c r="E71" s="67" t="s">
        <v>989</v>
      </c>
      <c r="F71" s="8" t="s">
        <v>42</v>
      </c>
      <c r="G71" s="9">
        <v>0.1111111111111111</v>
      </c>
      <c r="H71" s="9">
        <v>0.13750000000000001</v>
      </c>
      <c r="I71" s="10">
        <f t="shared" si="6"/>
        <v>2.6388888888888906E-2</v>
      </c>
      <c r="J71" s="11">
        <v>4</v>
      </c>
      <c r="K71" s="11">
        <v>80.64</v>
      </c>
      <c r="L71" s="16">
        <f t="shared" si="7"/>
        <v>31.831578947368399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>
        <v>9.5</v>
      </c>
      <c r="AH71" s="11">
        <v>9.5</v>
      </c>
      <c r="AI71" s="11">
        <v>9.5</v>
      </c>
      <c r="AJ71" s="11">
        <v>9.5</v>
      </c>
      <c r="AK71" s="11"/>
      <c r="AL71" s="14"/>
    </row>
    <row r="72" spans="2:38" ht="25.05" customHeight="1">
      <c r="B72" s="13"/>
      <c r="C72" s="29"/>
      <c r="D72" s="30"/>
      <c r="E72" s="67" t="s">
        <v>990</v>
      </c>
      <c r="F72" s="8" t="s">
        <v>42</v>
      </c>
      <c r="G72" s="9">
        <v>0.1388888888888889</v>
      </c>
      <c r="H72" s="9">
        <v>0.16319444444444445</v>
      </c>
      <c r="I72" s="10">
        <f t="shared" si="6"/>
        <v>2.4305555555555552E-2</v>
      </c>
      <c r="J72" s="11">
        <v>4</v>
      </c>
      <c r="K72" s="11">
        <v>81.3</v>
      </c>
      <c r="L72" s="16">
        <f t="shared" si="7"/>
        <v>34.842857142857149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>
        <v>8.75</v>
      </c>
      <c r="AH72" s="11">
        <v>8.75</v>
      </c>
      <c r="AI72" s="11">
        <v>8.75</v>
      </c>
      <c r="AJ72" s="11">
        <v>8.75</v>
      </c>
      <c r="AK72" s="11"/>
      <c r="AL72" s="14"/>
    </row>
    <row r="73" spans="2:38" ht="25.05" customHeight="1">
      <c r="B73" s="13"/>
      <c r="C73" s="29"/>
      <c r="D73" s="30"/>
      <c r="E73" s="67" t="s">
        <v>991</v>
      </c>
      <c r="F73" s="8" t="s">
        <v>42</v>
      </c>
      <c r="G73" s="9">
        <v>2.2916666666666665E-2</v>
      </c>
      <c r="H73" s="9">
        <v>2.7777777777777776E-2</v>
      </c>
      <c r="I73" s="10">
        <f t="shared" si="6"/>
        <v>4.8611111111111112E-3</v>
      </c>
      <c r="J73" s="11">
        <v>4</v>
      </c>
      <c r="K73" s="11">
        <v>90.23</v>
      </c>
      <c r="L73" s="16">
        <f t="shared" si="7"/>
        <v>193.35000000000002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3</v>
      </c>
      <c r="X73" s="11">
        <v>3.5</v>
      </c>
      <c r="Y73" s="11"/>
      <c r="Z73" s="11">
        <v>3.5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67" t="s">
        <v>992</v>
      </c>
      <c r="F74" s="8" t="s">
        <v>42</v>
      </c>
      <c r="G74" s="9">
        <v>3.125E-2</v>
      </c>
      <c r="H74" s="9">
        <v>3.7499999999999999E-2</v>
      </c>
      <c r="I74" s="10">
        <f t="shared" si="6"/>
        <v>6.2499999999999986E-3</v>
      </c>
      <c r="J74" s="11">
        <v>4</v>
      </c>
      <c r="K74" s="11">
        <v>89.67</v>
      </c>
      <c r="L74" s="16">
        <f t="shared" si="7"/>
        <v>149.45000000000005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3</v>
      </c>
      <c r="X74" s="11">
        <v>9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67" t="s">
        <v>993</v>
      </c>
      <c r="F75" s="8" t="s">
        <v>42</v>
      </c>
      <c r="G75" s="9">
        <v>4.027777777777778E-2</v>
      </c>
      <c r="H75" s="9">
        <v>4.6527777777777779E-2</v>
      </c>
      <c r="I75" s="10">
        <f t="shared" si="6"/>
        <v>6.2499999999999986E-3</v>
      </c>
      <c r="J75" s="11">
        <v>4</v>
      </c>
      <c r="K75" s="11">
        <v>89.32</v>
      </c>
      <c r="L75" s="16">
        <f t="shared" si="7"/>
        <v>148.8666666666667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3</v>
      </c>
      <c r="X75" s="11">
        <v>9</v>
      </c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67" t="s">
        <v>994</v>
      </c>
      <c r="F76" s="14"/>
      <c r="G76" s="9">
        <v>0.11666666666666667</v>
      </c>
      <c r="H76" s="9">
        <v>0.12291666666666666</v>
      </c>
      <c r="I76" s="10">
        <f t="shared" si="6"/>
        <v>6.2499999999999917E-3</v>
      </c>
      <c r="J76" s="11">
        <v>4</v>
      </c>
      <c r="K76" s="11">
        <v>89.28</v>
      </c>
      <c r="L76" s="16">
        <f t="shared" si="7"/>
        <v>148.80000000000021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3</v>
      </c>
      <c r="X76" s="11">
        <v>4.5</v>
      </c>
      <c r="Y76" s="11"/>
      <c r="Z76" s="11">
        <v>4.5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67" t="s">
        <v>995</v>
      </c>
      <c r="F77" s="8" t="s">
        <v>42</v>
      </c>
      <c r="G77" s="9">
        <v>0.12361111111111112</v>
      </c>
      <c r="H77" s="9">
        <v>0.13055555555555556</v>
      </c>
      <c r="I77" s="10">
        <f t="shared" si="6"/>
        <v>6.9444444444444475E-3</v>
      </c>
      <c r="J77" s="11">
        <v>4</v>
      </c>
      <c r="K77" s="11">
        <v>89.66</v>
      </c>
      <c r="L77" s="16">
        <f t="shared" si="7"/>
        <v>134.48999999999992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3</v>
      </c>
      <c r="X77" s="11">
        <v>10</v>
      </c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67" t="s">
        <v>996</v>
      </c>
      <c r="F78" s="8" t="s">
        <v>42</v>
      </c>
      <c r="G78" s="9">
        <v>0.13263888888888889</v>
      </c>
      <c r="H78" s="9">
        <v>0.1388888888888889</v>
      </c>
      <c r="I78" s="10">
        <f t="shared" ref="I78:I86" si="8">H78-G78</f>
        <v>6.2500000000000056E-3</v>
      </c>
      <c r="J78" s="11">
        <v>4</v>
      </c>
      <c r="K78" s="11">
        <v>90.06</v>
      </c>
      <c r="L78" s="16">
        <f t="shared" ref="L78:L86" si="9">IFERROR(((K78/(J78*I78)/24)),"0")</f>
        <v>150.09999999999988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3</v>
      </c>
      <c r="X78" s="11">
        <v>9</v>
      </c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67" t="s">
        <v>997</v>
      </c>
      <c r="F79" s="8" t="s">
        <v>42</v>
      </c>
      <c r="G79" s="9">
        <v>0.13958333333333334</v>
      </c>
      <c r="H79" s="9">
        <v>0.1451388888888889</v>
      </c>
      <c r="I79" s="10">
        <f t="shared" si="8"/>
        <v>5.5555555555555636E-3</v>
      </c>
      <c r="J79" s="11">
        <v>4</v>
      </c>
      <c r="K79" s="11">
        <v>90.19</v>
      </c>
      <c r="L79" s="16">
        <f t="shared" si="9"/>
        <v>169.10624999999973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3</v>
      </c>
      <c r="X79" s="11">
        <v>4</v>
      </c>
      <c r="Y79" s="11"/>
      <c r="Z79" s="11">
        <v>4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67" t="s">
        <v>998</v>
      </c>
      <c r="F80" s="8" t="s">
        <v>42</v>
      </c>
      <c r="G80" s="9">
        <v>0.14861111111111111</v>
      </c>
      <c r="H80" s="9">
        <v>0.15416666666666667</v>
      </c>
      <c r="I80" s="10">
        <f t="shared" si="8"/>
        <v>5.5555555555555636E-3</v>
      </c>
      <c r="J80" s="11">
        <v>4</v>
      </c>
      <c r="K80" s="11">
        <v>89.98</v>
      </c>
      <c r="L80" s="16">
        <f t="shared" si="9"/>
        <v>168.71249999999978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3</v>
      </c>
      <c r="X80" s="11">
        <v>4</v>
      </c>
      <c r="Y80" s="11"/>
      <c r="Z80" s="11">
        <v>4</v>
      </c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1:38" ht="25.05" customHeight="1">
      <c r="B81" s="13"/>
      <c r="C81" s="29"/>
      <c r="D81" s="30"/>
      <c r="E81" s="67" t="s">
        <v>999</v>
      </c>
      <c r="F81" s="8" t="s">
        <v>42</v>
      </c>
      <c r="G81" s="9">
        <v>0.15555555555555556</v>
      </c>
      <c r="H81" s="9">
        <v>0.16111111111111112</v>
      </c>
      <c r="I81" s="10">
        <f t="shared" si="8"/>
        <v>5.5555555555555636E-3</v>
      </c>
      <c r="J81" s="11">
        <v>4</v>
      </c>
      <c r="K81" s="11">
        <v>89.59</v>
      </c>
      <c r="L81" s="16">
        <f t="shared" si="9"/>
        <v>167.98124999999976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3</v>
      </c>
      <c r="X81" s="11">
        <v>4</v>
      </c>
      <c r="Y81" s="11"/>
      <c r="Z81" s="11">
        <v>4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1:38" ht="25.05" customHeight="1">
      <c r="B82" s="13"/>
      <c r="C82" s="29"/>
      <c r="D82" s="30"/>
      <c r="E82" s="67" t="s">
        <v>1000</v>
      </c>
      <c r="F82" s="8" t="s">
        <v>42</v>
      </c>
      <c r="G82" s="9">
        <v>0.16388888888888889</v>
      </c>
      <c r="H82" s="9">
        <v>0.16944444444444445</v>
      </c>
      <c r="I82" s="10">
        <f t="shared" si="8"/>
        <v>5.5555555555555636E-3</v>
      </c>
      <c r="J82" s="11">
        <v>4</v>
      </c>
      <c r="K82" s="11">
        <v>89.13</v>
      </c>
      <c r="L82" s="16">
        <f t="shared" si="9"/>
        <v>167.11874999999975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3</v>
      </c>
      <c r="X82" s="11">
        <v>4</v>
      </c>
      <c r="Y82" s="11"/>
      <c r="Z82" s="11">
        <v>4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1:38" ht="25.05" customHeight="1">
      <c r="B83" s="13"/>
      <c r="C83" s="29"/>
      <c r="D83" s="30"/>
      <c r="E83" s="67" t="s">
        <v>1001</v>
      </c>
      <c r="F83" s="8" t="s">
        <v>42</v>
      </c>
      <c r="G83" s="9">
        <v>0.17291666666666666</v>
      </c>
      <c r="H83" s="9">
        <v>0.17847222222222223</v>
      </c>
      <c r="I83" s="10">
        <f t="shared" si="8"/>
        <v>5.5555555555555636E-3</v>
      </c>
      <c r="J83" s="11">
        <v>4</v>
      </c>
      <c r="K83" s="11">
        <v>90.23</v>
      </c>
      <c r="L83" s="16">
        <f t="shared" si="9"/>
        <v>169.18124999999978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3</v>
      </c>
      <c r="X83" s="11">
        <v>4</v>
      </c>
      <c r="Y83" s="11"/>
      <c r="Z83" s="11">
        <v>4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1:38" ht="25.05" customHeight="1">
      <c r="B84" s="13"/>
      <c r="C84" s="29"/>
      <c r="D84" s="30"/>
      <c r="E84" s="19"/>
      <c r="F84" s="63"/>
      <c r="G84" s="19"/>
      <c r="H84" s="19"/>
      <c r="I84" s="19"/>
      <c r="J84" s="19"/>
      <c r="K84" s="19"/>
      <c r="L84" s="19"/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1:38" ht="25.05" customHeight="1">
      <c r="B85" s="13"/>
      <c r="C85" s="29"/>
      <c r="D85" s="30" t="s">
        <v>730</v>
      </c>
      <c r="E85" s="19" t="s">
        <v>1002</v>
      </c>
      <c r="F85" s="8" t="s">
        <v>42</v>
      </c>
      <c r="G85" s="9">
        <v>0.11666666666666667</v>
      </c>
      <c r="H85" s="9">
        <v>0.12708333333333333</v>
      </c>
      <c r="I85" s="10">
        <f t="shared" si="8"/>
        <v>1.0416666666666657E-2</v>
      </c>
      <c r="J85" s="11">
        <v>3</v>
      </c>
      <c r="K85" s="11">
        <v>51.05</v>
      </c>
      <c r="L85" s="16">
        <f t="shared" si="9"/>
        <v>68.06666666666672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/>
      <c r="X85" s="11"/>
      <c r="Y85" s="11"/>
      <c r="Z85" s="11"/>
      <c r="AA85" s="11"/>
      <c r="AB85" s="11"/>
      <c r="AC85" s="11"/>
      <c r="AD85" s="11">
        <v>15</v>
      </c>
      <c r="AE85" s="11"/>
      <c r="AF85" s="11"/>
      <c r="AG85" s="11"/>
      <c r="AH85" s="11"/>
      <c r="AI85" s="11"/>
      <c r="AJ85" s="11"/>
      <c r="AK85" s="11"/>
      <c r="AL85" s="14"/>
    </row>
    <row r="86" spans="1:38" ht="25.05" customHeight="1">
      <c r="B86" s="13"/>
      <c r="C86" s="29"/>
      <c r="D86" s="30"/>
      <c r="E86" s="19"/>
      <c r="F86" s="8" t="s">
        <v>42</v>
      </c>
      <c r="G86" s="9"/>
      <c r="H86" s="9"/>
      <c r="I86" s="10">
        <f t="shared" si="8"/>
        <v>0</v>
      </c>
      <c r="J86" s="11"/>
      <c r="K86" s="11"/>
      <c r="L86" s="16" t="str">
        <f t="shared" si="9"/>
        <v>0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1:38" ht="25.05" customHeight="1">
      <c r="B87" s="13"/>
      <c r="C87" s="29"/>
      <c r="D87" s="30"/>
      <c r="E87" s="19"/>
      <c r="F87" s="8" t="s">
        <v>42</v>
      </c>
      <c r="G87" s="9"/>
      <c r="H87" s="9"/>
      <c r="I87" s="10">
        <v>4</v>
      </c>
      <c r="J87" s="11"/>
      <c r="K87" s="11"/>
      <c r="L87" s="16" t="str">
        <f t="shared" ref="L87" si="10">IFERROR(((K87/(J87*I87)/24)),"0")</f>
        <v>0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1:38" s="28" customFormat="1" ht="25.5" customHeight="1">
      <c r="A88" s="2"/>
      <c r="B88" s="32"/>
      <c r="C88" s="33"/>
      <c r="D88" s="34"/>
      <c r="E88" s="35"/>
      <c r="F88" s="35"/>
      <c r="G88" s="36"/>
      <c r="H88" s="36"/>
      <c r="I88" s="37"/>
      <c r="J88" s="38"/>
      <c r="K88" s="38">
        <f t="shared" ref="K88:AL88" si="11">SUM(K32:K87)</f>
        <v>3940.2800000000007</v>
      </c>
      <c r="L88" s="39">
        <f t="shared" si="11"/>
        <v>4262.8715399934099</v>
      </c>
      <c r="M88" s="38">
        <f t="shared" si="11"/>
        <v>0</v>
      </c>
      <c r="N88" s="38">
        <f t="shared" si="11"/>
        <v>0</v>
      </c>
      <c r="O88" s="38">
        <f t="shared" si="11"/>
        <v>0</v>
      </c>
      <c r="P88" s="38">
        <f t="shared" si="11"/>
        <v>0</v>
      </c>
      <c r="Q88" s="38">
        <f t="shared" si="11"/>
        <v>0</v>
      </c>
      <c r="R88" s="38">
        <f t="shared" si="11"/>
        <v>0</v>
      </c>
      <c r="S88" s="38">
        <f t="shared" si="11"/>
        <v>0</v>
      </c>
      <c r="T88" s="38">
        <f t="shared" si="11"/>
        <v>0</v>
      </c>
      <c r="U88" s="38">
        <f t="shared" si="11"/>
        <v>0</v>
      </c>
      <c r="V88" s="38">
        <f t="shared" si="11"/>
        <v>51</v>
      </c>
      <c r="W88" s="38">
        <f t="shared" si="11"/>
        <v>91</v>
      </c>
      <c r="X88" s="38">
        <f t="shared" si="11"/>
        <v>90</v>
      </c>
      <c r="Y88" s="38">
        <f t="shared" si="11"/>
        <v>25</v>
      </c>
      <c r="Z88" s="38">
        <f t="shared" si="11"/>
        <v>83</v>
      </c>
      <c r="AA88" s="38">
        <f t="shared" si="11"/>
        <v>25</v>
      </c>
      <c r="AB88" s="38">
        <f t="shared" si="11"/>
        <v>232</v>
      </c>
      <c r="AC88" s="38">
        <f t="shared" si="11"/>
        <v>102</v>
      </c>
      <c r="AD88" s="38">
        <f t="shared" si="11"/>
        <v>169</v>
      </c>
      <c r="AE88" s="38">
        <f t="shared" si="11"/>
        <v>0</v>
      </c>
      <c r="AF88" s="38">
        <f t="shared" si="11"/>
        <v>0</v>
      </c>
      <c r="AG88" s="38">
        <f t="shared" si="11"/>
        <v>74.75</v>
      </c>
      <c r="AH88" s="38">
        <f t="shared" si="11"/>
        <v>74.75</v>
      </c>
      <c r="AI88" s="38">
        <f t="shared" si="11"/>
        <v>74.75</v>
      </c>
      <c r="AJ88" s="38">
        <f t="shared" si="11"/>
        <v>74.75</v>
      </c>
      <c r="AK88" s="38">
        <f t="shared" si="11"/>
        <v>0</v>
      </c>
      <c r="AL88" s="38">
        <f t="shared" si="11"/>
        <v>0</v>
      </c>
    </row>
    <row r="89" spans="1:38" ht="38.1" customHeight="1">
      <c r="B89" s="40" t="s">
        <v>45</v>
      </c>
      <c r="C89" s="41"/>
      <c r="D89" s="41"/>
      <c r="E89" s="41"/>
      <c r="F89" s="41"/>
      <c r="G89" s="41"/>
      <c r="H89" s="41"/>
      <c r="I89" s="41"/>
      <c r="J89" s="41"/>
      <c r="K89" s="42">
        <f>K28+K31+K88</f>
        <v>5334.9600000000009</v>
      </c>
      <c r="L89" s="42">
        <f>L28+L31+L88</f>
        <v>5871.6593458379702</v>
      </c>
      <c r="M89" s="43">
        <f t="shared" ref="M89:AL89" si="12">(M28+M31+M88)/(480-15-30)</f>
        <v>0.62068965517241381</v>
      </c>
      <c r="N89" s="43">
        <f t="shared" si="12"/>
        <v>0</v>
      </c>
      <c r="O89" s="43">
        <f t="shared" si="12"/>
        <v>0</v>
      </c>
      <c r="P89" s="43">
        <f t="shared" si="12"/>
        <v>0</v>
      </c>
      <c r="Q89" s="43">
        <f t="shared" si="12"/>
        <v>0.22988505747126436</v>
      </c>
      <c r="R89" s="43">
        <f t="shared" si="12"/>
        <v>0.2413793103448276</v>
      </c>
      <c r="S89" s="43">
        <f t="shared" si="12"/>
        <v>0.85287356321839081</v>
      </c>
      <c r="T89" s="43">
        <f t="shared" si="12"/>
        <v>0</v>
      </c>
      <c r="U89" s="43">
        <f t="shared" si="12"/>
        <v>0</v>
      </c>
      <c r="V89" s="43">
        <f t="shared" si="12"/>
        <v>0.11724137931034483</v>
      </c>
      <c r="W89" s="43">
        <f t="shared" si="12"/>
        <v>0.20919540229885059</v>
      </c>
      <c r="X89" s="43">
        <f t="shared" si="12"/>
        <v>0.20689655172413793</v>
      </c>
      <c r="Y89" s="43">
        <f t="shared" si="12"/>
        <v>5.7471264367816091E-2</v>
      </c>
      <c r="Z89" s="43">
        <f t="shared" si="12"/>
        <v>0.19080459770114944</v>
      </c>
      <c r="AA89" s="43">
        <f t="shared" si="12"/>
        <v>5.7471264367816091E-2</v>
      </c>
      <c r="AB89" s="43">
        <f t="shared" si="12"/>
        <v>0.53333333333333333</v>
      </c>
      <c r="AC89" s="43">
        <f t="shared" si="12"/>
        <v>0.23448275862068965</v>
      </c>
      <c r="AD89" s="43">
        <f t="shared" si="12"/>
        <v>0.38850574712643676</v>
      </c>
      <c r="AE89" s="43">
        <f t="shared" si="12"/>
        <v>0</v>
      </c>
      <c r="AF89" s="43">
        <f t="shared" si="12"/>
        <v>0</v>
      </c>
      <c r="AG89" s="43">
        <f t="shared" si="12"/>
        <v>0.17183908045977012</v>
      </c>
      <c r="AH89" s="43">
        <f t="shared" si="12"/>
        <v>0.17183908045977012</v>
      </c>
      <c r="AI89" s="43">
        <f t="shared" si="12"/>
        <v>0.17183908045977012</v>
      </c>
      <c r="AJ89" s="43">
        <f t="shared" si="12"/>
        <v>0.17183908045977012</v>
      </c>
      <c r="AK89" s="43">
        <f t="shared" si="12"/>
        <v>0</v>
      </c>
      <c r="AL89" s="43">
        <f t="shared" si="12"/>
        <v>0</v>
      </c>
    </row>
    <row r="90" spans="1:38" ht="25.05" customHeight="1">
      <c r="B90" s="44"/>
      <c r="C90" s="44"/>
      <c r="D90" s="44"/>
      <c r="E90" s="45"/>
      <c r="F90" s="45"/>
      <c r="G90" s="45"/>
      <c r="H90" s="45"/>
      <c r="I90" s="46"/>
      <c r="J90" s="46"/>
      <c r="K90" s="45"/>
      <c r="L90" s="47"/>
      <c r="M90" s="47"/>
      <c r="N90" s="47"/>
      <c r="O90" s="47"/>
      <c r="P90" s="47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</row>
    <row r="91" spans="1:38" ht="25.05" customHeight="1">
      <c r="B91" s="44"/>
      <c r="C91" s="44"/>
      <c r="D91" s="44"/>
      <c r="E91" s="45"/>
      <c r="F91" s="45"/>
      <c r="G91" s="45"/>
      <c r="H91" s="45"/>
      <c r="I91" s="48" t="s">
        <v>46</v>
      </c>
      <c r="J91" s="46"/>
      <c r="K91" s="45"/>
      <c r="L91" s="47"/>
      <c r="M91" s="47"/>
      <c r="N91" s="47"/>
      <c r="O91" s="47"/>
      <c r="P91" s="47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</row>
    <row r="92" spans="1:38" ht="25.05" customHeight="1">
      <c r="B92" s="44"/>
      <c r="C92" s="44"/>
      <c r="D92" s="44"/>
      <c r="E92" s="45"/>
      <c r="F92" s="45"/>
      <c r="G92" s="45"/>
      <c r="H92" s="45"/>
      <c r="I92" s="49" t="s">
        <v>47</v>
      </c>
      <c r="J92" s="9">
        <v>0</v>
      </c>
      <c r="K92" s="11">
        <v>6</v>
      </c>
      <c r="L92" s="11" t="s">
        <v>48</v>
      </c>
      <c r="M92" s="47"/>
      <c r="N92" s="14">
        <v>2</v>
      </c>
      <c r="O92" s="14"/>
      <c r="P92" s="14"/>
      <c r="Q92" s="50" t="s">
        <v>49</v>
      </c>
      <c r="R92" s="51"/>
      <c r="S92" s="45"/>
      <c r="T92" s="45"/>
      <c r="U92" s="45"/>
      <c r="V92" s="45"/>
      <c r="W92" s="45"/>
      <c r="X92" s="45"/>
      <c r="Y92" s="45"/>
      <c r="Z92" s="45"/>
      <c r="AA92" s="45"/>
      <c r="AC92" s="45"/>
      <c r="AD92" s="45"/>
      <c r="AE92" s="45"/>
      <c r="AF92" s="45"/>
      <c r="AG92" s="45"/>
      <c r="AH92" s="45"/>
    </row>
    <row r="93" spans="1:38" ht="25.05" customHeight="1">
      <c r="B93" s="44"/>
      <c r="C93" s="44"/>
      <c r="D93" s="44"/>
      <c r="E93" s="45"/>
      <c r="F93" s="45"/>
      <c r="G93" s="45"/>
      <c r="H93" s="45"/>
      <c r="I93" s="49" t="s">
        <v>50</v>
      </c>
      <c r="J93" s="9">
        <v>0</v>
      </c>
      <c r="K93" s="11">
        <v>0</v>
      </c>
      <c r="L93" s="11" t="s">
        <v>48</v>
      </c>
      <c r="M93" s="47"/>
      <c r="N93" s="14">
        <v>0</v>
      </c>
      <c r="O93" s="14"/>
      <c r="P93" s="14"/>
      <c r="Q93" s="50" t="s">
        <v>51</v>
      </c>
      <c r="R93" s="51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</row>
    <row r="94" spans="1:38" ht="25.05" customHeight="1">
      <c r="B94" s="44"/>
      <c r="C94" s="44"/>
      <c r="D94" s="44"/>
      <c r="E94" s="45"/>
      <c r="F94" s="45"/>
      <c r="G94" s="45"/>
      <c r="H94" s="45"/>
      <c r="I94" s="49" t="s">
        <v>52</v>
      </c>
      <c r="J94" s="9">
        <v>0</v>
      </c>
      <c r="K94" s="11">
        <v>12</v>
      </c>
      <c r="L94" s="11" t="s">
        <v>48</v>
      </c>
      <c r="M94" s="47"/>
      <c r="N94" s="14">
        <v>0</v>
      </c>
      <c r="O94" s="14"/>
      <c r="P94" s="14"/>
      <c r="Q94" s="50" t="s">
        <v>53</v>
      </c>
      <c r="R94" s="51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</row>
    <row r="95" spans="1:38" ht="25.05" customHeight="1">
      <c r="B95" s="44"/>
      <c r="C95" s="44"/>
      <c r="D95" s="44"/>
      <c r="E95" s="45"/>
      <c r="F95" s="45"/>
      <c r="G95" s="45"/>
      <c r="H95" s="45"/>
      <c r="I95" s="52" t="s">
        <v>54</v>
      </c>
      <c r="J95" s="53">
        <v>0</v>
      </c>
      <c r="K95" s="11">
        <v>2</v>
      </c>
      <c r="L95" s="54" t="s">
        <v>48</v>
      </c>
      <c r="M95" s="47"/>
      <c r="N95" s="14">
        <v>3</v>
      </c>
      <c r="O95" s="14"/>
      <c r="P95" s="14"/>
      <c r="Q95" s="50" t="s">
        <v>55</v>
      </c>
      <c r="R95" s="51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</row>
    <row r="96" spans="1:38" ht="25.05" customHeight="1">
      <c r="B96" s="44"/>
      <c r="C96" s="44"/>
      <c r="D96" s="44"/>
      <c r="E96" s="45"/>
      <c r="F96" s="45"/>
      <c r="G96" s="45"/>
      <c r="H96" s="45"/>
      <c r="I96" s="49" t="s">
        <v>56</v>
      </c>
      <c r="J96" s="9">
        <v>0</v>
      </c>
      <c r="K96" s="11">
        <v>20</v>
      </c>
      <c r="L96" s="11" t="s">
        <v>48</v>
      </c>
      <c r="M96" s="47"/>
      <c r="N96"/>
      <c r="O96"/>
      <c r="P96"/>
      <c r="Q96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</row>
    <row r="97" spans="2:34" ht="25.05" customHeight="1">
      <c r="B97" s="44"/>
      <c r="C97" s="44"/>
      <c r="D97" s="44"/>
      <c r="E97" s="45"/>
      <c r="F97" s="45"/>
      <c r="G97" s="45"/>
      <c r="H97" s="45"/>
      <c r="M97" s="47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</row>
    <row r="98" spans="2:34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DEEA9-5D96-4540-B9BA-E0B8B8252D01}">
  <sheetPr>
    <pageSetUpPr fitToPage="1"/>
  </sheetPr>
  <dimension ref="A2:AL147"/>
  <sheetViews>
    <sheetView zoomScale="80" zoomScaleNormal="8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80.44140625" style="2" customWidth="1"/>
    <col min="5" max="5" width="56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2" spans="2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2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2:38" ht="25.05" customHeight="1">
      <c r="B4" s="5" t="s">
        <v>1003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16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2:38" ht="25.05" customHeight="1">
      <c r="B5" s="13"/>
      <c r="C5" s="14"/>
      <c r="D5" s="30" t="s">
        <v>1004</v>
      </c>
      <c r="E5" s="15" t="s">
        <v>1005</v>
      </c>
      <c r="F5" s="8" t="s">
        <v>42</v>
      </c>
      <c r="G5" s="9">
        <v>0.375</v>
      </c>
      <c r="H5" s="9">
        <v>0.38541666666666669</v>
      </c>
      <c r="I5" s="10">
        <f t="shared" si="0"/>
        <v>1.0416666666666685E-2</v>
      </c>
      <c r="J5" s="11">
        <v>2</v>
      </c>
      <c r="K5" s="11">
        <v>125.4</v>
      </c>
      <c r="L5" s="16">
        <f t="shared" ref="L5:L16" si="1">IFERROR(((K5/(J5*I5)/24)),"0")</f>
        <v>250.79999999999959</v>
      </c>
      <c r="M5" s="11">
        <v>15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ht="25.5" customHeight="1">
      <c r="B6" s="13"/>
      <c r="C6" s="14"/>
      <c r="D6" s="6"/>
      <c r="E6" s="122" t="s">
        <v>1006</v>
      </c>
      <c r="F6" s="8" t="s">
        <v>87</v>
      </c>
      <c r="G6" s="9">
        <v>0.45833333333333331</v>
      </c>
      <c r="H6" s="9">
        <v>0.46875</v>
      </c>
      <c r="I6" s="10">
        <f t="shared" si="0"/>
        <v>1.0416666666666685E-2</v>
      </c>
      <c r="J6" s="11">
        <v>1</v>
      </c>
      <c r="K6" s="11">
        <v>18.2</v>
      </c>
      <c r="L6" s="16">
        <f t="shared" si="1"/>
        <v>72.799999999999869</v>
      </c>
      <c r="M6" s="11">
        <v>15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2:38" ht="25.05" customHeight="1">
      <c r="B7" s="13"/>
      <c r="C7" s="14"/>
      <c r="D7" s="114"/>
      <c r="E7" s="122" t="s">
        <v>1007</v>
      </c>
      <c r="F7" s="118" t="s">
        <v>1008</v>
      </c>
      <c r="G7" s="9">
        <v>0.47013888888888888</v>
      </c>
      <c r="H7" s="9">
        <v>0.49652777777777779</v>
      </c>
      <c r="I7" s="10">
        <f t="shared" si="0"/>
        <v>2.6388888888888906E-2</v>
      </c>
      <c r="J7" s="11">
        <v>1</v>
      </c>
      <c r="K7" s="11">
        <v>173</v>
      </c>
      <c r="L7" s="16">
        <f t="shared" si="1"/>
        <v>273.15789473684191</v>
      </c>
      <c r="M7" s="11">
        <v>38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2:38" ht="25.05" customHeight="1">
      <c r="B8" s="13"/>
      <c r="C8" s="14"/>
      <c r="D8" s="30"/>
      <c r="E8" s="122" t="s">
        <v>1009</v>
      </c>
      <c r="F8" s="55" t="s">
        <v>1010</v>
      </c>
      <c r="G8" s="9">
        <v>0.45833333333333331</v>
      </c>
      <c r="H8" s="9">
        <v>0.55555555555555558</v>
      </c>
      <c r="I8" s="10">
        <f t="shared" si="0"/>
        <v>9.7222222222222265E-2</v>
      </c>
      <c r="J8" s="11">
        <v>9</v>
      </c>
      <c r="K8" s="11">
        <v>227.5</v>
      </c>
      <c r="L8" s="16">
        <f t="shared" si="1"/>
        <v>10.833333333333329</v>
      </c>
      <c r="M8" s="11"/>
      <c r="N8" s="11"/>
      <c r="O8" s="11"/>
      <c r="P8" s="11"/>
      <c r="Q8" s="11"/>
      <c r="R8" s="12"/>
      <c r="S8" s="12">
        <v>140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2:38" ht="24.75" customHeight="1">
      <c r="B9" s="13"/>
      <c r="C9" s="14"/>
      <c r="D9" s="6"/>
      <c r="E9" s="15" t="s">
        <v>94</v>
      </c>
      <c r="F9" s="130" t="s">
        <v>42</v>
      </c>
      <c r="G9" s="9">
        <v>0.33333333333333331</v>
      </c>
      <c r="H9" s="9">
        <v>0.41666666666666669</v>
      </c>
      <c r="I9" s="10">
        <f t="shared" si="0"/>
        <v>8.333333333333337E-2</v>
      </c>
      <c r="J9" s="11">
        <v>6</v>
      </c>
      <c r="K9" s="11" t="s">
        <v>42</v>
      </c>
      <c r="L9" s="16" t="str">
        <f t="shared" si="1"/>
        <v>0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2:38" ht="24.75" customHeight="1">
      <c r="B10" s="13"/>
      <c r="C10" s="14"/>
      <c r="D10" s="6"/>
      <c r="E10" s="15" t="s">
        <v>703</v>
      </c>
      <c r="F10" s="130" t="s">
        <v>42</v>
      </c>
      <c r="G10" s="9">
        <v>0.33333333333333331</v>
      </c>
      <c r="H10" s="9">
        <v>0.41666666666666669</v>
      </c>
      <c r="I10" s="10">
        <f t="shared" si="0"/>
        <v>8.333333333333337E-2</v>
      </c>
      <c r="J10" s="11">
        <v>3</v>
      </c>
      <c r="K10" s="11" t="s">
        <v>42</v>
      </c>
      <c r="L10" s="16" t="str">
        <f t="shared" si="1"/>
        <v>0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2:38" ht="24.75" customHeight="1">
      <c r="B11" s="13"/>
      <c r="C11" s="14"/>
      <c r="D11" s="6"/>
      <c r="E11" s="15" t="s">
        <v>104</v>
      </c>
      <c r="F11" s="130" t="s">
        <v>42</v>
      </c>
      <c r="G11" s="9">
        <v>0.41666666666666669</v>
      </c>
      <c r="H11" s="9">
        <v>0.45833333333333331</v>
      </c>
      <c r="I11" s="10">
        <f t="shared" si="0"/>
        <v>4.166666666666663E-2</v>
      </c>
      <c r="J11" s="11">
        <v>11</v>
      </c>
      <c r="K11" s="11" t="s">
        <v>42</v>
      </c>
      <c r="L11" s="16" t="str">
        <f t="shared" si="1"/>
        <v>0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2:38" ht="24.75" customHeight="1">
      <c r="B12" s="13"/>
      <c r="C12" s="14"/>
      <c r="D12" s="6"/>
      <c r="E12" s="15" t="s">
        <v>1011</v>
      </c>
      <c r="F12" s="130" t="s">
        <v>42</v>
      </c>
      <c r="G12" s="9">
        <v>0.5625</v>
      </c>
      <c r="H12" s="9">
        <v>0.625</v>
      </c>
      <c r="I12" s="10">
        <f t="shared" si="0"/>
        <v>6.25E-2</v>
      </c>
      <c r="J12" s="11">
        <v>7</v>
      </c>
      <c r="K12" s="11" t="s">
        <v>42</v>
      </c>
      <c r="L12" s="16" t="str">
        <f t="shared" si="1"/>
        <v>0</v>
      </c>
      <c r="M12" s="11"/>
      <c r="N12" s="11"/>
      <c r="O12" s="11"/>
      <c r="P12" s="11"/>
      <c r="Q12" s="11"/>
      <c r="R12" s="12"/>
      <c r="S12" s="12">
        <v>90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2:38" ht="24.75" customHeight="1">
      <c r="B13" s="13"/>
      <c r="C13" s="14"/>
      <c r="D13" s="30" t="s">
        <v>1004</v>
      </c>
      <c r="E13" s="15" t="s">
        <v>1005</v>
      </c>
      <c r="F13" s="130" t="s">
        <v>42</v>
      </c>
      <c r="G13" s="9">
        <v>0.59722222222222221</v>
      </c>
      <c r="H13" s="9">
        <v>0.60416666666666663</v>
      </c>
      <c r="I13" s="10">
        <f t="shared" si="0"/>
        <v>6.9444444444444198E-3</v>
      </c>
      <c r="J13" s="11">
        <v>1</v>
      </c>
      <c r="K13" s="11">
        <v>62.7</v>
      </c>
      <c r="L13" s="16">
        <f t="shared" si="1"/>
        <v>376.20000000000135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2:38" ht="24.75" customHeight="1">
      <c r="B14" s="13"/>
      <c r="C14" s="14"/>
      <c r="D14" s="6"/>
      <c r="E14" s="15" t="s">
        <v>1012</v>
      </c>
      <c r="F14" s="130" t="s">
        <v>42</v>
      </c>
      <c r="G14" s="9">
        <v>0.61805555555555558</v>
      </c>
      <c r="H14" s="9">
        <v>0.64583333333333337</v>
      </c>
      <c r="I14" s="10">
        <f t="shared" si="0"/>
        <v>2.777777777777779E-2</v>
      </c>
      <c r="J14" s="11">
        <v>2</v>
      </c>
      <c r="K14" s="11">
        <v>250.8</v>
      </c>
      <c r="L14" s="16">
        <f t="shared" si="1"/>
        <v>188.09999999999991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2:38" ht="24.75" customHeight="1">
      <c r="B15" s="13"/>
      <c r="C15" s="14"/>
      <c r="D15" s="6"/>
      <c r="E15" s="15" t="s">
        <v>96</v>
      </c>
      <c r="F15" s="130" t="s">
        <v>42</v>
      </c>
      <c r="G15" s="9">
        <v>0.64583333333333337</v>
      </c>
      <c r="H15" s="9">
        <v>0.66666666666666663</v>
      </c>
      <c r="I15" s="10">
        <f t="shared" si="0"/>
        <v>2.0833333333333259E-2</v>
      </c>
      <c r="J15" s="11">
        <v>7</v>
      </c>
      <c r="K15" s="11" t="s">
        <v>42</v>
      </c>
      <c r="L15" s="16" t="str">
        <f t="shared" si="1"/>
        <v>0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2:38" ht="25.05" customHeight="1">
      <c r="B16" s="13"/>
      <c r="C16" s="14"/>
      <c r="D16" s="30"/>
      <c r="E16" s="15"/>
      <c r="F16" s="130"/>
      <c r="G16" s="9"/>
      <c r="H16" s="9"/>
      <c r="I16" s="10">
        <f t="shared" si="0"/>
        <v>0</v>
      </c>
      <c r="J16" s="11"/>
      <c r="K16" s="11"/>
      <c r="L16" s="16" t="str">
        <f t="shared" si="1"/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s="28" customFormat="1" ht="25.05" customHeight="1">
      <c r="A17" s="2"/>
      <c r="B17" s="21"/>
      <c r="C17" s="22"/>
      <c r="D17" s="23"/>
      <c r="E17" s="24"/>
      <c r="F17" s="24"/>
      <c r="G17" s="25"/>
      <c r="H17" s="25"/>
      <c r="I17" s="26"/>
      <c r="J17" s="27"/>
      <c r="K17" s="27">
        <f t="shared" ref="K17:AL17" si="2">SUM(K4:K15)</f>
        <v>857.60000000000014</v>
      </c>
      <c r="L17" s="39">
        <f t="shared" si="2"/>
        <v>1171.8912280701759</v>
      </c>
      <c r="M17" s="27">
        <f t="shared" si="2"/>
        <v>68</v>
      </c>
      <c r="N17" s="27">
        <f t="shared" si="2"/>
        <v>0</v>
      </c>
      <c r="O17" s="27">
        <f t="shared" si="2"/>
        <v>0</v>
      </c>
      <c r="P17" s="27">
        <f t="shared" si="2"/>
        <v>0</v>
      </c>
      <c r="Q17" s="27">
        <f t="shared" si="2"/>
        <v>0</v>
      </c>
      <c r="R17" s="27">
        <f t="shared" si="2"/>
        <v>0</v>
      </c>
      <c r="S17" s="27">
        <f t="shared" si="2"/>
        <v>230</v>
      </c>
      <c r="T17" s="27">
        <f t="shared" si="2"/>
        <v>0</v>
      </c>
      <c r="U17" s="27">
        <f t="shared" si="2"/>
        <v>0</v>
      </c>
      <c r="V17" s="27">
        <f t="shared" si="2"/>
        <v>0</v>
      </c>
      <c r="W17" s="27">
        <f t="shared" si="2"/>
        <v>0</v>
      </c>
      <c r="X17" s="27">
        <f t="shared" si="2"/>
        <v>0</v>
      </c>
      <c r="Y17" s="27">
        <f t="shared" si="2"/>
        <v>0</v>
      </c>
      <c r="Z17" s="27">
        <f t="shared" si="2"/>
        <v>0</v>
      </c>
      <c r="AA17" s="27">
        <f t="shared" si="2"/>
        <v>0</v>
      </c>
      <c r="AB17" s="27">
        <f t="shared" si="2"/>
        <v>0</v>
      </c>
      <c r="AC17" s="27">
        <f t="shared" si="2"/>
        <v>0</v>
      </c>
      <c r="AD17" s="27">
        <f t="shared" si="2"/>
        <v>0</v>
      </c>
      <c r="AE17" s="27">
        <f t="shared" si="2"/>
        <v>0</v>
      </c>
      <c r="AF17" s="27">
        <f t="shared" si="2"/>
        <v>0</v>
      </c>
      <c r="AG17" s="27">
        <f t="shared" si="2"/>
        <v>0</v>
      </c>
      <c r="AH17" s="27">
        <f t="shared" si="2"/>
        <v>0</v>
      </c>
      <c r="AI17" s="27">
        <f t="shared" si="2"/>
        <v>0</v>
      </c>
      <c r="AJ17" s="27">
        <f t="shared" si="2"/>
        <v>0</v>
      </c>
      <c r="AK17" s="27">
        <f t="shared" si="2"/>
        <v>0</v>
      </c>
      <c r="AL17" s="27">
        <f t="shared" si="2"/>
        <v>0</v>
      </c>
    </row>
    <row r="18" spans="1:38" ht="25.05" customHeight="1">
      <c r="B18" s="5" t="s">
        <v>1003</v>
      </c>
      <c r="C18" s="14" t="s">
        <v>43</v>
      </c>
      <c r="D18" s="6"/>
      <c r="E18" s="7" t="s">
        <v>41</v>
      </c>
      <c r="F18" s="8" t="s">
        <v>42</v>
      </c>
      <c r="G18" s="9">
        <v>0.29166666666666669</v>
      </c>
      <c r="H18" s="9">
        <v>0.33333333333333331</v>
      </c>
      <c r="I18" s="10">
        <f t="shared" ref="I18:I23" si="3">H18-G18</f>
        <v>4.166666666666663E-2</v>
      </c>
      <c r="J18" s="11">
        <v>3</v>
      </c>
      <c r="K18" s="62" t="s">
        <v>42</v>
      </c>
      <c r="L18" s="64" t="s">
        <v>42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6" t="s">
        <v>1013</v>
      </c>
      <c r="E19" s="19" t="s">
        <v>1014</v>
      </c>
      <c r="F19" s="8" t="s">
        <v>42</v>
      </c>
      <c r="G19" s="9">
        <v>0.33333333333333331</v>
      </c>
      <c r="H19" s="9">
        <v>0.44097222222222221</v>
      </c>
      <c r="I19" s="10">
        <f t="shared" si="3"/>
        <v>0.1076388888888889</v>
      </c>
      <c r="J19" s="11">
        <v>12</v>
      </c>
      <c r="K19" s="11">
        <f>235*2</f>
        <v>470</v>
      </c>
      <c r="L19" s="16">
        <f t="shared" ref="L19:L23" si="4">IFERROR(((K19/(J19*I19)/24)),"0")</f>
        <v>15.161290322580646</v>
      </c>
      <c r="M19" s="11"/>
      <c r="N19" s="11"/>
      <c r="O19" s="11"/>
      <c r="P19" s="11"/>
      <c r="Q19" s="11"/>
      <c r="R19" s="12"/>
      <c r="S19" s="12">
        <v>155</v>
      </c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104</v>
      </c>
      <c r="F20" s="8" t="s">
        <v>42</v>
      </c>
      <c r="G20" s="9">
        <v>0.44097222222222221</v>
      </c>
      <c r="H20" s="9">
        <v>0.4826388888888889</v>
      </c>
      <c r="I20" s="10">
        <f t="shared" si="3"/>
        <v>4.1666666666666685E-2</v>
      </c>
      <c r="J20" s="11">
        <v>12</v>
      </c>
      <c r="K20" s="62"/>
      <c r="L20" s="16">
        <f t="shared" si="4"/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 t="s">
        <v>1013</v>
      </c>
      <c r="E21" s="19" t="s">
        <v>1015</v>
      </c>
      <c r="F21" s="8" t="s">
        <v>42</v>
      </c>
      <c r="G21" s="9">
        <v>0.4826388888888889</v>
      </c>
      <c r="H21" s="9">
        <v>0.66666666666666663</v>
      </c>
      <c r="I21" s="10">
        <f t="shared" si="3"/>
        <v>0.18402777777777773</v>
      </c>
      <c r="J21" s="11">
        <v>12</v>
      </c>
      <c r="K21" s="62">
        <f>235*3</f>
        <v>705</v>
      </c>
      <c r="L21" s="16">
        <f t="shared" si="4"/>
        <v>13.301886792452832</v>
      </c>
      <c r="M21" s="11"/>
      <c r="N21" s="11"/>
      <c r="O21" s="11"/>
      <c r="P21" s="11"/>
      <c r="Q21" s="11"/>
      <c r="R21" s="12"/>
      <c r="S21" s="12">
        <v>265</v>
      </c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96</v>
      </c>
      <c r="F22" s="8" t="s">
        <v>42</v>
      </c>
      <c r="G22" s="9">
        <v>0.66666666666666663</v>
      </c>
      <c r="H22" s="9">
        <v>0.70833333333333337</v>
      </c>
      <c r="I22" s="10">
        <f t="shared" si="3"/>
        <v>4.1666666666666741E-2</v>
      </c>
      <c r="J22" s="11">
        <v>12</v>
      </c>
      <c r="K22" s="62"/>
      <c r="L22" s="16">
        <f t="shared" si="4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18"/>
      <c r="E23" s="6"/>
      <c r="F23" s="8" t="s">
        <v>42</v>
      </c>
      <c r="G23" s="9"/>
      <c r="H23" s="9"/>
      <c r="I23" s="10">
        <f t="shared" si="3"/>
        <v>0</v>
      </c>
      <c r="J23" s="11"/>
      <c r="K23" s="62"/>
      <c r="L23" s="16" t="str">
        <f t="shared" si="4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s="28" customFormat="1" ht="25.05" customHeight="1">
      <c r="A24" s="2"/>
      <c r="B24" s="21"/>
      <c r="C24" s="22"/>
      <c r="D24" s="23"/>
      <c r="E24" s="24"/>
      <c r="F24" s="22"/>
      <c r="G24" s="25"/>
      <c r="H24" s="25"/>
      <c r="I24" s="26"/>
      <c r="J24" s="27"/>
      <c r="K24" s="27">
        <f t="shared" ref="K24:AL24" si="5">SUM(K18:K23)</f>
        <v>1175</v>
      </c>
      <c r="L24" s="39">
        <f t="shared" si="5"/>
        <v>28.463177115033478</v>
      </c>
      <c r="M24" s="27">
        <f t="shared" si="5"/>
        <v>0</v>
      </c>
      <c r="N24" s="27">
        <f t="shared" si="5"/>
        <v>0</v>
      </c>
      <c r="O24" s="27">
        <f t="shared" si="5"/>
        <v>0</v>
      </c>
      <c r="P24" s="27">
        <f t="shared" si="5"/>
        <v>0</v>
      </c>
      <c r="Q24" s="27">
        <f t="shared" si="5"/>
        <v>0</v>
      </c>
      <c r="R24" s="27">
        <f t="shared" si="5"/>
        <v>0</v>
      </c>
      <c r="S24" s="27">
        <f t="shared" si="5"/>
        <v>420</v>
      </c>
      <c r="T24" s="27">
        <f t="shared" si="5"/>
        <v>0</v>
      </c>
      <c r="U24" s="27">
        <f t="shared" si="5"/>
        <v>0</v>
      </c>
      <c r="V24" s="27">
        <f t="shared" si="5"/>
        <v>0</v>
      </c>
      <c r="W24" s="27">
        <f t="shared" si="5"/>
        <v>0</v>
      </c>
      <c r="X24" s="27">
        <f t="shared" si="5"/>
        <v>0</v>
      </c>
      <c r="Y24" s="27">
        <f t="shared" si="5"/>
        <v>0</v>
      </c>
      <c r="Z24" s="27">
        <f t="shared" si="5"/>
        <v>0</v>
      </c>
      <c r="AA24" s="27">
        <f t="shared" si="5"/>
        <v>0</v>
      </c>
      <c r="AB24" s="27">
        <f t="shared" si="5"/>
        <v>0</v>
      </c>
      <c r="AC24" s="27">
        <f t="shared" si="5"/>
        <v>0</v>
      </c>
      <c r="AD24" s="27">
        <f t="shared" si="5"/>
        <v>0</v>
      </c>
      <c r="AE24" s="27">
        <f t="shared" si="5"/>
        <v>0</v>
      </c>
      <c r="AF24" s="27">
        <f t="shared" si="5"/>
        <v>0</v>
      </c>
      <c r="AG24" s="27">
        <f t="shared" si="5"/>
        <v>0</v>
      </c>
      <c r="AH24" s="27">
        <f t="shared" si="5"/>
        <v>0</v>
      </c>
      <c r="AI24" s="27">
        <f t="shared" si="5"/>
        <v>0</v>
      </c>
      <c r="AJ24" s="27">
        <f t="shared" si="5"/>
        <v>0</v>
      </c>
      <c r="AK24" s="27">
        <f t="shared" si="5"/>
        <v>0</v>
      </c>
      <c r="AL24" s="27">
        <f t="shared" si="5"/>
        <v>0</v>
      </c>
    </row>
    <row r="25" spans="1:38" ht="25.05" customHeight="1">
      <c r="B25" s="5" t="s">
        <v>1003</v>
      </c>
      <c r="C25" s="29" t="s">
        <v>44</v>
      </c>
      <c r="D25" s="30"/>
      <c r="E25" s="7" t="s">
        <v>41</v>
      </c>
      <c r="F25" s="8" t="s">
        <v>42</v>
      </c>
      <c r="G25" s="9">
        <v>0.29166666666666669</v>
      </c>
      <c r="H25" s="9">
        <v>0.2986111111111111</v>
      </c>
      <c r="I25" s="10">
        <f t="shared" ref="I25:I107" si="6">H25-G25</f>
        <v>6.9444444444444198E-3</v>
      </c>
      <c r="J25" s="11">
        <v>5</v>
      </c>
      <c r="K25" s="62" t="s">
        <v>42</v>
      </c>
      <c r="L25" s="64" t="s">
        <v>42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4"/>
    </row>
    <row r="26" spans="1:38" ht="25.05" customHeight="1">
      <c r="B26" s="13"/>
      <c r="C26" s="29"/>
      <c r="D26" s="6" t="s">
        <v>323</v>
      </c>
      <c r="E26" s="19" t="s">
        <v>324</v>
      </c>
      <c r="F26" s="8" t="s">
        <v>42</v>
      </c>
      <c r="G26" s="9">
        <v>0.34791666666666665</v>
      </c>
      <c r="H26" s="9">
        <v>0.35</v>
      </c>
      <c r="I26" s="10">
        <f t="shared" si="6"/>
        <v>2.0833333333333259E-3</v>
      </c>
      <c r="J26" s="11">
        <v>8</v>
      </c>
      <c r="K26" s="11">
        <v>45.95</v>
      </c>
      <c r="L26" s="16">
        <f t="shared" ref="L26:L108" si="7">IFERROR(((K26/(J26*I26)/24)),"0")</f>
        <v>114.87500000000041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>
        <v>3</v>
      </c>
      <c r="X26" s="11"/>
      <c r="Y26" s="11"/>
      <c r="Z26" s="11"/>
      <c r="AA26" s="11"/>
      <c r="AB26" s="11">
        <v>3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4"/>
    </row>
    <row r="27" spans="1:38" ht="25.05" customHeight="1">
      <c r="B27" s="13"/>
      <c r="C27" s="29"/>
      <c r="D27" s="30"/>
      <c r="E27" s="19" t="s">
        <v>325</v>
      </c>
      <c r="F27" s="8" t="s">
        <v>42</v>
      </c>
      <c r="G27" s="9">
        <v>0.35</v>
      </c>
      <c r="H27" s="9">
        <v>0.35208333333333336</v>
      </c>
      <c r="I27" s="10">
        <f t="shared" si="6"/>
        <v>2.0833333333333814E-3</v>
      </c>
      <c r="J27" s="11">
        <v>8</v>
      </c>
      <c r="K27" s="11">
        <v>45.69</v>
      </c>
      <c r="L27" s="16">
        <f t="shared" si="7"/>
        <v>114.22499999999735</v>
      </c>
      <c r="M27" s="11"/>
      <c r="N27" s="11"/>
      <c r="O27" s="11"/>
      <c r="P27" s="11"/>
      <c r="Q27" s="11"/>
      <c r="R27" s="12"/>
      <c r="S27" s="12"/>
      <c r="T27" s="11"/>
      <c r="U27" s="11"/>
      <c r="V27" s="12">
        <v>3</v>
      </c>
      <c r="W27" s="12"/>
      <c r="X27" s="11"/>
      <c r="Y27" s="11"/>
      <c r="Z27" s="11"/>
      <c r="AA27" s="11"/>
      <c r="AB27" s="11"/>
      <c r="AC27" s="11"/>
      <c r="AD27" s="11">
        <v>3</v>
      </c>
      <c r="AE27" s="11"/>
      <c r="AF27" s="11"/>
      <c r="AG27" s="11"/>
      <c r="AH27" s="11"/>
      <c r="AI27" s="11"/>
      <c r="AJ27" s="11"/>
      <c r="AK27" s="11"/>
      <c r="AL27" s="14"/>
    </row>
    <row r="28" spans="1:38" ht="25.05" customHeight="1">
      <c r="B28" s="13"/>
      <c r="C28" s="29"/>
      <c r="D28" s="30"/>
      <c r="E28" s="19" t="s">
        <v>326</v>
      </c>
      <c r="F28" s="8" t="s">
        <v>42</v>
      </c>
      <c r="G28" s="9">
        <v>0.35555555555555557</v>
      </c>
      <c r="H28" s="9">
        <v>0.3576388888888889</v>
      </c>
      <c r="I28" s="10">
        <f t="shared" ref="I28" si="8">H28-G28</f>
        <v>2.0833333333333259E-3</v>
      </c>
      <c r="J28" s="11">
        <v>8</v>
      </c>
      <c r="K28" s="11">
        <v>46.66</v>
      </c>
      <c r="L28" s="16">
        <f t="shared" ref="L28" si="9">IFERROR(((K28/(J28*I28)/24)),"0")</f>
        <v>116.65000000000042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>
        <v>3</v>
      </c>
      <c r="X28" s="11"/>
      <c r="Y28" s="11"/>
      <c r="Z28" s="11"/>
      <c r="AA28" s="11"/>
      <c r="AB28" s="11">
        <v>3</v>
      </c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30"/>
      <c r="E29" s="19" t="s">
        <v>1016</v>
      </c>
      <c r="F29" s="8" t="s">
        <v>42</v>
      </c>
      <c r="G29" s="9">
        <v>0.35833333333333334</v>
      </c>
      <c r="H29" s="9">
        <v>0.36041666666666666</v>
      </c>
      <c r="I29" s="10">
        <f t="shared" ref="I29" si="10">H29-G29</f>
        <v>2.0833333333333259E-3</v>
      </c>
      <c r="J29" s="11">
        <v>8</v>
      </c>
      <c r="K29" s="11">
        <v>46</v>
      </c>
      <c r="L29" s="16">
        <f t="shared" ref="L29" si="11">IFERROR(((K29/(J29*I29)/24)),"0")</f>
        <v>115.00000000000041</v>
      </c>
      <c r="M29" s="11"/>
      <c r="N29" s="11"/>
      <c r="O29" s="11"/>
      <c r="P29" s="11"/>
      <c r="Q29" s="11"/>
      <c r="R29" s="12"/>
      <c r="S29" s="12"/>
      <c r="T29" s="11"/>
      <c r="U29" s="11"/>
      <c r="V29" s="12">
        <v>3</v>
      </c>
      <c r="W29" s="12"/>
      <c r="X29" s="11"/>
      <c r="Y29" s="11"/>
      <c r="Z29" s="11"/>
      <c r="AA29" s="11"/>
      <c r="AB29" s="11"/>
      <c r="AC29" s="11"/>
      <c r="AD29" s="11">
        <v>3</v>
      </c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327</v>
      </c>
      <c r="F30" s="8" t="s">
        <v>42</v>
      </c>
      <c r="G30" s="9">
        <v>0.36458333333333331</v>
      </c>
      <c r="H30" s="9">
        <v>0.36666666666666664</v>
      </c>
      <c r="I30" s="10">
        <f t="shared" si="6"/>
        <v>2.0833333333333259E-3</v>
      </c>
      <c r="J30" s="11">
        <v>8</v>
      </c>
      <c r="K30" s="11">
        <v>46.22</v>
      </c>
      <c r="L30" s="16">
        <f t="shared" si="7"/>
        <v>115.55000000000041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3</v>
      </c>
      <c r="W30" s="12"/>
      <c r="X30" s="11"/>
      <c r="Y30" s="11"/>
      <c r="Z30" s="11"/>
      <c r="AA30" s="11"/>
      <c r="AB30" s="11"/>
      <c r="AC30" s="11">
        <v>3</v>
      </c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328</v>
      </c>
      <c r="F31" s="8" t="s">
        <v>42</v>
      </c>
      <c r="G31" s="9">
        <v>0.36944444444444446</v>
      </c>
      <c r="H31" s="9">
        <v>0.37152777777777779</v>
      </c>
      <c r="I31" s="10">
        <f t="shared" si="6"/>
        <v>2.0833333333333259E-3</v>
      </c>
      <c r="J31" s="11">
        <v>8</v>
      </c>
      <c r="K31" s="11">
        <v>45.74</v>
      </c>
      <c r="L31" s="16">
        <f t="shared" si="7"/>
        <v>114.35000000000042</v>
      </c>
      <c r="M31" s="11"/>
      <c r="N31" s="11"/>
      <c r="O31" s="11"/>
      <c r="P31" s="11"/>
      <c r="Q31" s="11"/>
      <c r="R31" s="12"/>
      <c r="S31" s="12"/>
      <c r="T31" s="11"/>
      <c r="U31" s="11"/>
      <c r="V31" s="12">
        <v>3</v>
      </c>
      <c r="W31" s="12"/>
      <c r="X31" s="11"/>
      <c r="Y31" s="11"/>
      <c r="Z31" s="11"/>
      <c r="AA31" s="11"/>
      <c r="AB31" s="11">
        <v>3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329</v>
      </c>
      <c r="F32" s="8" t="s">
        <v>42</v>
      </c>
      <c r="G32" s="9">
        <v>0.37291666666666667</v>
      </c>
      <c r="H32" s="9">
        <v>0.375</v>
      </c>
      <c r="I32" s="10">
        <f t="shared" ref="I32" si="12">H32-G32</f>
        <v>2.0833333333333259E-3</v>
      </c>
      <c r="J32" s="11">
        <v>8</v>
      </c>
      <c r="K32" s="11">
        <v>45.73</v>
      </c>
      <c r="L32" s="16">
        <f t="shared" ref="L32" si="13">IFERROR(((K32/(J32*I32)/24)),"0")</f>
        <v>114.3250000000004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3</v>
      </c>
      <c r="W32" s="12"/>
      <c r="X32" s="11"/>
      <c r="Y32" s="11"/>
      <c r="Z32" s="11"/>
      <c r="AA32" s="11"/>
      <c r="AB32" s="11"/>
      <c r="AC32" s="11"/>
      <c r="AD32" s="11">
        <v>3</v>
      </c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330</v>
      </c>
      <c r="F33" s="8" t="s">
        <v>42</v>
      </c>
      <c r="G33" s="9">
        <v>0.37708333333333333</v>
      </c>
      <c r="H33" s="9">
        <v>0.37916666666666665</v>
      </c>
      <c r="I33" s="10">
        <f t="shared" si="6"/>
        <v>2.0833333333333259E-3</v>
      </c>
      <c r="J33" s="11">
        <v>8</v>
      </c>
      <c r="K33" s="11">
        <v>45.93</v>
      </c>
      <c r="L33" s="16">
        <f t="shared" si="7"/>
        <v>114.8250000000004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3</v>
      </c>
      <c r="W33" s="12"/>
      <c r="X33" s="11"/>
      <c r="Y33" s="11"/>
      <c r="Z33" s="11"/>
      <c r="AA33" s="11"/>
      <c r="AB33" s="11"/>
      <c r="AC33" s="11">
        <v>3</v>
      </c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331</v>
      </c>
      <c r="F34" s="8" t="s">
        <v>42</v>
      </c>
      <c r="G34" s="9">
        <v>0.38263888888888886</v>
      </c>
      <c r="H34" s="9">
        <v>0.38472222222222224</v>
      </c>
      <c r="I34" s="10">
        <f t="shared" si="6"/>
        <v>2.0833333333333814E-3</v>
      </c>
      <c r="J34" s="11">
        <v>8</v>
      </c>
      <c r="K34" s="11">
        <v>46.29</v>
      </c>
      <c r="L34" s="16">
        <f t="shared" si="7"/>
        <v>115.72499999999734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3</v>
      </c>
      <c r="W34" s="12"/>
      <c r="X34" s="11"/>
      <c r="Y34" s="11"/>
      <c r="Z34" s="11"/>
      <c r="AA34" s="11"/>
      <c r="AB34" s="11">
        <v>3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332</v>
      </c>
      <c r="F35" s="8" t="s">
        <v>42</v>
      </c>
      <c r="G35" s="9">
        <v>0.38680555555555557</v>
      </c>
      <c r="H35" s="9">
        <v>0.3888888888888889</v>
      </c>
      <c r="I35" s="10">
        <f t="shared" ref="I35" si="14">H35-G35</f>
        <v>2.0833333333333259E-3</v>
      </c>
      <c r="J35" s="11">
        <v>8</v>
      </c>
      <c r="K35" s="11">
        <v>46.6</v>
      </c>
      <c r="L35" s="16">
        <f t="shared" ref="L35" si="15">IFERROR(((K35/(J35*I35)/24)),"0")</f>
        <v>116.50000000000041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3</v>
      </c>
      <c r="W35" s="12"/>
      <c r="X35" s="11"/>
      <c r="Y35" s="11"/>
      <c r="Z35" s="11"/>
      <c r="AA35" s="11"/>
      <c r="AB35" s="11"/>
      <c r="AC35" s="11"/>
      <c r="AD35" s="11">
        <v>3</v>
      </c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333</v>
      </c>
      <c r="F36" s="8" t="s">
        <v>42</v>
      </c>
      <c r="G36" s="9">
        <v>0.3923611111111111</v>
      </c>
      <c r="H36" s="9">
        <v>0.39444444444444443</v>
      </c>
      <c r="I36" s="10">
        <f t="shared" si="6"/>
        <v>2.0833333333333259E-3</v>
      </c>
      <c r="J36" s="11">
        <v>8</v>
      </c>
      <c r="K36" s="11">
        <v>46.35</v>
      </c>
      <c r="L36" s="16">
        <f t="shared" si="7"/>
        <v>115.87500000000041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3</v>
      </c>
      <c r="W36" s="12"/>
      <c r="X36" s="11"/>
      <c r="Y36" s="11"/>
      <c r="Z36" s="11"/>
      <c r="AA36" s="11"/>
      <c r="AB36" s="11"/>
      <c r="AC36" s="11">
        <v>3</v>
      </c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334</v>
      </c>
      <c r="F37" s="8" t="s">
        <v>42</v>
      </c>
      <c r="G37" s="9">
        <v>0.3972222222222222</v>
      </c>
      <c r="H37" s="9">
        <v>0.39930555555555558</v>
      </c>
      <c r="I37" s="10">
        <f t="shared" si="6"/>
        <v>2.0833333333333814E-3</v>
      </c>
      <c r="J37" s="11">
        <v>8</v>
      </c>
      <c r="K37" s="11">
        <v>45.9</v>
      </c>
      <c r="L37" s="16">
        <f t="shared" si="7"/>
        <v>114.74999999999734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3</v>
      </c>
      <c r="W37" s="12"/>
      <c r="X37" s="11"/>
      <c r="Y37" s="11"/>
      <c r="Z37" s="11"/>
      <c r="AA37" s="11"/>
      <c r="AB37" s="11">
        <v>3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335</v>
      </c>
      <c r="F38" s="8" t="s">
        <v>42</v>
      </c>
      <c r="G38" s="9">
        <v>0.36041666666666666</v>
      </c>
      <c r="H38" s="9">
        <v>0.36249999999999999</v>
      </c>
      <c r="I38" s="10">
        <f t="shared" ref="I38" si="16">H38-G38</f>
        <v>2.0833333333333259E-3</v>
      </c>
      <c r="J38" s="11">
        <v>8</v>
      </c>
      <c r="K38" s="11">
        <v>45.86</v>
      </c>
      <c r="L38" s="16">
        <f t="shared" ref="L38" si="17">IFERROR(((K38/(J38*I38)/24)),"0")</f>
        <v>114.65000000000042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3</v>
      </c>
      <c r="W38" s="12"/>
      <c r="X38" s="11"/>
      <c r="Y38" s="11"/>
      <c r="Z38" s="11"/>
      <c r="AA38" s="11"/>
      <c r="AB38" s="11"/>
      <c r="AC38" s="11"/>
      <c r="AD38" s="11">
        <v>3</v>
      </c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336</v>
      </c>
      <c r="F39" s="8" t="s">
        <v>42</v>
      </c>
      <c r="G39" s="9">
        <v>0.40694444444444444</v>
      </c>
      <c r="H39" s="9">
        <v>0.40902777777777777</v>
      </c>
      <c r="I39" s="10">
        <f t="shared" si="6"/>
        <v>2.0833333333333259E-3</v>
      </c>
      <c r="J39" s="11">
        <v>8</v>
      </c>
      <c r="K39" s="11">
        <v>45.91</v>
      </c>
      <c r="L39" s="16">
        <f t="shared" si="7"/>
        <v>114.77500000000039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3</v>
      </c>
      <c r="W39" s="12"/>
      <c r="X39" s="11"/>
      <c r="Y39" s="11"/>
      <c r="Z39" s="11"/>
      <c r="AA39" s="11"/>
      <c r="AB39" s="11">
        <v>3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337</v>
      </c>
      <c r="F40" s="8" t="s">
        <v>42</v>
      </c>
      <c r="G40" s="9">
        <v>0.41180555555555554</v>
      </c>
      <c r="H40" s="9">
        <v>0.41388888888888886</v>
      </c>
      <c r="I40" s="10">
        <f t="shared" si="6"/>
        <v>2.0833333333333259E-3</v>
      </c>
      <c r="J40" s="11">
        <v>8</v>
      </c>
      <c r="K40" s="11">
        <v>46</v>
      </c>
      <c r="L40" s="16">
        <f t="shared" si="7"/>
        <v>115.00000000000041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3</v>
      </c>
      <c r="W40" s="12"/>
      <c r="X40" s="11"/>
      <c r="Y40" s="11"/>
      <c r="Z40" s="11"/>
      <c r="AA40" s="11"/>
      <c r="AB40" s="11"/>
      <c r="AC40" s="11"/>
      <c r="AD40" s="11">
        <v>3</v>
      </c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338</v>
      </c>
      <c r="F41" s="8" t="s">
        <v>42</v>
      </c>
      <c r="G41" s="9">
        <v>0.41666666666666669</v>
      </c>
      <c r="H41" s="9">
        <v>0.41875000000000001</v>
      </c>
      <c r="I41" s="10">
        <f t="shared" ref="I41" si="18">H41-G41</f>
        <v>2.0833333333333259E-3</v>
      </c>
      <c r="J41" s="11">
        <v>8</v>
      </c>
      <c r="K41" s="11">
        <v>46.2</v>
      </c>
      <c r="L41" s="16">
        <f t="shared" ref="L41" si="19">IFERROR(((K41/(J41*I41)/24)),"0")</f>
        <v>115.50000000000041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3</v>
      </c>
      <c r="W41" s="12"/>
      <c r="X41" s="11"/>
      <c r="Y41" s="11"/>
      <c r="Z41" s="11"/>
      <c r="AA41" s="11"/>
      <c r="AB41" s="11">
        <v>3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339</v>
      </c>
      <c r="F42" s="8" t="s">
        <v>42</v>
      </c>
      <c r="G42" s="9">
        <v>0.42152777777777778</v>
      </c>
      <c r="H42" s="9">
        <v>0.42152777777777778</v>
      </c>
      <c r="I42" s="10">
        <f t="shared" si="6"/>
        <v>0</v>
      </c>
      <c r="J42" s="11">
        <v>8</v>
      </c>
      <c r="K42" s="11">
        <v>45.55</v>
      </c>
      <c r="L42" s="16" t="str">
        <f t="shared" si="7"/>
        <v>0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3</v>
      </c>
      <c r="W42" s="12"/>
      <c r="X42" s="11"/>
      <c r="Y42" s="11"/>
      <c r="Z42" s="11"/>
      <c r="AA42" s="11"/>
      <c r="AB42" s="11"/>
      <c r="AC42" s="11"/>
      <c r="AD42" s="11">
        <v>3</v>
      </c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340</v>
      </c>
      <c r="F43" s="8" t="s">
        <v>42</v>
      </c>
      <c r="G43" s="9">
        <v>0.42569444444444443</v>
      </c>
      <c r="H43" s="9">
        <v>0.42777777777777776</v>
      </c>
      <c r="I43" s="10">
        <f t="shared" si="6"/>
        <v>2.0833333333333259E-3</v>
      </c>
      <c r="J43" s="11">
        <v>8</v>
      </c>
      <c r="K43" s="11">
        <v>47.96</v>
      </c>
      <c r="L43" s="16">
        <f t="shared" si="7"/>
        <v>119.90000000000043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3</v>
      </c>
      <c r="W43" s="12"/>
      <c r="X43" s="11"/>
      <c r="Y43" s="11"/>
      <c r="Z43" s="11"/>
      <c r="AA43" s="11"/>
      <c r="AB43" s="11">
        <v>3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341</v>
      </c>
      <c r="F44" s="8" t="s">
        <v>42</v>
      </c>
      <c r="G44" s="9">
        <v>0.43055555555555558</v>
      </c>
      <c r="H44" s="9">
        <v>0.43263888888888891</v>
      </c>
      <c r="I44" s="10">
        <f t="shared" ref="I44:I45" si="20">H44-G44</f>
        <v>2.0833333333333259E-3</v>
      </c>
      <c r="J44" s="11">
        <v>8</v>
      </c>
      <c r="K44" s="11">
        <v>44.88</v>
      </c>
      <c r="L44" s="16">
        <f t="shared" ref="L44:L45" si="21">IFERROR(((K44/(J44*I44)/24)),"0")</f>
        <v>112.2000000000004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3</v>
      </c>
      <c r="W44" s="12"/>
      <c r="X44" s="11"/>
      <c r="Y44" s="11"/>
      <c r="Z44" s="11"/>
      <c r="AA44" s="11"/>
      <c r="AB44" s="11"/>
      <c r="AC44" s="11"/>
      <c r="AD44" s="11">
        <v>3</v>
      </c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1017</v>
      </c>
      <c r="F45" s="8" t="s">
        <v>42</v>
      </c>
      <c r="G45" s="9">
        <v>0.49375000000000002</v>
      </c>
      <c r="H45" s="9">
        <v>0.49583333333333335</v>
      </c>
      <c r="I45" s="10">
        <f t="shared" si="20"/>
        <v>2.0833333333333259E-3</v>
      </c>
      <c r="J45" s="11">
        <v>8</v>
      </c>
      <c r="K45" s="11">
        <v>46.63</v>
      </c>
      <c r="L45" s="16">
        <f t="shared" si="21"/>
        <v>116.57500000000043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3</v>
      </c>
      <c r="W45" s="12"/>
      <c r="X45" s="11"/>
      <c r="Y45" s="11"/>
      <c r="Z45" s="11"/>
      <c r="AA45" s="11"/>
      <c r="AB45" s="11">
        <v>3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/>
      <c r="F46" s="8" t="s">
        <v>42</v>
      </c>
      <c r="G46" s="9"/>
      <c r="H46" s="9"/>
      <c r="I46" s="10">
        <f t="shared" si="6"/>
        <v>0</v>
      </c>
      <c r="J46" s="11"/>
      <c r="K46" s="11"/>
      <c r="L46" s="16" t="str">
        <f t="shared" si="7"/>
        <v>0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 t="s">
        <v>1004</v>
      </c>
      <c r="E47" s="19" t="s">
        <v>1018</v>
      </c>
      <c r="F47" s="8" t="s">
        <v>42</v>
      </c>
      <c r="G47" s="9">
        <v>0.31666666666666665</v>
      </c>
      <c r="H47" s="9">
        <v>0.31736111111111109</v>
      </c>
      <c r="I47" s="10">
        <f t="shared" si="6"/>
        <v>6.9444444444444198E-4</v>
      </c>
      <c r="J47" s="11">
        <v>4</v>
      </c>
      <c r="K47" s="11">
        <v>65.930000000000007</v>
      </c>
      <c r="L47" s="16">
        <f t="shared" si="7"/>
        <v>988.95000000000357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/>
      <c r="AC47" s="11">
        <v>1</v>
      </c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1019</v>
      </c>
      <c r="F48" s="8" t="s">
        <v>42</v>
      </c>
      <c r="G48" s="9">
        <v>0.31944444444444442</v>
      </c>
      <c r="H48" s="9">
        <v>0.32013888888888886</v>
      </c>
      <c r="I48" s="10">
        <f t="shared" si="6"/>
        <v>6.9444444444444198E-4</v>
      </c>
      <c r="J48" s="11">
        <v>4</v>
      </c>
      <c r="K48" s="11">
        <v>66.33</v>
      </c>
      <c r="L48" s="16">
        <f t="shared" si="7"/>
        <v>994.95000000000346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/>
      <c r="X48" s="11"/>
      <c r="Y48" s="11"/>
      <c r="Z48" s="11"/>
      <c r="AA48" s="11"/>
      <c r="AB48" s="11"/>
      <c r="AC48" s="11">
        <v>1</v>
      </c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1020</v>
      </c>
      <c r="F49" s="8" t="s">
        <v>42</v>
      </c>
      <c r="G49" s="9">
        <v>0.32361111111111113</v>
      </c>
      <c r="H49" s="9">
        <v>0.32430555555555557</v>
      </c>
      <c r="I49" s="10">
        <f t="shared" si="6"/>
        <v>6.9444444444444198E-4</v>
      </c>
      <c r="J49" s="11">
        <v>4</v>
      </c>
      <c r="K49" s="11">
        <v>66.47</v>
      </c>
      <c r="L49" s="16">
        <f t="shared" si="7"/>
        <v>997.05000000000348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/>
      <c r="AC49" s="11">
        <v>1</v>
      </c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1021</v>
      </c>
      <c r="F50" s="8" t="s">
        <v>42</v>
      </c>
      <c r="G50" s="9">
        <v>0.3263888888888889</v>
      </c>
      <c r="H50" s="9">
        <v>0.32708333333333334</v>
      </c>
      <c r="I50" s="10">
        <f t="shared" si="6"/>
        <v>6.9444444444444198E-4</v>
      </c>
      <c r="J50" s="11">
        <v>4</v>
      </c>
      <c r="K50" s="11">
        <v>66.44</v>
      </c>
      <c r="L50" s="16">
        <f t="shared" si="7"/>
        <v>996.60000000000355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/>
      <c r="AB50" s="11"/>
      <c r="AC50" s="11">
        <v>1</v>
      </c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1022</v>
      </c>
      <c r="F51" s="8" t="s">
        <v>42</v>
      </c>
      <c r="G51" s="9">
        <v>0.33402777777777776</v>
      </c>
      <c r="H51" s="9">
        <v>0.3347222222222222</v>
      </c>
      <c r="I51" s="10">
        <f t="shared" si="6"/>
        <v>6.9444444444444198E-4</v>
      </c>
      <c r="J51" s="11">
        <v>4</v>
      </c>
      <c r="K51" s="11">
        <v>65.97</v>
      </c>
      <c r="L51" s="16">
        <f t="shared" si="7"/>
        <v>989.55000000000348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/>
      <c r="AB51" s="11"/>
      <c r="AC51" s="11">
        <v>1</v>
      </c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1023</v>
      </c>
      <c r="F52" s="8" t="s">
        <v>42</v>
      </c>
      <c r="G52" s="9">
        <v>0.33680555555555558</v>
      </c>
      <c r="H52" s="9">
        <v>0.33750000000000002</v>
      </c>
      <c r="I52" s="10">
        <f t="shared" si="6"/>
        <v>6.9444444444444198E-4</v>
      </c>
      <c r="J52" s="11">
        <v>4</v>
      </c>
      <c r="K52" s="11">
        <v>66.44</v>
      </c>
      <c r="L52" s="16">
        <f t="shared" si="7"/>
        <v>996.60000000000355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/>
      <c r="AC52" s="11">
        <v>1</v>
      </c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1024</v>
      </c>
      <c r="F53" s="8" t="s">
        <v>42</v>
      </c>
      <c r="G53" s="9">
        <v>0.34652777777777777</v>
      </c>
      <c r="H53" s="9">
        <v>0.34722222222222221</v>
      </c>
      <c r="I53" s="10">
        <f t="shared" si="6"/>
        <v>6.9444444444444198E-4</v>
      </c>
      <c r="J53" s="11">
        <v>4</v>
      </c>
      <c r="K53" s="11">
        <v>66.53</v>
      </c>
      <c r="L53" s="16">
        <f t="shared" si="7"/>
        <v>997.95000000000357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>
        <v>1</v>
      </c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1025</v>
      </c>
      <c r="F54" s="8" t="s">
        <v>42</v>
      </c>
      <c r="G54" s="9">
        <v>0.41180555555555554</v>
      </c>
      <c r="H54" s="9">
        <v>0.41197916666666667</v>
      </c>
      <c r="I54" s="10">
        <f t="shared" si="6"/>
        <v>1.7361111111113825E-4</v>
      </c>
      <c r="J54" s="11">
        <v>4</v>
      </c>
      <c r="K54" s="11">
        <v>53.16</v>
      </c>
      <c r="L54" s="16">
        <f t="shared" si="7"/>
        <v>3189.5999999995015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/>
      <c r="AC54" s="11">
        <v>1</v>
      </c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1026</v>
      </c>
      <c r="F55" s="8" t="s">
        <v>42</v>
      </c>
      <c r="G55" s="9">
        <v>0.41458333333333336</v>
      </c>
      <c r="H55" s="9">
        <v>0.41475694444444444</v>
      </c>
      <c r="I55" s="10">
        <f t="shared" si="6"/>
        <v>1.7361111111108274E-4</v>
      </c>
      <c r="J55" s="11">
        <v>4</v>
      </c>
      <c r="K55" s="11">
        <v>66.44</v>
      </c>
      <c r="L55" s="16">
        <f t="shared" si="7"/>
        <v>3986.4000000006513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/>
      <c r="AC55" s="11">
        <v>1</v>
      </c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1027</v>
      </c>
      <c r="F56" s="8" t="s">
        <v>42</v>
      </c>
      <c r="G56" s="9">
        <v>0.60069444444444442</v>
      </c>
      <c r="H56" s="9">
        <v>0.60086805555555556</v>
      </c>
      <c r="I56" s="10">
        <f t="shared" si="6"/>
        <v>1.7361111111113825E-4</v>
      </c>
      <c r="J56" s="11">
        <v>4</v>
      </c>
      <c r="K56" s="11">
        <v>65.25</v>
      </c>
      <c r="L56" s="16">
        <f t="shared" si="7"/>
        <v>3914.9999999993884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>
        <v>1</v>
      </c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1028</v>
      </c>
      <c r="F57" s="8" t="s">
        <v>42</v>
      </c>
      <c r="G57" s="9">
        <v>0.62847222222222221</v>
      </c>
      <c r="H57" s="9">
        <v>0.62864583333333335</v>
      </c>
      <c r="I57" s="10">
        <f t="shared" si="6"/>
        <v>1.7361111111113825E-4</v>
      </c>
      <c r="J57" s="11">
        <v>4</v>
      </c>
      <c r="K57" s="11">
        <v>66.739999999999995</v>
      </c>
      <c r="L57" s="16">
        <f t="shared" si="7"/>
        <v>4004.3999999993739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>
        <v>1</v>
      </c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1029</v>
      </c>
      <c r="F58" s="8" t="s">
        <v>42</v>
      </c>
      <c r="G58" s="9">
        <v>0.63263888888888886</v>
      </c>
      <c r="H58" s="9">
        <v>0.6328125</v>
      </c>
      <c r="I58" s="10">
        <f t="shared" si="6"/>
        <v>1.7361111111113825E-4</v>
      </c>
      <c r="J58" s="11">
        <v>4</v>
      </c>
      <c r="K58" s="11">
        <v>66.81</v>
      </c>
      <c r="L58" s="16">
        <f t="shared" si="7"/>
        <v>4008.5999999993733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/>
      <c r="AA58" s="11"/>
      <c r="AB58" s="11"/>
      <c r="AC58" s="11">
        <v>1</v>
      </c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1030</v>
      </c>
      <c r="F59" s="8" t="s">
        <v>42</v>
      </c>
      <c r="G59" s="9">
        <v>0.63749999999999996</v>
      </c>
      <c r="H59" s="9">
        <v>0.63767361111111109</v>
      </c>
      <c r="I59" s="10">
        <f t="shared" si="6"/>
        <v>1.7361111111113825E-4</v>
      </c>
      <c r="J59" s="11">
        <v>4</v>
      </c>
      <c r="K59" s="11">
        <v>67.180000000000007</v>
      </c>
      <c r="L59" s="16">
        <f t="shared" si="7"/>
        <v>4030.7999999993704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/>
      <c r="Z59" s="11"/>
      <c r="AA59" s="11"/>
      <c r="AB59" s="11"/>
      <c r="AC59" s="11">
        <v>1</v>
      </c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1031</v>
      </c>
      <c r="F60" s="8" t="s">
        <v>42</v>
      </c>
      <c r="G60" s="9">
        <v>0.64097222222222228</v>
      </c>
      <c r="H60" s="9">
        <v>0.6411458333333333</v>
      </c>
      <c r="I60" s="10">
        <f t="shared" si="6"/>
        <v>1.7361111111102723E-4</v>
      </c>
      <c r="J60" s="11">
        <v>4</v>
      </c>
      <c r="K60" s="11">
        <v>67.150000000000006</v>
      </c>
      <c r="L60" s="16">
        <f t="shared" si="7"/>
        <v>4029.0000000019468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/>
      <c r="AC60" s="11">
        <v>1</v>
      </c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/>
      <c r="F61" s="8" t="s">
        <v>42</v>
      </c>
      <c r="G61" s="9"/>
      <c r="H61" s="9"/>
      <c r="I61" s="10">
        <f t="shared" si="6"/>
        <v>0</v>
      </c>
      <c r="J61" s="11"/>
      <c r="K61" s="11"/>
      <c r="L61" s="16" t="str">
        <f t="shared" si="7"/>
        <v>0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 t="s">
        <v>1032</v>
      </c>
      <c r="E62" s="19" t="s">
        <v>1033</v>
      </c>
      <c r="F62" s="8" t="s">
        <v>42</v>
      </c>
      <c r="G62" s="9">
        <v>0.41597222222222224</v>
      </c>
      <c r="H62" s="9">
        <v>0.42638888888888887</v>
      </c>
      <c r="I62" s="10">
        <f t="shared" si="6"/>
        <v>1.041666666666663E-2</v>
      </c>
      <c r="J62" s="11">
        <v>5</v>
      </c>
      <c r="K62" s="11">
        <v>63.93</v>
      </c>
      <c r="L62" s="16">
        <f t="shared" si="7"/>
        <v>51.144000000000183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>
        <v>7.5</v>
      </c>
      <c r="Y62" s="11">
        <v>7.5</v>
      </c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1034</v>
      </c>
      <c r="F63" s="8" t="s">
        <v>42</v>
      </c>
      <c r="G63" s="9">
        <v>0.41944444444444445</v>
      </c>
      <c r="H63" s="9">
        <v>0.43125000000000002</v>
      </c>
      <c r="I63" s="10">
        <f t="shared" si="6"/>
        <v>1.1805555555555569E-2</v>
      </c>
      <c r="J63" s="11">
        <v>5</v>
      </c>
      <c r="K63" s="11">
        <v>63.91</v>
      </c>
      <c r="L63" s="16">
        <f t="shared" si="7"/>
        <v>45.112941176470535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>
        <v>8.5</v>
      </c>
      <c r="Y63" s="11">
        <v>8.5</v>
      </c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1035</v>
      </c>
      <c r="F64" s="8" t="s">
        <v>42</v>
      </c>
      <c r="G64" s="9">
        <v>0.49375000000000002</v>
      </c>
      <c r="H64" s="9">
        <v>0.50555555555555554</v>
      </c>
      <c r="I64" s="10">
        <f t="shared" si="6"/>
        <v>1.1805555555555514E-2</v>
      </c>
      <c r="J64" s="11">
        <v>5</v>
      </c>
      <c r="K64" s="11">
        <v>64.38</v>
      </c>
      <c r="L64" s="16">
        <f t="shared" si="7"/>
        <v>45.444705882353098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>
        <v>8.5</v>
      </c>
      <c r="Y64" s="11">
        <v>8.5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1036</v>
      </c>
      <c r="F65" s="8" t="s">
        <v>42</v>
      </c>
      <c r="G65" s="9">
        <v>0.49791666666666667</v>
      </c>
      <c r="H65" s="9">
        <v>0.51041666666666663</v>
      </c>
      <c r="I65" s="10">
        <f t="shared" si="6"/>
        <v>1.2499999999999956E-2</v>
      </c>
      <c r="J65" s="11">
        <v>5</v>
      </c>
      <c r="K65" s="11">
        <v>64.3</v>
      </c>
      <c r="L65" s="16">
        <f t="shared" si="7"/>
        <v>42.866666666666816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/>
      <c r="Y65" s="11"/>
      <c r="Z65" s="11">
        <v>9</v>
      </c>
      <c r="AA65" s="11">
        <v>9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1037</v>
      </c>
      <c r="F66" s="8" t="s">
        <v>42</v>
      </c>
      <c r="G66" s="9">
        <v>0.51875000000000004</v>
      </c>
      <c r="H66" s="9">
        <v>0.52916666666666667</v>
      </c>
      <c r="I66" s="10">
        <f t="shared" si="6"/>
        <v>1.041666666666663E-2</v>
      </c>
      <c r="J66" s="11">
        <v>5</v>
      </c>
      <c r="K66" s="11">
        <v>64.27</v>
      </c>
      <c r="L66" s="16">
        <f t="shared" si="7"/>
        <v>51.416000000000174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/>
      <c r="Y66" s="11">
        <v>7.5</v>
      </c>
      <c r="Z66" s="11"/>
      <c r="AA66" s="11">
        <v>7.5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1038</v>
      </c>
      <c r="F67" s="8" t="s">
        <v>42</v>
      </c>
      <c r="G67" s="9">
        <v>0.52013888888888893</v>
      </c>
      <c r="H67" s="9">
        <v>0.53055555555555556</v>
      </c>
      <c r="I67" s="10">
        <f t="shared" si="6"/>
        <v>1.041666666666663E-2</v>
      </c>
      <c r="J67" s="11">
        <v>5</v>
      </c>
      <c r="K67" s="11">
        <v>66.94</v>
      </c>
      <c r="L67" s="16">
        <f t="shared" si="7"/>
        <v>53.552000000000191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>
        <v>7.5</v>
      </c>
      <c r="Y67" s="11"/>
      <c r="Z67" s="11">
        <v>7.5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1039</v>
      </c>
      <c r="F68" s="8" t="s">
        <v>42</v>
      </c>
      <c r="G68" s="9">
        <v>0.53680555555555554</v>
      </c>
      <c r="H68" s="9">
        <v>0.54791666666666672</v>
      </c>
      <c r="I68" s="10">
        <f t="shared" si="6"/>
        <v>1.1111111111111183E-2</v>
      </c>
      <c r="J68" s="11">
        <v>5</v>
      </c>
      <c r="K68" s="11">
        <v>65.849999999999994</v>
      </c>
      <c r="L68" s="16">
        <f t="shared" si="7"/>
        <v>49.387499999999676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>
        <v>8</v>
      </c>
      <c r="Y68" s="11">
        <v>8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1040</v>
      </c>
      <c r="F69" s="8" t="s">
        <v>42</v>
      </c>
      <c r="G69" s="9">
        <v>0.54027777777777775</v>
      </c>
      <c r="H69" s="9">
        <v>0.55138888888888893</v>
      </c>
      <c r="I69" s="10">
        <f t="shared" si="6"/>
        <v>1.1111111111111183E-2</v>
      </c>
      <c r="J69" s="11">
        <v>5</v>
      </c>
      <c r="K69" s="11">
        <v>67.45</v>
      </c>
      <c r="L69" s="16">
        <f t="shared" si="7"/>
        <v>50.587499999999672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>
        <v>8</v>
      </c>
      <c r="AA69" s="11">
        <v>8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127"/>
      <c r="E70" s="19" t="s">
        <v>1041</v>
      </c>
      <c r="F70" s="8" t="s">
        <v>42</v>
      </c>
      <c r="G70" s="9">
        <v>0.55625000000000002</v>
      </c>
      <c r="H70" s="9">
        <v>0.56805555555555554</v>
      </c>
      <c r="I70" s="10">
        <f t="shared" si="6"/>
        <v>1.1805555555555514E-2</v>
      </c>
      <c r="J70" s="11">
        <v>5</v>
      </c>
      <c r="K70" s="11">
        <v>70.040000000000006</v>
      </c>
      <c r="L70" s="16">
        <f t="shared" si="7"/>
        <v>49.440000000000175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>
        <v>8.5</v>
      </c>
      <c r="Y70" s="11">
        <v>8.5</v>
      </c>
      <c r="Z70" s="11"/>
      <c r="AA70" s="11"/>
      <c r="AB70" s="11"/>
      <c r="AC70" s="11"/>
      <c r="AD70" s="11"/>
      <c r="AE70" s="11"/>
      <c r="AF70" s="11"/>
      <c r="AG70" s="12"/>
      <c r="AH70" s="12"/>
      <c r="AI70" s="12"/>
      <c r="AJ70" s="11"/>
      <c r="AK70" s="11"/>
      <c r="AL70" s="14"/>
    </row>
    <row r="71" spans="2:38" ht="25.05" customHeight="1">
      <c r="B71" s="13"/>
      <c r="C71" s="29"/>
      <c r="D71" s="30"/>
      <c r="E71" s="19" t="s">
        <v>1042</v>
      </c>
      <c r="F71" s="8" t="s">
        <v>42</v>
      </c>
      <c r="G71" s="9">
        <v>0.56041666666666667</v>
      </c>
      <c r="H71" s="9">
        <v>0.57152777777777775</v>
      </c>
      <c r="I71" s="10">
        <f t="shared" si="6"/>
        <v>1.1111111111111072E-2</v>
      </c>
      <c r="J71" s="11">
        <v>5</v>
      </c>
      <c r="K71" s="11">
        <v>69.11</v>
      </c>
      <c r="L71" s="16">
        <f t="shared" si="7"/>
        <v>51.832500000000181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>
        <v>8</v>
      </c>
      <c r="AA71" s="11">
        <v>8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1043</v>
      </c>
      <c r="F72" s="8" t="s">
        <v>42</v>
      </c>
      <c r="G72" s="9">
        <v>0.5756944444444444</v>
      </c>
      <c r="H72" s="9">
        <v>0.58750000000000002</v>
      </c>
      <c r="I72" s="10">
        <f t="shared" si="6"/>
        <v>1.1805555555555625E-2</v>
      </c>
      <c r="J72" s="11">
        <v>5</v>
      </c>
      <c r="K72" s="11">
        <v>67.05</v>
      </c>
      <c r="L72" s="16">
        <f t="shared" si="7"/>
        <v>47.329411764705604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>
        <v>8.5</v>
      </c>
      <c r="Y72" s="11">
        <v>8.5</v>
      </c>
      <c r="Z72" s="11"/>
      <c r="AA72" s="11"/>
      <c r="AB72" s="11"/>
      <c r="AC72" s="11"/>
      <c r="AD72" s="11"/>
      <c r="AE72" s="11"/>
      <c r="AF72" s="11"/>
      <c r="AG72" s="12"/>
      <c r="AH72" s="12"/>
      <c r="AI72" s="12"/>
      <c r="AJ72" s="11"/>
      <c r="AK72" s="11"/>
      <c r="AL72" s="14"/>
    </row>
    <row r="73" spans="2:38" ht="25.05" customHeight="1">
      <c r="B73" s="13"/>
      <c r="C73" s="29"/>
      <c r="D73" s="30"/>
      <c r="E73" s="19" t="s">
        <v>1044</v>
      </c>
      <c r="F73" s="8" t="s">
        <v>42</v>
      </c>
      <c r="G73" s="9">
        <v>0.5805555555555556</v>
      </c>
      <c r="H73" s="9">
        <v>0.59166666666666667</v>
      </c>
      <c r="I73" s="10">
        <f t="shared" si="6"/>
        <v>1.1111111111111072E-2</v>
      </c>
      <c r="J73" s="11">
        <v>5</v>
      </c>
      <c r="K73" s="11">
        <v>65.58</v>
      </c>
      <c r="L73" s="16">
        <f t="shared" si="7"/>
        <v>49.185000000000173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/>
      <c r="Y73" s="11"/>
      <c r="Z73" s="11">
        <v>8</v>
      </c>
      <c r="AA73" s="11">
        <v>8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1045</v>
      </c>
      <c r="F74" s="8" t="s">
        <v>42</v>
      </c>
      <c r="G74" s="9">
        <v>0.59791666666666665</v>
      </c>
      <c r="H74" s="9">
        <v>0.60972222222222228</v>
      </c>
      <c r="I74" s="10">
        <f t="shared" si="6"/>
        <v>1.1805555555555625E-2</v>
      </c>
      <c r="J74" s="11">
        <v>5</v>
      </c>
      <c r="K74" s="11">
        <v>68.3</v>
      </c>
      <c r="L74" s="16">
        <f t="shared" si="7"/>
        <v>48.211764705882068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>
        <v>8.5</v>
      </c>
      <c r="Y74" s="11">
        <v>8.5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1046</v>
      </c>
      <c r="F75" s="8" t="s">
        <v>42</v>
      </c>
      <c r="G75" s="9">
        <v>0.6020833333333333</v>
      </c>
      <c r="H75" s="9">
        <v>0.61388888888888893</v>
      </c>
      <c r="I75" s="10">
        <f t="shared" ref="I75" si="22">H75-G75</f>
        <v>1.1805555555555625E-2</v>
      </c>
      <c r="J75" s="11">
        <v>5</v>
      </c>
      <c r="K75" s="11">
        <v>66.89</v>
      </c>
      <c r="L75" s="16">
        <f t="shared" ref="L75" si="23">IFERROR(((K75/(J75*I75)/24)),"0")</f>
        <v>47.216470588235019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/>
      <c r="X75" s="11"/>
      <c r="Y75" s="11"/>
      <c r="Z75" s="11">
        <v>8.5</v>
      </c>
      <c r="AA75" s="11">
        <v>8.5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1047</v>
      </c>
      <c r="F76" s="8" t="s">
        <v>42</v>
      </c>
      <c r="G76" s="9">
        <v>0.50069444444444444</v>
      </c>
      <c r="H76" s="9">
        <v>0.53333333333333333</v>
      </c>
      <c r="I76" s="10">
        <f t="shared" si="6"/>
        <v>3.2638888888888884E-2</v>
      </c>
      <c r="J76" s="11">
        <v>4</v>
      </c>
      <c r="K76" s="11">
        <v>124.94</v>
      </c>
      <c r="L76" s="16">
        <f t="shared" si="7"/>
        <v>39.874468085106386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/>
      <c r="X76" s="11"/>
      <c r="Y76" s="11"/>
      <c r="Z76" s="11"/>
      <c r="AA76" s="11"/>
      <c r="AB76" s="11"/>
      <c r="AC76" s="11">
        <v>47</v>
      </c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1048</v>
      </c>
      <c r="F77" s="8" t="s">
        <v>42</v>
      </c>
      <c r="G77" s="9">
        <v>0.50624999999999998</v>
      </c>
      <c r="H77" s="9">
        <v>0.53611111111111109</v>
      </c>
      <c r="I77" s="10">
        <f t="shared" si="6"/>
        <v>2.9861111111111116E-2</v>
      </c>
      <c r="J77" s="11">
        <v>4</v>
      </c>
      <c r="K77" s="11">
        <v>125.84</v>
      </c>
      <c r="L77" s="16">
        <f t="shared" si="7"/>
        <v>43.897674418604645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/>
      <c r="X77" s="11"/>
      <c r="Y77" s="11"/>
      <c r="Z77" s="11"/>
      <c r="AA77" s="11"/>
      <c r="AB77" s="11"/>
      <c r="AC77" s="11"/>
      <c r="AD77" s="11">
        <v>43</v>
      </c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1049</v>
      </c>
      <c r="F78" s="8" t="s">
        <v>42</v>
      </c>
      <c r="G78" s="9">
        <v>0.54583333333333328</v>
      </c>
      <c r="H78" s="9">
        <v>0.57708333333333328</v>
      </c>
      <c r="I78" s="10">
        <f t="shared" si="6"/>
        <v>3.125E-2</v>
      </c>
      <c r="J78" s="11">
        <v>4</v>
      </c>
      <c r="K78" s="11">
        <v>124.18</v>
      </c>
      <c r="L78" s="16">
        <f t="shared" si="7"/>
        <v>41.393333333333338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/>
      <c r="X78" s="11"/>
      <c r="Y78" s="11"/>
      <c r="Z78" s="11"/>
      <c r="AA78" s="11"/>
      <c r="AB78" s="11"/>
      <c r="AC78" s="11">
        <v>45</v>
      </c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1050</v>
      </c>
      <c r="F79" s="8" t="s">
        <v>42</v>
      </c>
      <c r="G79" s="9">
        <v>0.54791666666666672</v>
      </c>
      <c r="H79" s="9">
        <v>0.57777777777777772</v>
      </c>
      <c r="I79" s="10">
        <f t="shared" si="6"/>
        <v>2.9861111111111005E-2</v>
      </c>
      <c r="J79" s="11">
        <v>4</v>
      </c>
      <c r="K79" s="11">
        <v>127.76</v>
      </c>
      <c r="L79" s="16">
        <f t="shared" si="7"/>
        <v>44.567441860465273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/>
      <c r="X79" s="11"/>
      <c r="Y79" s="11"/>
      <c r="Z79" s="11"/>
      <c r="AA79" s="11"/>
      <c r="AB79" s="11"/>
      <c r="AC79" s="11"/>
      <c r="AD79" s="11">
        <v>43</v>
      </c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1051</v>
      </c>
      <c r="F80" s="8" t="s">
        <v>42</v>
      </c>
      <c r="G80" s="9">
        <v>0.58819444444444446</v>
      </c>
      <c r="H80" s="9">
        <v>0.62083333333333335</v>
      </c>
      <c r="I80" s="10">
        <f t="shared" si="6"/>
        <v>3.2638888888888884E-2</v>
      </c>
      <c r="J80" s="11">
        <v>4</v>
      </c>
      <c r="K80" s="11">
        <v>128.1</v>
      </c>
      <c r="L80" s="16">
        <f t="shared" si="7"/>
        <v>40.882978723404257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/>
      <c r="X80" s="11"/>
      <c r="Y80" s="11"/>
      <c r="Z80" s="11"/>
      <c r="AA80" s="11"/>
      <c r="AB80" s="11"/>
      <c r="AC80" s="11"/>
      <c r="AD80" s="11">
        <v>47</v>
      </c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1052</v>
      </c>
      <c r="F81" s="8" t="s">
        <v>42</v>
      </c>
      <c r="G81" s="9">
        <v>0.63263888888888886</v>
      </c>
      <c r="H81" s="9">
        <v>0.66666666666666663</v>
      </c>
      <c r="I81" s="10">
        <f t="shared" si="6"/>
        <v>3.4027777777777768E-2</v>
      </c>
      <c r="J81" s="11">
        <v>4</v>
      </c>
      <c r="K81" s="11">
        <v>123.94</v>
      </c>
      <c r="L81" s="16">
        <f t="shared" si="7"/>
        <v>37.940816326530623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/>
      <c r="X81" s="11"/>
      <c r="Y81" s="11"/>
      <c r="Z81" s="11"/>
      <c r="AA81" s="11"/>
      <c r="AB81" s="11"/>
      <c r="AC81" s="11"/>
      <c r="AD81" s="11">
        <v>49</v>
      </c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1053</v>
      </c>
      <c r="F82" s="8" t="s">
        <v>42</v>
      </c>
      <c r="G82" s="9">
        <v>0.65069444444444446</v>
      </c>
      <c r="H82" s="9">
        <v>0.68194444444444446</v>
      </c>
      <c r="I82" s="10">
        <f t="shared" si="6"/>
        <v>3.125E-2</v>
      </c>
      <c r="J82" s="11">
        <v>4</v>
      </c>
      <c r="K82" s="11">
        <v>128.94999999999999</v>
      </c>
      <c r="L82" s="16">
        <f t="shared" si="7"/>
        <v>42.983333333333327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/>
      <c r="X82" s="11"/>
      <c r="Y82" s="11"/>
      <c r="Z82" s="11"/>
      <c r="AA82" s="11"/>
      <c r="AB82" s="11"/>
      <c r="AC82" s="11">
        <v>45</v>
      </c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1054</v>
      </c>
      <c r="F83" s="8" t="s">
        <v>42</v>
      </c>
      <c r="G83" s="9">
        <v>0.67847222222222225</v>
      </c>
      <c r="H83" s="9">
        <v>0.71319444444444446</v>
      </c>
      <c r="I83" s="10">
        <f t="shared" si="6"/>
        <v>3.472222222222221E-2</v>
      </c>
      <c r="J83" s="11">
        <v>4</v>
      </c>
      <c r="K83" s="11">
        <v>126.95</v>
      </c>
      <c r="L83" s="16">
        <f t="shared" si="7"/>
        <v>38.085000000000015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/>
      <c r="X83" s="11"/>
      <c r="Y83" s="11"/>
      <c r="Z83" s="11"/>
      <c r="AA83" s="11"/>
      <c r="AB83" s="11"/>
      <c r="AC83" s="11"/>
      <c r="AD83" s="11">
        <v>50</v>
      </c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1055</v>
      </c>
      <c r="F84" s="8" t="s">
        <v>42</v>
      </c>
      <c r="G84" s="9">
        <v>0.69305555555555554</v>
      </c>
      <c r="H84" s="9">
        <v>0.73124999999999996</v>
      </c>
      <c r="I84" s="10">
        <f t="shared" si="6"/>
        <v>3.819444444444442E-2</v>
      </c>
      <c r="J84" s="11">
        <v>4</v>
      </c>
      <c r="K84" s="11">
        <v>122.06</v>
      </c>
      <c r="L84" s="16">
        <f t="shared" si="7"/>
        <v>33.28909090909093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>
        <v>55</v>
      </c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1056</v>
      </c>
      <c r="F85" s="8" t="s">
        <v>42</v>
      </c>
      <c r="G85" s="9">
        <v>0.72222222222222221</v>
      </c>
      <c r="H85" s="9">
        <v>0.75624999999999998</v>
      </c>
      <c r="I85" s="10">
        <f t="shared" si="6"/>
        <v>3.4027777777777768E-2</v>
      </c>
      <c r="J85" s="11">
        <v>4</v>
      </c>
      <c r="K85" s="11">
        <v>127.74</v>
      </c>
      <c r="L85" s="16">
        <f t="shared" si="7"/>
        <v>39.10408163265307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/>
      <c r="X85" s="11"/>
      <c r="Y85" s="11"/>
      <c r="Z85" s="11"/>
      <c r="AA85" s="11"/>
      <c r="AB85" s="11"/>
      <c r="AC85" s="11"/>
      <c r="AD85" s="11">
        <v>49</v>
      </c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1057</v>
      </c>
      <c r="F86" s="8" t="s">
        <v>42</v>
      </c>
      <c r="G86" s="9">
        <v>0.73750000000000004</v>
      </c>
      <c r="H86" s="9">
        <v>0.7729166666666667</v>
      </c>
      <c r="I86" s="10">
        <f t="shared" si="6"/>
        <v>3.5416666666666652E-2</v>
      </c>
      <c r="J86" s="11">
        <v>4</v>
      </c>
      <c r="K86" s="11">
        <v>127.11</v>
      </c>
      <c r="L86" s="16">
        <f t="shared" si="7"/>
        <v>37.385294117647071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/>
      <c r="X86" s="11"/>
      <c r="Y86" s="11"/>
      <c r="Z86" s="11"/>
      <c r="AA86" s="11"/>
      <c r="AB86" s="11">
        <v>51</v>
      </c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1058</v>
      </c>
      <c r="F87" s="8" t="s">
        <v>42</v>
      </c>
      <c r="G87" s="9">
        <v>0.73958333333333337</v>
      </c>
      <c r="H87" s="9">
        <v>0.77430555555555558</v>
      </c>
      <c r="I87" s="10">
        <f t="shared" si="6"/>
        <v>3.472222222222221E-2</v>
      </c>
      <c r="J87" s="11">
        <v>4</v>
      </c>
      <c r="K87" s="11">
        <v>127.78</v>
      </c>
      <c r="L87" s="16">
        <f t="shared" si="7"/>
        <v>38.33400000000001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/>
      <c r="X87" s="11"/>
      <c r="Y87" s="11"/>
      <c r="Z87" s="11"/>
      <c r="AA87" s="11"/>
      <c r="AB87" s="11"/>
      <c r="AC87" s="11">
        <v>50</v>
      </c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1059</v>
      </c>
      <c r="F88" s="8" t="s">
        <v>42</v>
      </c>
      <c r="G88" s="9">
        <v>0.76736111111111116</v>
      </c>
      <c r="H88" s="9">
        <v>0.79513888888888884</v>
      </c>
      <c r="I88" s="10">
        <f t="shared" si="6"/>
        <v>2.7777777777777679E-2</v>
      </c>
      <c r="J88" s="11">
        <v>4</v>
      </c>
      <c r="K88" s="11">
        <v>127.15</v>
      </c>
      <c r="L88" s="16">
        <f t="shared" si="7"/>
        <v>47.681250000000176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/>
      <c r="X88" s="11"/>
      <c r="Y88" s="11"/>
      <c r="Z88" s="11"/>
      <c r="AA88" s="11"/>
      <c r="AB88" s="11"/>
      <c r="AC88" s="11"/>
      <c r="AD88" s="11">
        <v>40</v>
      </c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1060</v>
      </c>
      <c r="F89" s="8" t="s">
        <v>42</v>
      </c>
      <c r="G89" s="9">
        <v>0.51388888888888884</v>
      </c>
      <c r="H89" s="9">
        <v>0.51666666666666672</v>
      </c>
      <c r="I89" s="10">
        <f t="shared" si="6"/>
        <v>2.7777777777778789E-3</v>
      </c>
      <c r="J89" s="11">
        <v>8</v>
      </c>
      <c r="K89" s="11">
        <v>46.28</v>
      </c>
      <c r="L89" s="16">
        <f t="shared" si="7"/>
        <v>86.774999999996851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3</v>
      </c>
      <c r="W89" s="12"/>
      <c r="X89" s="11"/>
      <c r="Y89" s="11"/>
      <c r="Z89" s="11"/>
      <c r="AA89" s="11"/>
      <c r="AB89" s="11">
        <v>4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127"/>
      <c r="E90" s="19" t="s">
        <v>1061</v>
      </c>
      <c r="F90" s="8" t="s">
        <v>42</v>
      </c>
      <c r="G90" s="9">
        <v>0.5229166666666667</v>
      </c>
      <c r="H90" s="9">
        <v>0.52569444444444446</v>
      </c>
      <c r="I90" s="10">
        <f t="shared" si="6"/>
        <v>2.7777777777777679E-3</v>
      </c>
      <c r="J90" s="11">
        <v>8</v>
      </c>
      <c r="K90" s="11">
        <v>46.07</v>
      </c>
      <c r="L90" s="16">
        <f t="shared" si="7"/>
        <v>86.381250000000307</v>
      </c>
      <c r="M90" s="11"/>
      <c r="N90" s="11"/>
      <c r="O90" s="11"/>
      <c r="P90" s="11"/>
      <c r="Q90" s="11"/>
      <c r="R90" s="12"/>
      <c r="S90" s="12"/>
      <c r="T90" s="11"/>
      <c r="U90" s="11"/>
      <c r="V90" s="12">
        <v>3</v>
      </c>
      <c r="W90" s="12"/>
      <c r="X90" s="11"/>
      <c r="Y90" s="11"/>
      <c r="Z90" s="11"/>
      <c r="AA90" s="11"/>
      <c r="AB90" s="11">
        <v>4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1062</v>
      </c>
      <c r="F91" s="8" t="s">
        <v>42</v>
      </c>
      <c r="G91" s="9">
        <v>0.52986111111111112</v>
      </c>
      <c r="H91" s="9">
        <v>0.53263888888888888</v>
      </c>
      <c r="I91" s="10">
        <f t="shared" si="6"/>
        <v>2.7777777777777679E-3</v>
      </c>
      <c r="J91" s="11">
        <v>8</v>
      </c>
      <c r="K91" s="11">
        <v>45.84</v>
      </c>
      <c r="L91" s="16">
        <f t="shared" si="7"/>
        <v>85.950000000000315</v>
      </c>
      <c r="M91" s="11"/>
      <c r="N91" s="11"/>
      <c r="O91" s="11"/>
      <c r="P91" s="11"/>
      <c r="Q91" s="11"/>
      <c r="R91" s="12"/>
      <c r="S91" s="12"/>
      <c r="T91" s="11"/>
      <c r="U91" s="11"/>
      <c r="V91" s="12">
        <v>3</v>
      </c>
      <c r="W91" s="12"/>
      <c r="X91" s="11"/>
      <c r="Y91" s="11"/>
      <c r="Z91" s="11"/>
      <c r="AA91" s="11"/>
      <c r="AB91" s="11">
        <v>4</v>
      </c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1063</v>
      </c>
      <c r="F92" s="8" t="s">
        <v>42</v>
      </c>
      <c r="G92" s="9">
        <v>0.53819444444444442</v>
      </c>
      <c r="H92" s="9">
        <v>0.54097222222222219</v>
      </c>
      <c r="I92" s="10">
        <f t="shared" si="6"/>
        <v>2.7777777777777679E-3</v>
      </c>
      <c r="J92" s="11">
        <v>8</v>
      </c>
      <c r="K92" s="11">
        <v>46.88</v>
      </c>
      <c r="L92" s="16">
        <f t="shared" si="7"/>
        <v>87.900000000000318</v>
      </c>
      <c r="M92" s="11"/>
      <c r="N92" s="11"/>
      <c r="O92" s="11"/>
      <c r="P92" s="11"/>
      <c r="Q92" s="11"/>
      <c r="R92" s="12"/>
      <c r="S92" s="12"/>
      <c r="T92" s="11"/>
      <c r="U92" s="11"/>
      <c r="V92" s="12">
        <v>3</v>
      </c>
      <c r="W92" s="12"/>
      <c r="X92" s="11"/>
      <c r="Y92" s="11"/>
      <c r="Z92" s="11"/>
      <c r="AA92" s="11"/>
      <c r="AB92" s="11">
        <v>4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1064</v>
      </c>
      <c r="F93" s="8" t="s">
        <v>42</v>
      </c>
      <c r="G93" s="9">
        <v>0.54513888888888884</v>
      </c>
      <c r="H93" s="9">
        <v>0.54791666666666672</v>
      </c>
      <c r="I93" s="10">
        <f t="shared" si="6"/>
        <v>2.7777777777778789E-3</v>
      </c>
      <c r="J93" s="11">
        <v>8</v>
      </c>
      <c r="K93" s="11">
        <v>45.57</v>
      </c>
      <c r="L93" s="16">
        <f t="shared" si="7"/>
        <v>85.443749999996896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3</v>
      </c>
      <c r="W93" s="12"/>
      <c r="X93" s="11"/>
      <c r="Y93" s="11"/>
      <c r="Z93" s="11"/>
      <c r="AA93" s="11"/>
      <c r="AB93" s="11">
        <v>4</v>
      </c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1065</v>
      </c>
      <c r="F94" s="8" t="s">
        <v>42</v>
      </c>
      <c r="G94" s="9">
        <v>0.55208333333333337</v>
      </c>
      <c r="H94" s="9">
        <v>0.55486111111111114</v>
      </c>
      <c r="I94" s="10">
        <f t="shared" si="6"/>
        <v>2.7777777777777679E-3</v>
      </c>
      <c r="J94" s="11">
        <v>8</v>
      </c>
      <c r="K94" s="11">
        <v>48.64</v>
      </c>
      <c r="L94" s="16">
        <f t="shared" si="7"/>
        <v>91.20000000000033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3</v>
      </c>
      <c r="X94" s="11"/>
      <c r="Y94" s="11"/>
      <c r="Z94" s="11"/>
      <c r="AA94" s="11"/>
      <c r="AB94" s="11">
        <v>4</v>
      </c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1066</v>
      </c>
      <c r="F95" s="8" t="s">
        <v>42</v>
      </c>
      <c r="G95" s="9">
        <v>0.55902777777777779</v>
      </c>
      <c r="H95" s="9">
        <v>0.56180555555555556</v>
      </c>
      <c r="I95" s="10">
        <f t="shared" si="6"/>
        <v>2.7777777777777679E-3</v>
      </c>
      <c r="J95" s="11">
        <v>8</v>
      </c>
      <c r="K95" s="11">
        <v>46.48</v>
      </c>
      <c r="L95" s="16">
        <f t="shared" si="7"/>
        <v>87.150000000000304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3</v>
      </c>
      <c r="W95" s="12"/>
      <c r="X95" s="11"/>
      <c r="Y95" s="11"/>
      <c r="Z95" s="11"/>
      <c r="AA95" s="11"/>
      <c r="AB95" s="11">
        <v>4</v>
      </c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1067</v>
      </c>
      <c r="F96" s="8" t="s">
        <v>42</v>
      </c>
      <c r="G96" s="9">
        <v>0.56597222222222221</v>
      </c>
      <c r="H96" s="9">
        <v>0.56874999999999998</v>
      </c>
      <c r="I96" s="10">
        <f t="shared" si="6"/>
        <v>2.7777777777777679E-3</v>
      </c>
      <c r="J96" s="11">
        <v>8</v>
      </c>
      <c r="K96" s="11">
        <v>46.19</v>
      </c>
      <c r="L96" s="16">
        <f t="shared" si="7"/>
        <v>86.606250000000315</v>
      </c>
      <c r="M96" s="11"/>
      <c r="N96" s="11"/>
      <c r="O96" s="11"/>
      <c r="P96" s="11"/>
      <c r="Q96" s="11"/>
      <c r="R96" s="12"/>
      <c r="S96" s="12"/>
      <c r="T96" s="11"/>
      <c r="U96" s="11"/>
      <c r="V96" s="12">
        <v>3</v>
      </c>
      <c r="W96" s="12"/>
      <c r="X96" s="11"/>
      <c r="Y96" s="11"/>
      <c r="Z96" s="11"/>
      <c r="AA96" s="11"/>
      <c r="AB96" s="11">
        <v>4</v>
      </c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1068</v>
      </c>
      <c r="F97" s="8" t="s">
        <v>42</v>
      </c>
      <c r="G97" s="9">
        <v>0.57291666666666663</v>
      </c>
      <c r="H97" s="9">
        <v>0.5756944444444444</v>
      </c>
      <c r="I97" s="10">
        <f t="shared" si="6"/>
        <v>2.7777777777777679E-3</v>
      </c>
      <c r="J97" s="11">
        <v>8</v>
      </c>
      <c r="K97" s="11">
        <v>46.3</v>
      </c>
      <c r="L97" s="16">
        <f t="shared" si="7"/>
        <v>86.812500000000298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3</v>
      </c>
      <c r="X97" s="11"/>
      <c r="Y97" s="11"/>
      <c r="Z97" s="11"/>
      <c r="AA97" s="11"/>
      <c r="AB97" s="11">
        <v>4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1069</v>
      </c>
      <c r="F98" s="8" t="s">
        <v>42</v>
      </c>
      <c r="G98" s="9">
        <v>0.57986111111111116</v>
      </c>
      <c r="H98" s="9">
        <v>0.58263888888888893</v>
      </c>
      <c r="I98" s="10">
        <f t="shared" si="6"/>
        <v>2.7777777777777679E-3</v>
      </c>
      <c r="J98" s="11">
        <v>8</v>
      </c>
      <c r="K98" s="11">
        <v>45.69</v>
      </c>
      <c r="L98" s="16">
        <f t="shared" si="7"/>
        <v>85.668750000000287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3</v>
      </c>
      <c r="X98" s="11"/>
      <c r="Y98" s="11"/>
      <c r="Z98" s="11"/>
      <c r="AA98" s="11"/>
      <c r="AB98" s="11">
        <v>4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1070</v>
      </c>
      <c r="F99" s="8" t="s">
        <v>42</v>
      </c>
      <c r="G99" s="9">
        <v>0.58819444444444446</v>
      </c>
      <c r="H99" s="9">
        <v>0.59097222222222223</v>
      </c>
      <c r="I99" s="10">
        <f t="shared" si="6"/>
        <v>2.7777777777777679E-3</v>
      </c>
      <c r="J99" s="11">
        <v>8</v>
      </c>
      <c r="K99" s="11">
        <v>45.83</v>
      </c>
      <c r="L99" s="16">
        <f t="shared" si="7"/>
        <v>85.931250000000304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>
        <v>3</v>
      </c>
      <c r="X99" s="11"/>
      <c r="Y99" s="11"/>
      <c r="Z99" s="11"/>
      <c r="AA99" s="11"/>
      <c r="AB99" s="11">
        <v>4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1071</v>
      </c>
      <c r="F100" s="8" t="s">
        <v>42</v>
      </c>
      <c r="G100" s="9">
        <v>0.59583333333333333</v>
      </c>
      <c r="H100" s="9">
        <v>0.59861111111111109</v>
      </c>
      <c r="I100" s="10">
        <f t="shared" si="6"/>
        <v>2.7777777777777679E-3</v>
      </c>
      <c r="J100" s="11">
        <v>8</v>
      </c>
      <c r="K100" s="11">
        <v>46.36</v>
      </c>
      <c r="L100" s="16">
        <f t="shared" si="7"/>
        <v>86.92500000000031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>
        <v>3</v>
      </c>
      <c r="X100" s="11"/>
      <c r="Y100" s="11"/>
      <c r="Z100" s="11"/>
      <c r="AA100" s="11"/>
      <c r="AB100" s="11">
        <v>4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1072</v>
      </c>
      <c r="F101" s="8" t="s">
        <v>42</v>
      </c>
      <c r="G101" s="9">
        <v>0.60416666666666663</v>
      </c>
      <c r="H101" s="9">
        <v>0.6069444444444444</v>
      </c>
      <c r="I101" s="10">
        <f t="shared" si="6"/>
        <v>2.7777777777777679E-3</v>
      </c>
      <c r="J101" s="11">
        <v>8</v>
      </c>
      <c r="K101" s="11">
        <v>45.86</v>
      </c>
      <c r="L101" s="16">
        <f t="shared" si="7"/>
        <v>85.987500000000296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>
        <v>3</v>
      </c>
      <c r="X101" s="11"/>
      <c r="Y101" s="11"/>
      <c r="Z101" s="11"/>
      <c r="AA101" s="11"/>
      <c r="AB101" s="11">
        <v>4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1073</v>
      </c>
      <c r="F102" s="8" t="s">
        <v>42</v>
      </c>
      <c r="G102" s="9">
        <v>0.6118055555555556</v>
      </c>
      <c r="H102" s="9">
        <v>0.61458333333333337</v>
      </c>
      <c r="I102" s="10">
        <f t="shared" si="6"/>
        <v>2.7777777777777679E-3</v>
      </c>
      <c r="J102" s="11">
        <v>8</v>
      </c>
      <c r="K102" s="11">
        <v>45.68</v>
      </c>
      <c r="L102" s="16">
        <f t="shared" si="7"/>
        <v>85.650000000000304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>
        <v>3</v>
      </c>
      <c r="X102" s="11"/>
      <c r="Y102" s="11"/>
      <c r="Z102" s="11"/>
      <c r="AA102" s="11"/>
      <c r="AB102" s="11">
        <v>4</v>
      </c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1074</v>
      </c>
      <c r="F103" s="8" t="s">
        <v>42</v>
      </c>
      <c r="G103" s="9">
        <v>0.61875000000000002</v>
      </c>
      <c r="H103" s="9">
        <v>0.62152777777777779</v>
      </c>
      <c r="I103" s="10">
        <f t="shared" si="6"/>
        <v>2.7777777777777679E-3</v>
      </c>
      <c r="J103" s="11">
        <v>8</v>
      </c>
      <c r="K103" s="11">
        <v>46.29</v>
      </c>
      <c r="L103" s="16">
        <f t="shared" si="7"/>
        <v>86.793750000000315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3</v>
      </c>
      <c r="X103" s="11"/>
      <c r="Y103" s="11"/>
      <c r="Z103" s="11"/>
      <c r="AA103" s="11"/>
      <c r="AB103" s="11">
        <v>4</v>
      </c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5" customHeight="1">
      <c r="B104" s="13"/>
      <c r="C104" s="29"/>
      <c r="D104" s="30"/>
      <c r="E104" s="19" t="s">
        <v>1075</v>
      </c>
      <c r="F104" s="8" t="s">
        <v>42</v>
      </c>
      <c r="G104" s="9">
        <v>0.62569444444444444</v>
      </c>
      <c r="H104" s="9">
        <v>0.62847222222222221</v>
      </c>
      <c r="I104" s="10">
        <f t="shared" si="6"/>
        <v>2.7777777777777679E-3</v>
      </c>
      <c r="J104" s="11">
        <v>8</v>
      </c>
      <c r="K104" s="11">
        <v>46.17</v>
      </c>
      <c r="L104" s="16">
        <f t="shared" si="7"/>
        <v>86.568750000000307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>
        <v>3</v>
      </c>
      <c r="X104" s="11"/>
      <c r="Y104" s="11"/>
      <c r="Z104" s="11"/>
      <c r="AA104" s="11"/>
      <c r="AB104" s="11">
        <v>4</v>
      </c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1076</v>
      </c>
      <c r="F105" s="8" t="s">
        <v>42</v>
      </c>
      <c r="G105" s="9">
        <v>0.6333333333333333</v>
      </c>
      <c r="H105" s="9">
        <v>0.63611111111111107</v>
      </c>
      <c r="I105" s="10">
        <f t="shared" si="6"/>
        <v>2.7777777777777679E-3</v>
      </c>
      <c r="J105" s="11">
        <v>8</v>
      </c>
      <c r="K105" s="11">
        <v>46.35</v>
      </c>
      <c r="L105" s="16">
        <f t="shared" si="7"/>
        <v>86.906250000000298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3</v>
      </c>
      <c r="X105" s="11"/>
      <c r="Y105" s="11"/>
      <c r="Z105" s="11"/>
      <c r="AA105" s="11"/>
      <c r="AB105" s="11">
        <v>4</v>
      </c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1077</v>
      </c>
      <c r="F106" s="8" t="s">
        <v>42</v>
      </c>
      <c r="G106" s="9">
        <v>0.64027777777777772</v>
      </c>
      <c r="H106" s="9">
        <v>0.64236111111111116</v>
      </c>
      <c r="I106" s="10">
        <f t="shared" si="6"/>
        <v>2.083333333333437E-3</v>
      </c>
      <c r="J106" s="11">
        <v>8</v>
      </c>
      <c r="K106" s="11">
        <v>45.66</v>
      </c>
      <c r="L106" s="16">
        <f t="shared" si="7"/>
        <v>114.14999999999431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3</v>
      </c>
      <c r="W106" s="12"/>
      <c r="X106" s="11"/>
      <c r="Y106" s="11"/>
      <c r="Z106" s="11"/>
      <c r="AA106" s="11"/>
      <c r="AB106" s="11">
        <v>4</v>
      </c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1078</v>
      </c>
      <c r="F107" s="8" t="s">
        <v>42</v>
      </c>
      <c r="G107" s="9">
        <v>0.6479166666666667</v>
      </c>
      <c r="H107" s="9">
        <v>0.65069444444444446</v>
      </c>
      <c r="I107" s="10">
        <f t="shared" si="6"/>
        <v>2.7777777777777679E-3</v>
      </c>
      <c r="J107" s="11">
        <v>8</v>
      </c>
      <c r="K107" s="11">
        <v>46.43</v>
      </c>
      <c r="L107" s="16">
        <f t="shared" si="7"/>
        <v>87.056250000000304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>
        <v>3</v>
      </c>
      <c r="X107" s="11"/>
      <c r="Y107" s="11"/>
      <c r="Z107" s="11"/>
      <c r="AA107" s="11"/>
      <c r="AB107" s="11">
        <v>4</v>
      </c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1079</v>
      </c>
      <c r="F108" s="8" t="s">
        <v>42</v>
      </c>
      <c r="G108" s="9">
        <v>0.65486111111111112</v>
      </c>
      <c r="H108" s="9">
        <v>0.65763888888888888</v>
      </c>
      <c r="I108" s="10">
        <f t="shared" ref="I108:I136" si="24">H108-G108</f>
        <v>2.7777777777777679E-3</v>
      </c>
      <c r="J108" s="11">
        <v>8</v>
      </c>
      <c r="K108" s="11">
        <v>46.02</v>
      </c>
      <c r="L108" s="16">
        <f t="shared" si="7"/>
        <v>86.287500000000307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>
        <v>3</v>
      </c>
      <c r="X108" s="11"/>
      <c r="Y108" s="11"/>
      <c r="Z108" s="11"/>
      <c r="AA108" s="11"/>
      <c r="AB108" s="11">
        <v>4</v>
      </c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1080</v>
      </c>
      <c r="F109" s="8" t="s">
        <v>42</v>
      </c>
      <c r="G109" s="9">
        <v>0.66249999999999998</v>
      </c>
      <c r="H109" s="9">
        <v>0.66527777777777775</v>
      </c>
      <c r="I109" s="10">
        <f t="shared" si="24"/>
        <v>2.7777777777777679E-3</v>
      </c>
      <c r="J109" s="11">
        <v>8</v>
      </c>
      <c r="K109" s="11">
        <v>45.78</v>
      </c>
      <c r="L109" s="16">
        <f t="shared" ref="L109:L136" si="25">IFERROR(((K109/(J109*I109)/24)),"0")</f>
        <v>85.837500000000304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>
        <v>3</v>
      </c>
      <c r="W109" s="12"/>
      <c r="X109" s="11"/>
      <c r="Y109" s="11"/>
      <c r="Z109" s="11"/>
      <c r="AA109" s="11"/>
      <c r="AB109" s="11">
        <v>4</v>
      </c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1081</v>
      </c>
      <c r="F110" s="8" t="s">
        <v>42</v>
      </c>
      <c r="G110" s="9">
        <v>0.67291666666666672</v>
      </c>
      <c r="H110" s="9">
        <v>0.67569444444444449</v>
      </c>
      <c r="I110" s="10">
        <f t="shared" si="24"/>
        <v>2.7777777777777679E-3</v>
      </c>
      <c r="J110" s="11">
        <v>8</v>
      </c>
      <c r="K110" s="11">
        <v>46</v>
      </c>
      <c r="L110" s="16">
        <f t="shared" si="25"/>
        <v>86.250000000000298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>
        <v>3</v>
      </c>
      <c r="W110" s="12"/>
      <c r="X110" s="11"/>
      <c r="Y110" s="11"/>
      <c r="Z110" s="11"/>
      <c r="AA110" s="11"/>
      <c r="AB110" s="11">
        <v>4</v>
      </c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1082</v>
      </c>
      <c r="F111" s="8" t="s">
        <v>42</v>
      </c>
      <c r="G111" s="9">
        <v>0.68055555555555558</v>
      </c>
      <c r="H111" s="9">
        <v>0.68333333333333335</v>
      </c>
      <c r="I111" s="10">
        <f t="shared" si="24"/>
        <v>2.7777777777777679E-3</v>
      </c>
      <c r="J111" s="11">
        <v>8</v>
      </c>
      <c r="K111" s="11">
        <v>46.36</v>
      </c>
      <c r="L111" s="16">
        <f t="shared" si="25"/>
        <v>86.92500000000031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>
        <v>3</v>
      </c>
      <c r="W111" s="12"/>
      <c r="X111" s="11"/>
      <c r="Y111" s="11"/>
      <c r="Z111" s="11"/>
      <c r="AA111" s="11"/>
      <c r="AB111" s="11">
        <v>4</v>
      </c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1083</v>
      </c>
      <c r="F112" s="8" t="s">
        <v>42</v>
      </c>
      <c r="G112" s="9">
        <v>0.68819444444444444</v>
      </c>
      <c r="H112" s="9">
        <v>0.69097222222222221</v>
      </c>
      <c r="I112" s="10">
        <f t="shared" si="24"/>
        <v>2.7777777777777679E-3</v>
      </c>
      <c r="J112" s="11">
        <v>8</v>
      </c>
      <c r="K112" s="11">
        <v>45.59</v>
      </c>
      <c r="L112" s="16">
        <f t="shared" si="25"/>
        <v>85.481250000000315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>
        <v>3</v>
      </c>
      <c r="W112" s="12"/>
      <c r="X112" s="11"/>
      <c r="Y112" s="11"/>
      <c r="Z112" s="11"/>
      <c r="AA112" s="11"/>
      <c r="AB112" s="11">
        <v>4</v>
      </c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9" t="s">
        <v>1084</v>
      </c>
      <c r="F113" s="8" t="s">
        <v>42</v>
      </c>
      <c r="G113" s="9">
        <v>0.6958333333333333</v>
      </c>
      <c r="H113" s="9">
        <v>0.69861111111111107</v>
      </c>
      <c r="I113" s="10">
        <f t="shared" si="24"/>
        <v>2.7777777777777679E-3</v>
      </c>
      <c r="J113" s="11">
        <v>8</v>
      </c>
      <c r="K113" s="11">
        <v>46.78</v>
      </c>
      <c r="L113" s="16">
        <f t="shared" si="25"/>
        <v>87.712500000000318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>
        <v>3</v>
      </c>
      <c r="W113" s="12"/>
      <c r="X113" s="11"/>
      <c r="Y113" s="11"/>
      <c r="Z113" s="11"/>
      <c r="AA113" s="11"/>
      <c r="AB113" s="11">
        <v>4</v>
      </c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 t="s">
        <v>1085</v>
      </c>
      <c r="F114" s="8" t="s">
        <v>42</v>
      </c>
      <c r="G114" s="9">
        <v>0.70277777777777772</v>
      </c>
      <c r="H114" s="9">
        <v>0.7055555555555556</v>
      </c>
      <c r="I114" s="10">
        <f t="shared" si="24"/>
        <v>2.7777777777778789E-3</v>
      </c>
      <c r="J114" s="11">
        <v>8</v>
      </c>
      <c r="K114" s="11">
        <v>45.73</v>
      </c>
      <c r="L114" s="16">
        <f t="shared" si="25"/>
        <v>85.743749999996865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>
        <v>3</v>
      </c>
      <c r="W114" s="12"/>
      <c r="X114" s="11"/>
      <c r="Y114" s="11"/>
      <c r="Z114" s="11"/>
      <c r="AA114" s="11"/>
      <c r="AB114" s="11">
        <v>4</v>
      </c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9" t="s">
        <v>1086</v>
      </c>
      <c r="F115" s="8" t="s">
        <v>42</v>
      </c>
      <c r="G115" s="9">
        <v>0.70972222222222225</v>
      </c>
      <c r="H115" s="9">
        <v>0.71250000000000002</v>
      </c>
      <c r="I115" s="10">
        <f t="shared" si="24"/>
        <v>2.7777777777777679E-3</v>
      </c>
      <c r="J115" s="11">
        <v>8</v>
      </c>
      <c r="K115" s="11">
        <v>45.5</v>
      </c>
      <c r="L115" s="16">
        <f t="shared" si="25"/>
        <v>85.312500000000298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>
        <v>3</v>
      </c>
      <c r="W115" s="12"/>
      <c r="X115" s="11"/>
      <c r="Y115" s="11"/>
      <c r="Z115" s="11"/>
      <c r="AA115" s="11"/>
      <c r="AB115" s="11">
        <v>4</v>
      </c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2:38" ht="25.05" customHeight="1">
      <c r="B116" s="13"/>
      <c r="C116" s="29"/>
      <c r="D116" s="30"/>
      <c r="E116" s="19" t="s">
        <v>1087</v>
      </c>
      <c r="F116" s="8" t="s">
        <v>42</v>
      </c>
      <c r="G116" s="9">
        <v>0.71666666666666667</v>
      </c>
      <c r="H116" s="9">
        <v>0.71944444444444444</v>
      </c>
      <c r="I116" s="10">
        <f t="shared" si="24"/>
        <v>2.7777777777777679E-3</v>
      </c>
      <c r="J116" s="11">
        <v>8</v>
      </c>
      <c r="K116" s="11">
        <v>45.66</v>
      </c>
      <c r="L116" s="16">
        <f t="shared" si="25"/>
        <v>85.612500000000296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3</v>
      </c>
      <c r="X116" s="11"/>
      <c r="Y116" s="11"/>
      <c r="Z116" s="11"/>
      <c r="AA116" s="11"/>
      <c r="AB116" s="11">
        <v>4</v>
      </c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2:38" ht="25.05" customHeight="1">
      <c r="B117" s="13"/>
      <c r="C117" s="29"/>
      <c r="D117" s="30"/>
      <c r="E117" s="19" t="s">
        <v>1088</v>
      </c>
      <c r="F117" s="8" t="s">
        <v>42</v>
      </c>
      <c r="G117" s="9">
        <v>0.72430555555555554</v>
      </c>
      <c r="H117" s="9">
        <v>0.7270833333333333</v>
      </c>
      <c r="I117" s="10">
        <f t="shared" si="24"/>
        <v>2.7777777777777679E-3</v>
      </c>
      <c r="J117" s="11">
        <v>8</v>
      </c>
      <c r="K117" s="11">
        <v>46.52</v>
      </c>
      <c r="L117" s="16">
        <f t="shared" si="25"/>
        <v>87.225000000000307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>
        <v>3</v>
      </c>
      <c r="W117" s="12"/>
      <c r="X117" s="11"/>
      <c r="Y117" s="11"/>
      <c r="Z117" s="11"/>
      <c r="AA117" s="11"/>
      <c r="AB117" s="11">
        <v>4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2:38" ht="25.05" customHeight="1">
      <c r="B118" s="13"/>
      <c r="C118" s="29"/>
      <c r="D118" s="30"/>
      <c r="E118" s="19" t="s">
        <v>1089</v>
      </c>
      <c r="F118" s="8" t="s">
        <v>42</v>
      </c>
      <c r="G118" s="9">
        <v>0.73124999999999996</v>
      </c>
      <c r="H118" s="9">
        <v>0.73402777777777772</v>
      </c>
      <c r="I118" s="10">
        <f t="shared" si="24"/>
        <v>2.7777777777777679E-3</v>
      </c>
      <c r="J118" s="11">
        <v>8</v>
      </c>
      <c r="K118" s="11">
        <v>46.29</v>
      </c>
      <c r="L118" s="16">
        <f t="shared" si="25"/>
        <v>86.793750000000315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>
        <v>3</v>
      </c>
      <c r="W118" s="12"/>
      <c r="X118" s="11"/>
      <c r="Y118" s="11"/>
      <c r="Z118" s="11"/>
      <c r="AA118" s="11"/>
      <c r="AB118" s="11">
        <v>4</v>
      </c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2:38" ht="25.05" customHeight="1">
      <c r="B119" s="13"/>
      <c r="C119" s="29"/>
      <c r="D119" s="30"/>
      <c r="E119" s="19"/>
      <c r="F119" s="8" t="s">
        <v>42</v>
      </c>
      <c r="G119" s="9"/>
      <c r="H119" s="9"/>
      <c r="I119" s="10">
        <f t="shared" si="24"/>
        <v>0</v>
      </c>
      <c r="J119" s="11"/>
      <c r="K119" s="11"/>
      <c r="L119" s="16" t="str">
        <f t="shared" si="25"/>
        <v>0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 t="s">
        <v>1013</v>
      </c>
      <c r="E120" s="19" t="s">
        <v>1090</v>
      </c>
      <c r="F120" s="8" t="s">
        <v>42</v>
      </c>
      <c r="G120" s="9">
        <v>0.38124999999999998</v>
      </c>
      <c r="H120" s="9">
        <v>0.38819444444444445</v>
      </c>
      <c r="I120" s="10">
        <f t="shared" si="24"/>
        <v>6.9444444444444753E-3</v>
      </c>
      <c r="J120" s="11">
        <v>1</v>
      </c>
      <c r="K120" s="11">
        <f>0.09*520</f>
        <v>46.8</v>
      </c>
      <c r="L120" s="16">
        <f t="shared" si="25"/>
        <v>280.79999999999876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>
        <v>10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 t="s">
        <v>1091</v>
      </c>
      <c r="F121" s="8" t="s">
        <v>42</v>
      </c>
      <c r="G121" s="9">
        <v>0.39027777777777778</v>
      </c>
      <c r="H121" s="9">
        <v>0.3972222222222222</v>
      </c>
      <c r="I121" s="10">
        <f t="shared" si="24"/>
        <v>6.9444444444444198E-3</v>
      </c>
      <c r="J121" s="11">
        <v>1</v>
      </c>
      <c r="K121" s="11">
        <f t="shared" ref="K121:K134" si="26">0.09*520</f>
        <v>46.8</v>
      </c>
      <c r="L121" s="16">
        <f t="shared" si="25"/>
        <v>280.80000000000098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>
        <v>10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30"/>
      <c r="E122" s="19" t="s">
        <v>1092</v>
      </c>
      <c r="F122" s="8" t="s">
        <v>42</v>
      </c>
      <c r="G122" s="9">
        <v>0.40138888888888891</v>
      </c>
      <c r="H122" s="9">
        <v>0.40833333333333333</v>
      </c>
      <c r="I122" s="10">
        <f t="shared" si="24"/>
        <v>6.9444444444444198E-3</v>
      </c>
      <c r="J122" s="11">
        <v>1</v>
      </c>
      <c r="K122" s="11">
        <f t="shared" si="26"/>
        <v>46.8</v>
      </c>
      <c r="L122" s="16">
        <f t="shared" si="25"/>
        <v>280.80000000000098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/>
      <c r="W122" s="12">
        <v>10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/>
      <c r="E123" s="19" t="s">
        <v>1093</v>
      </c>
      <c r="F123" s="8" t="s">
        <v>42</v>
      </c>
      <c r="G123" s="9">
        <v>0.41319444444444442</v>
      </c>
      <c r="H123" s="9">
        <v>0.4201388888888889</v>
      </c>
      <c r="I123" s="10">
        <f t="shared" si="24"/>
        <v>6.9444444444444753E-3</v>
      </c>
      <c r="J123" s="11">
        <v>1</v>
      </c>
      <c r="K123" s="11">
        <f t="shared" si="26"/>
        <v>46.8</v>
      </c>
      <c r="L123" s="16">
        <f t="shared" si="25"/>
        <v>280.79999999999876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/>
      <c r="W123" s="12">
        <v>10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2:38" ht="25.05" customHeight="1">
      <c r="B124" s="13"/>
      <c r="C124" s="29"/>
      <c r="D124" s="30"/>
      <c r="E124" s="19" t="s">
        <v>1094</v>
      </c>
      <c r="F124" s="8" t="s">
        <v>42</v>
      </c>
      <c r="G124" s="9">
        <v>0.43472222222222223</v>
      </c>
      <c r="H124" s="9">
        <v>0.44166666666666665</v>
      </c>
      <c r="I124" s="10">
        <f t="shared" si="24"/>
        <v>6.9444444444444198E-3</v>
      </c>
      <c r="J124" s="11">
        <v>1</v>
      </c>
      <c r="K124" s="11">
        <f t="shared" si="26"/>
        <v>46.8</v>
      </c>
      <c r="L124" s="16">
        <f t="shared" si="25"/>
        <v>280.80000000000098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/>
      <c r="W124" s="12">
        <v>10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/>
      <c r="E125" s="19" t="s">
        <v>1095</v>
      </c>
      <c r="F125" s="8" t="s">
        <v>42</v>
      </c>
      <c r="G125" s="9">
        <v>0.51736111111111116</v>
      </c>
      <c r="H125" s="9">
        <v>0.52430555555555558</v>
      </c>
      <c r="I125" s="10">
        <f t="shared" si="24"/>
        <v>6.9444444444444198E-3</v>
      </c>
      <c r="J125" s="11">
        <v>1</v>
      </c>
      <c r="K125" s="11">
        <f t="shared" si="26"/>
        <v>46.8</v>
      </c>
      <c r="L125" s="16">
        <f t="shared" si="25"/>
        <v>280.80000000000098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>
        <v>10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19" t="s">
        <v>1096</v>
      </c>
      <c r="F126" s="8" t="s">
        <v>42</v>
      </c>
      <c r="G126" s="9">
        <v>0.52777777777777779</v>
      </c>
      <c r="H126" s="9">
        <v>0.53472222222222221</v>
      </c>
      <c r="I126" s="10">
        <f t="shared" si="24"/>
        <v>6.9444444444444198E-3</v>
      </c>
      <c r="J126" s="11">
        <v>1</v>
      </c>
      <c r="K126" s="11">
        <f t="shared" si="26"/>
        <v>46.8</v>
      </c>
      <c r="L126" s="16">
        <f t="shared" si="25"/>
        <v>280.80000000000098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>
        <v>10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0"/>
      <c r="E127" s="19" t="s">
        <v>1097</v>
      </c>
      <c r="F127" s="8" t="s">
        <v>42</v>
      </c>
      <c r="G127" s="9">
        <v>0.53541666666666665</v>
      </c>
      <c r="H127" s="9">
        <v>0.54236111111111107</v>
      </c>
      <c r="I127" s="10">
        <f t="shared" si="24"/>
        <v>6.9444444444444198E-3</v>
      </c>
      <c r="J127" s="11">
        <v>1</v>
      </c>
      <c r="K127" s="11">
        <f t="shared" si="26"/>
        <v>46.8</v>
      </c>
      <c r="L127" s="16">
        <f t="shared" si="25"/>
        <v>280.80000000000098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/>
      <c r="W127" s="12">
        <v>10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0"/>
      <c r="E128" s="19" t="s">
        <v>1098</v>
      </c>
      <c r="F128" s="8" t="s">
        <v>42</v>
      </c>
      <c r="G128" s="9">
        <v>0.56666666666666665</v>
      </c>
      <c r="H128" s="9">
        <v>0.57361111111111107</v>
      </c>
      <c r="I128" s="10">
        <f t="shared" si="24"/>
        <v>6.9444444444444198E-3</v>
      </c>
      <c r="J128" s="11">
        <v>1</v>
      </c>
      <c r="K128" s="11">
        <f t="shared" si="26"/>
        <v>46.8</v>
      </c>
      <c r="L128" s="16">
        <f t="shared" si="25"/>
        <v>280.80000000000098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/>
      <c r="W128" s="12">
        <v>10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4"/>
    </row>
    <row r="129" spans="1:38" ht="25.05" customHeight="1">
      <c r="B129" s="13"/>
      <c r="C129" s="29"/>
      <c r="D129" s="30"/>
      <c r="E129" s="19" t="s">
        <v>1099</v>
      </c>
      <c r="F129" s="8" t="s">
        <v>42</v>
      </c>
      <c r="G129" s="9">
        <v>0.65972222222222221</v>
      </c>
      <c r="H129" s="9">
        <v>0.66666666666666663</v>
      </c>
      <c r="I129" s="10">
        <f t="shared" si="24"/>
        <v>6.9444444444444198E-3</v>
      </c>
      <c r="J129" s="11">
        <v>1</v>
      </c>
      <c r="K129" s="11">
        <f t="shared" si="26"/>
        <v>46.8</v>
      </c>
      <c r="L129" s="16">
        <f t="shared" si="25"/>
        <v>280.80000000000098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/>
      <c r="W129" s="12">
        <v>10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4"/>
    </row>
    <row r="130" spans="1:38" ht="25.05" customHeight="1">
      <c r="B130" s="13"/>
      <c r="C130" s="29"/>
      <c r="D130" s="30"/>
      <c r="E130" s="19" t="s">
        <v>1100</v>
      </c>
      <c r="F130" s="8" t="s">
        <v>42</v>
      </c>
      <c r="G130" s="9">
        <v>0.67152777777777772</v>
      </c>
      <c r="H130" s="9">
        <v>0.67847222222222225</v>
      </c>
      <c r="I130" s="10">
        <f t="shared" si="24"/>
        <v>6.9444444444445308E-3</v>
      </c>
      <c r="J130" s="11">
        <v>1</v>
      </c>
      <c r="K130" s="11">
        <f t="shared" si="26"/>
        <v>46.8</v>
      </c>
      <c r="L130" s="16">
        <f t="shared" si="25"/>
        <v>280.79999999999649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/>
      <c r="W130" s="12">
        <v>10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4"/>
    </row>
    <row r="131" spans="1:38" ht="25.05" customHeight="1">
      <c r="B131" s="13"/>
      <c r="C131" s="29"/>
      <c r="D131" s="30"/>
      <c r="E131" s="19" t="s">
        <v>1101</v>
      </c>
      <c r="F131" s="8" t="s">
        <v>42</v>
      </c>
      <c r="G131" s="9">
        <v>0.68472222222222223</v>
      </c>
      <c r="H131" s="9">
        <v>0.69166666666666665</v>
      </c>
      <c r="I131" s="10">
        <f t="shared" si="24"/>
        <v>6.9444444444444198E-3</v>
      </c>
      <c r="J131" s="11">
        <v>1</v>
      </c>
      <c r="K131" s="11">
        <f t="shared" si="26"/>
        <v>46.8</v>
      </c>
      <c r="L131" s="16">
        <f t="shared" si="25"/>
        <v>280.80000000000098</v>
      </c>
      <c r="M131" s="11"/>
      <c r="N131" s="11"/>
      <c r="O131" s="11"/>
      <c r="P131" s="11"/>
      <c r="Q131" s="11"/>
      <c r="R131" s="12"/>
      <c r="S131" s="12"/>
      <c r="T131" s="11"/>
      <c r="U131" s="11"/>
      <c r="V131" s="12"/>
      <c r="W131" s="12">
        <v>10</v>
      </c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spans="1:38" ht="25.05" customHeight="1">
      <c r="B132" s="13"/>
      <c r="C132" s="29"/>
      <c r="D132" s="6"/>
      <c r="E132" s="19" t="s">
        <v>1102</v>
      </c>
      <c r="F132" s="8" t="s">
        <v>42</v>
      </c>
      <c r="G132" s="9">
        <v>0.69305555555555554</v>
      </c>
      <c r="H132" s="9">
        <v>0.7</v>
      </c>
      <c r="I132" s="10">
        <f t="shared" si="24"/>
        <v>6.9444444444444198E-3</v>
      </c>
      <c r="J132" s="11">
        <v>1</v>
      </c>
      <c r="K132" s="11">
        <f t="shared" si="26"/>
        <v>46.8</v>
      </c>
      <c r="L132" s="16">
        <f t="shared" si="25"/>
        <v>280.80000000000098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/>
      <c r="W132" s="12">
        <v>10</v>
      </c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spans="1:38" ht="25.05" customHeight="1">
      <c r="B133" s="13"/>
      <c r="C133" s="29"/>
      <c r="D133" s="127"/>
      <c r="E133" s="19" t="s">
        <v>1103</v>
      </c>
      <c r="F133" s="8" t="s">
        <v>42</v>
      </c>
      <c r="G133" s="9">
        <v>0.70208333333333328</v>
      </c>
      <c r="H133" s="9">
        <v>0.70902777777777781</v>
      </c>
      <c r="I133" s="10">
        <f t="shared" si="24"/>
        <v>6.9444444444445308E-3</v>
      </c>
      <c r="J133" s="11">
        <v>1</v>
      </c>
      <c r="K133" s="11">
        <f t="shared" si="26"/>
        <v>46.8</v>
      </c>
      <c r="L133" s="16">
        <f t="shared" si="25"/>
        <v>280.79999999999649</v>
      </c>
      <c r="M133" s="11"/>
      <c r="N133" s="11"/>
      <c r="O133" s="11"/>
      <c r="P133" s="11"/>
      <c r="Q133" s="11"/>
      <c r="R133" s="12"/>
      <c r="S133" s="12"/>
      <c r="T133" s="11"/>
      <c r="U133" s="11"/>
      <c r="V133" s="12">
        <v>10</v>
      </c>
      <c r="W133" s="12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4"/>
    </row>
    <row r="134" spans="1:38" ht="25.05" customHeight="1">
      <c r="B134" s="13"/>
      <c r="C134" s="29"/>
      <c r="D134" s="30"/>
      <c r="E134" s="19" t="s">
        <v>1104</v>
      </c>
      <c r="F134" s="8" t="s">
        <v>42</v>
      </c>
      <c r="G134" s="9">
        <v>0.71111111111111114</v>
      </c>
      <c r="H134" s="9">
        <v>0.71805555555555556</v>
      </c>
      <c r="I134" s="10">
        <f t="shared" si="24"/>
        <v>6.9444444444444198E-3</v>
      </c>
      <c r="J134" s="11">
        <v>1</v>
      </c>
      <c r="K134" s="11">
        <f t="shared" si="26"/>
        <v>46.8</v>
      </c>
      <c r="L134" s="16">
        <f t="shared" si="25"/>
        <v>280.80000000000098</v>
      </c>
      <c r="M134" s="11"/>
      <c r="N134" s="11"/>
      <c r="O134" s="11"/>
      <c r="P134" s="11"/>
      <c r="Q134" s="11"/>
      <c r="R134" s="12"/>
      <c r="S134" s="12"/>
      <c r="T134" s="11"/>
      <c r="U134" s="11"/>
      <c r="V134" s="12"/>
      <c r="W134" s="12">
        <v>10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spans="1:38" ht="25.05" customHeight="1">
      <c r="B135" s="13"/>
      <c r="C135" s="29"/>
      <c r="D135" s="30"/>
      <c r="E135" s="19" t="s">
        <v>1105</v>
      </c>
      <c r="F135" s="8" t="s">
        <v>42</v>
      </c>
      <c r="G135" s="9">
        <v>0.71944444444444444</v>
      </c>
      <c r="H135" s="9">
        <v>0.72638888888888886</v>
      </c>
      <c r="I135" s="10">
        <f t="shared" si="24"/>
        <v>6.9444444444444198E-3</v>
      </c>
      <c r="J135" s="11">
        <v>1</v>
      </c>
      <c r="K135" s="11">
        <f>0.09*208</f>
        <v>18.72</v>
      </c>
      <c r="L135" s="16">
        <f t="shared" si="25"/>
        <v>112.32000000000039</v>
      </c>
      <c r="M135" s="11"/>
      <c r="N135" s="11"/>
      <c r="O135" s="11"/>
      <c r="P135" s="11"/>
      <c r="Q135" s="11"/>
      <c r="R135" s="12"/>
      <c r="S135" s="12"/>
      <c r="T135" s="11"/>
      <c r="U135" s="11"/>
      <c r="V135" s="12"/>
      <c r="W135" s="12">
        <v>10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4"/>
    </row>
    <row r="136" spans="1:38" ht="25.05" customHeight="1">
      <c r="B136" s="13"/>
      <c r="C136" s="29"/>
      <c r="D136" s="30"/>
      <c r="E136" s="19"/>
      <c r="F136" s="8" t="s">
        <v>42</v>
      </c>
      <c r="G136" s="9"/>
      <c r="H136" s="9"/>
      <c r="I136" s="10">
        <f t="shared" si="24"/>
        <v>0</v>
      </c>
      <c r="J136" s="11"/>
      <c r="K136" s="11"/>
      <c r="L136" s="16" t="str">
        <f t="shared" si="25"/>
        <v>0</v>
      </c>
      <c r="M136" s="11"/>
      <c r="N136" s="11"/>
      <c r="O136" s="11"/>
      <c r="P136" s="11"/>
      <c r="Q136" s="11"/>
      <c r="R136" s="12"/>
      <c r="S136" s="12"/>
      <c r="T136" s="11"/>
      <c r="U136" s="11"/>
      <c r="V136" s="12"/>
      <c r="W136" s="12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4"/>
    </row>
    <row r="137" spans="1:38" s="28" customFormat="1" ht="25.5" customHeight="1" thickBot="1">
      <c r="A137" s="2"/>
      <c r="B137" s="32"/>
      <c r="C137" s="33"/>
      <c r="D137" s="34"/>
      <c r="E137" s="35"/>
      <c r="F137" s="35"/>
      <c r="G137" s="36"/>
      <c r="H137" s="36"/>
      <c r="I137" s="37"/>
      <c r="J137" s="38"/>
      <c r="K137" s="38">
        <f t="shared" ref="K137:AL137" si="27">SUM(K25:K136)</f>
        <v>6514.9100000000008</v>
      </c>
      <c r="L137" s="39">
        <f t="shared" si="27"/>
        <v>44474.202723524111</v>
      </c>
      <c r="M137" s="38">
        <f t="shared" si="27"/>
        <v>0</v>
      </c>
      <c r="N137" s="38">
        <f t="shared" si="27"/>
        <v>0</v>
      </c>
      <c r="O137" s="38">
        <f t="shared" si="27"/>
        <v>0</v>
      </c>
      <c r="P137" s="38">
        <f t="shared" si="27"/>
        <v>0</v>
      </c>
      <c r="Q137" s="38">
        <f t="shared" si="27"/>
        <v>0</v>
      </c>
      <c r="R137" s="38">
        <f t="shared" si="27"/>
        <v>0</v>
      </c>
      <c r="S137" s="38">
        <f t="shared" si="27"/>
        <v>0</v>
      </c>
      <c r="T137" s="38">
        <f t="shared" si="27"/>
        <v>0</v>
      </c>
      <c r="U137" s="38">
        <f t="shared" si="27"/>
        <v>0</v>
      </c>
      <c r="V137" s="38">
        <f t="shared" si="27"/>
        <v>115</v>
      </c>
      <c r="W137" s="38">
        <f t="shared" si="27"/>
        <v>195</v>
      </c>
      <c r="X137" s="38">
        <f t="shared" si="27"/>
        <v>65.5</v>
      </c>
      <c r="Y137" s="38">
        <f t="shared" si="27"/>
        <v>65.5</v>
      </c>
      <c r="Z137" s="38">
        <f t="shared" si="27"/>
        <v>49</v>
      </c>
      <c r="AA137" s="38">
        <f t="shared" si="27"/>
        <v>49</v>
      </c>
      <c r="AB137" s="38">
        <f t="shared" si="27"/>
        <v>198</v>
      </c>
      <c r="AC137" s="38">
        <f t="shared" si="27"/>
        <v>265</v>
      </c>
      <c r="AD137" s="38">
        <f t="shared" si="27"/>
        <v>345</v>
      </c>
      <c r="AE137" s="38">
        <f t="shared" si="27"/>
        <v>0</v>
      </c>
      <c r="AF137" s="38">
        <f t="shared" si="27"/>
        <v>0</v>
      </c>
      <c r="AG137" s="38">
        <f t="shared" si="27"/>
        <v>0</v>
      </c>
      <c r="AH137" s="38">
        <f t="shared" si="27"/>
        <v>0</v>
      </c>
      <c r="AI137" s="38">
        <f t="shared" si="27"/>
        <v>0</v>
      </c>
      <c r="AJ137" s="38">
        <f t="shared" si="27"/>
        <v>0</v>
      </c>
      <c r="AK137" s="38">
        <f t="shared" si="27"/>
        <v>0</v>
      </c>
      <c r="AL137" s="38">
        <f t="shared" si="27"/>
        <v>0</v>
      </c>
    </row>
    <row r="138" spans="1:38" ht="38.1" customHeight="1" thickBot="1">
      <c r="B138" s="40" t="s">
        <v>45</v>
      </c>
      <c r="C138" s="41"/>
      <c r="D138" s="41"/>
      <c r="E138" s="41"/>
      <c r="F138" s="41"/>
      <c r="G138" s="41"/>
      <c r="H138" s="41"/>
      <c r="I138" s="41"/>
      <c r="J138" s="41"/>
      <c r="K138" s="42">
        <f>K17+K24+K137</f>
        <v>8547.51</v>
      </c>
      <c r="L138" s="42">
        <f>L17+L24+L137</f>
        <v>45674.557128709319</v>
      </c>
      <c r="M138" s="43">
        <f t="shared" ref="M138:AL138" si="28">(M17+M24+M137)/(480-15-30)</f>
        <v>0.15632183908045977</v>
      </c>
      <c r="N138" s="43">
        <f t="shared" si="28"/>
        <v>0</v>
      </c>
      <c r="O138" s="43">
        <f t="shared" si="28"/>
        <v>0</v>
      </c>
      <c r="P138" s="43">
        <f t="shared" si="28"/>
        <v>0</v>
      </c>
      <c r="Q138" s="43">
        <f t="shared" si="28"/>
        <v>0</v>
      </c>
      <c r="R138" s="43">
        <f t="shared" si="28"/>
        <v>0</v>
      </c>
      <c r="S138" s="43">
        <f t="shared" si="28"/>
        <v>1.4942528735632183</v>
      </c>
      <c r="T138" s="43">
        <f t="shared" si="28"/>
        <v>0</v>
      </c>
      <c r="U138" s="43">
        <f t="shared" si="28"/>
        <v>0</v>
      </c>
      <c r="V138" s="43">
        <f t="shared" si="28"/>
        <v>0.26436781609195403</v>
      </c>
      <c r="W138" s="43">
        <f t="shared" si="28"/>
        <v>0.44827586206896552</v>
      </c>
      <c r="X138" s="43">
        <f t="shared" si="28"/>
        <v>0.15057471264367817</v>
      </c>
      <c r="Y138" s="43">
        <f t="shared" si="28"/>
        <v>0.15057471264367817</v>
      </c>
      <c r="Z138" s="43">
        <f t="shared" si="28"/>
        <v>0.11264367816091954</v>
      </c>
      <c r="AA138" s="43">
        <f t="shared" si="28"/>
        <v>0.11264367816091954</v>
      </c>
      <c r="AB138" s="43">
        <f t="shared" si="28"/>
        <v>0.45517241379310347</v>
      </c>
      <c r="AC138" s="43">
        <f t="shared" si="28"/>
        <v>0.60919540229885061</v>
      </c>
      <c r="AD138" s="43">
        <f t="shared" si="28"/>
        <v>0.7931034482758621</v>
      </c>
      <c r="AE138" s="43">
        <f t="shared" si="28"/>
        <v>0</v>
      </c>
      <c r="AF138" s="43">
        <f t="shared" si="28"/>
        <v>0</v>
      </c>
      <c r="AG138" s="43">
        <f t="shared" si="28"/>
        <v>0</v>
      </c>
      <c r="AH138" s="43">
        <f t="shared" si="28"/>
        <v>0</v>
      </c>
      <c r="AI138" s="43">
        <f t="shared" si="28"/>
        <v>0</v>
      </c>
      <c r="AJ138" s="43">
        <f t="shared" si="28"/>
        <v>0</v>
      </c>
      <c r="AK138" s="43">
        <f t="shared" si="28"/>
        <v>0</v>
      </c>
      <c r="AL138" s="43">
        <f t="shared" si="28"/>
        <v>0</v>
      </c>
    </row>
    <row r="139" spans="1:38" ht="25.05" customHeight="1">
      <c r="B139" s="44"/>
      <c r="C139" s="44"/>
      <c r="D139" s="44"/>
      <c r="E139" s="45"/>
      <c r="F139" s="45"/>
      <c r="G139" s="45"/>
      <c r="H139" s="45"/>
      <c r="I139" s="46"/>
      <c r="J139" s="46"/>
      <c r="K139" s="45"/>
      <c r="L139" s="47"/>
      <c r="M139" s="47"/>
      <c r="N139" s="47"/>
      <c r="O139" s="47"/>
      <c r="P139" s="47"/>
      <c r="Q139" s="45"/>
      <c r="R139" s="45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  <c r="AI139" s="45"/>
      <c r="AJ139" s="45"/>
    </row>
    <row r="140" spans="1:38" ht="25.05" customHeight="1">
      <c r="B140" s="44"/>
      <c r="C140" s="44"/>
      <c r="D140" s="44"/>
      <c r="E140" s="45"/>
      <c r="F140" s="45"/>
      <c r="G140" s="45"/>
      <c r="H140" s="45"/>
      <c r="I140" s="48" t="s">
        <v>46</v>
      </c>
      <c r="J140" s="46"/>
      <c r="K140" s="45"/>
      <c r="L140" s="47"/>
      <c r="M140" s="47"/>
      <c r="N140" s="47"/>
      <c r="O140" s="47"/>
      <c r="P140" s="47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</row>
    <row r="141" spans="1:38" ht="25.05" customHeight="1">
      <c r="B141" s="44"/>
      <c r="C141" s="44"/>
      <c r="D141" s="44"/>
      <c r="E141" s="45"/>
      <c r="F141" s="45"/>
      <c r="G141" s="45"/>
      <c r="H141" s="45"/>
      <c r="I141" s="49" t="s">
        <v>47</v>
      </c>
      <c r="J141" s="9">
        <v>0</v>
      </c>
      <c r="K141" s="11">
        <v>12</v>
      </c>
      <c r="L141" s="11" t="s">
        <v>48</v>
      </c>
      <c r="M141" s="47"/>
      <c r="N141" s="14">
        <v>1</v>
      </c>
      <c r="O141" s="14"/>
      <c r="P141" s="14"/>
      <c r="Q141" s="50" t="s">
        <v>49</v>
      </c>
      <c r="R141" s="51"/>
      <c r="S141" s="45"/>
      <c r="T141" s="45"/>
      <c r="U141" s="45"/>
      <c r="V141" s="45"/>
      <c r="W141" s="45"/>
      <c r="X141" s="45"/>
      <c r="Y141" s="45"/>
      <c r="Z141" s="45"/>
      <c r="AA141" s="45"/>
      <c r="AC141" s="45"/>
      <c r="AD141" s="45"/>
      <c r="AE141" s="45"/>
      <c r="AF141" s="45"/>
      <c r="AG141" s="45"/>
      <c r="AH141" s="45"/>
    </row>
    <row r="142" spans="1:38" ht="25.05" customHeight="1">
      <c r="B142" s="44"/>
      <c r="C142" s="44"/>
      <c r="D142" s="44"/>
      <c r="E142" s="45"/>
      <c r="F142" s="45"/>
      <c r="G142" s="45"/>
      <c r="H142" s="45"/>
      <c r="I142" s="49" t="s">
        <v>50</v>
      </c>
      <c r="J142" s="9">
        <v>0</v>
      </c>
      <c r="K142" s="11">
        <v>3</v>
      </c>
      <c r="L142" s="11" t="s">
        <v>48</v>
      </c>
      <c r="M142" s="47"/>
      <c r="N142" s="14">
        <v>4</v>
      </c>
      <c r="O142" s="14"/>
      <c r="P142" s="14"/>
      <c r="Q142" s="50" t="s">
        <v>51</v>
      </c>
      <c r="R142" s="51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</row>
    <row r="143" spans="1:38" ht="25.05" customHeight="1">
      <c r="B143" s="44"/>
      <c r="C143" s="44"/>
      <c r="D143" s="44"/>
      <c r="E143" s="45"/>
      <c r="F143" s="45"/>
      <c r="G143" s="45"/>
      <c r="H143" s="45"/>
      <c r="I143" s="49" t="s">
        <v>52</v>
      </c>
      <c r="J143" s="9">
        <v>0</v>
      </c>
      <c r="K143" s="11">
        <v>18</v>
      </c>
      <c r="L143" s="11" t="s">
        <v>48</v>
      </c>
      <c r="M143" s="47"/>
      <c r="N143" s="14">
        <v>1</v>
      </c>
      <c r="O143" s="14"/>
      <c r="P143" s="14"/>
      <c r="Q143" s="50" t="s">
        <v>53</v>
      </c>
      <c r="R143" s="51"/>
      <c r="S143" s="45"/>
      <c r="T143" s="45"/>
      <c r="U143" s="45"/>
      <c r="V143" s="45"/>
      <c r="W143" s="45"/>
      <c r="X143" s="45"/>
      <c r="Y143" s="45"/>
      <c r="Z143" s="45"/>
      <c r="AA143" s="45"/>
      <c r="AB143" s="45"/>
      <c r="AC143" s="45"/>
      <c r="AD143" s="45"/>
      <c r="AE143" s="45"/>
      <c r="AF143" s="45"/>
      <c r="AG143" s="45"/>
      <c r="AH143" s="45"/>
    </row>
    <row r="144" spans="1:38" ht="25.05" customHeight="1">
      <c r="B144" s="44"/>
      <c r="C144" s="44"/>
      <c r="D144" s="44"/>
      <c r="E144" s="45"/>
      <c r="F144" s="45"/>
      <c r="G144" s="45"/>
      <c r="H144" s="45"/>
      <c r="I144" s="52" t="s">
        <v>54</v>
      </c>
      <c r="J144" s="53">
        <v>0</v>
      </c>
      <c r="K144" s="11">
        <v>7</v>
      </c>
      <c r="L144" s="54" t="s">
        <v>48</v>
      </c>
      <c r="M144" s="47"/>
      <c r="N144" s="14">
        <v>4</v>
      </c>
      <c r="O144" s="14"/>
      <c r="P144" s="14"/>
      <c r="Q144" s="50" t="s">
        <v>55</v>
      </c>
      <c r="R144" s="51"/>
      <c r="S144" s="45"/>
      <c r="T144" s="45"/>
      <c r="U144" s="45"/>
      <c r="V144" s="45"/>
      <c r="W144" s="45"/>
      <c r="X144" s="45"/>
      <c r="Y144" s="45"/>
      <c r="Z144" s="45"/>
      <c r="AA144" s="45"/>
      <c r="AB144" s="45"/>
      <c r="AC144" s="45"/>
      <c r="AD144" s="45"/>
      <c r="AE144" s="45"/>
      <c r="AF144" s="45"/>
      <c r="AG144" s="45"/>
      <c r="AH144" s="45"/>
    </row>
    <row r="145" spans="2:34" ht="25.05" customHeight="1">
      <c r="B145" s="44"/>
      <c r="C145" s="44"/>
      <c r="D145" s="44"/>
      <c r="E145" s="45"/>
      <c r="F145" s="45"/>
      <c r="G145" s="45"/>
      <c r="H145" s="45"/>
      <c r="I145" s="49" t="s">
        <v>56</v>
      </c>
      <c r="J145" s="9">
        <v>0</v>
      </c>
      <c r="K145" s="11">
        <v>40</v>
      </c>
      <c r="L145" s="11" t="s">
        <v>48</v>
      </c>
      <c r="M145" s="47"/>
      <c r="N145"/>
      <c r="O145"/>
      <c r="P145"/>
      <c r="Q1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</row>
    <row r="146" spans="2:34" ht="25.05" customHeight="1">
      <c r="B146" s="44"/>
      <c r="C146" s="44"/>
      <c r="D146" s="44"/>
      <c r="E146" s="45"/>
      <c r="F146" s="45"/>
      <c r="G146" s="45"/>
      <c r="H146" s="45"/>
      <c r="M146" s="47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</row>
    <row r="147" spans="2:34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1574-5AF1-429C-AC73-85D537BF8173}">
  <sheetPr>
    <pageSetUpPr fitToPage="1"/>
  </sheetPr>
  <dimension ref="A1:AL93"/>
  <sheetViews>
    <sheetView zoomScale="70" zoomScaleNormal="70" workbookViewId="0">
      <pane xSplit="12" ySplit="3" topLeftCell="W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46101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0.79861111111111116</v>
      </c>
      <c r="I4" s="10">
        <f t="shared" ref="I4:I16" si="0">H4-G4</f>
        <v>6.9444444444445308E-3</v>
      </c>
      <c r="J4" s="11">
        <v>8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30" t="s">
        <v>323</v>
      </c>
      <c r="E5" s="15" t="s">
        <v>1106</v>
      </c>
      <c r="F5" s="55" t="s">
        <v>232</v>
      </c>
      <c r="G5" s="9">
        <v>0.82638888888888884</v>
      </c>
      <c r="H5" s="9">
        <v>0.83680555555555558</v>
      </c>
      <c r="I5" s="10">
        <f t="shared" si="0"/>
        <v>1.0416666666666741E-2</v>
      </c>
      <c r="J5" s="11">
        <v>1</v>
      </c>
      <c r="K5" s="11">
        <v>31.2</v>
      </c>
      <c r="L5" s="16">
        <f t="shared" ref="L5:L16" si="1">IFERROR(((K5/(J5*I5)/24)),"0")</f>
        <v>124.7999999999991</v>
      </c>
      <c r="M5" s="11">
        <v>15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1107</v>
      </c>
      <c r="F6" s="55" t="s">
        <v>234</v>
      </c>
      <c r="G6" s="9">
        <v>0.84027777777777779</v>
      </c>
      <c r="H6" s="9">
        <v>0.91874999999999996</v>
      </c>
      <c r="I6" s="10">
        <f t="shared" si="0"/>
        <v>7.8472222222222165E-2</v>
      </c>
      <c r="J6" s="11">
        <v>1</v>
      </c>
      <c r="K6" s="11">
        <v>156</v>
      </c>
      <c r="L6" s="16">
        <f t="shared" si="1"/>
        <v>82.831858407079707</v>
      </c>
      <c r="M6" s="11">
        <v>113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1108</v>
      </c>
      <c r="F7" s="57">
        <v>0.25</v>
      </c>
      <c r="G7" s="9">
        <v>0.85763888888888884</v>
      </c>
      <c r="H7" s="9">
        <v>0.95138888888888884</v>
      </c>
      <c r="I7" s="10">
        <f t="shared" si="0"/>
        <v>9.375E-2</v>
      </c>
      <c r="J7" s="11">
        <v>1</v>
      </c>
      <c r="K7" s="11">
        <v>205</v>
      </c>
      <c r="L7" s="16">
        <f t="shared" si="1"/>
        <v>91.1111111111111</v>
      </c>
      <c r="M7" s="11">
        <v>75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1109</v>
      </c>
      <c r="F8" s="88" t="s">
        <v>42</v>
      </c>
      <c r="G8" s="9">
        <v>0.8041666666666667</v>
      </c>
      <c r="H8" s="9">
        <v>0.91319444444444442</v>
      </c>
      <c r="I8" s="10">
        <f t="shared" si="0"/>
        <v>0.10902777777777772</v>
      </c>
      <c r="J8" s="11">
        <v>2</v>
      </c>
      <c r="K8" s="11">
        <v>205</v>
      </c>
      <c r="L8" s="16">
        <f t="shared" si="1"/>
        <v>39.171974522293013</v>
      </c>
      <c r="M8" s="11"/>
      <c r="N8" s="11"/>
      <c r="O8" s="11"/>
      <c r="P8" s="11"/>
      <c r="Q8" s="11">
        <v>157</v>
      </c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1110</v>
      </c>
      <c r="F9" s="55" t="s">
        <v>237</v>
      </c>
      <c r="G9" s="9">
        <v>0.8256944444444444</v>
      </c>
      <c r="H9" s="9">
        <v>0.87152777777777779</v>
      </c>
      <c r="I9" s="10">
        <f t="shared" si="0"/>
        <v>4.5833333333333393E-2</v>
      </c>
      <c r="J9" s="11">
        <v>2</v>
      </c>
      <c r="K9" s="11">
        <v>16.2</v>
      </c>
      <c r="L9" s="16">
        <f t="shared" si="1"/>
        <v>7.3636363636363535</v>
      </c>
      <c r="M9" s="11"/>
      <c r="N9" s="11"/>
      <c r="O9" s="11"/>
      <c r="P9" s="11"/>
      <c r="Q9" s="11"/>
      <c r="R9" s="12"/>
      <c r="S9" s="12">
        <v>66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30" t="s">
        <v>1111</v>
      </c>
      <c r="E10" s="15" t="s">
        <v>1112</v>
      </c>
      <c r="F10" s="55" t="s">
        <v>87</v>
      </c>
      <c r="G10" s="9">
        <v>0.96527777777777779</v>
      </c>
      <c r="H10" s="9">
        <v>0.97638888888888886</v>
      </c>
      <c r="I10" s="10">
        <f t="shared" si="0"/>
        <v>1.1111111111111072E-2</v>
      </c>
      <c r="J10" s="11">
        <v>1</v>
      </c>
      <c r="K10" s="11">
        <v>11.9</v>
      </c>
      <c r="L10" s="16">
        <f t="shared" si="1"/>
        <v>44.625000000000163</v>
      </c>
      <c r="M10" s="11">
        <v>16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1113</v>
      </c>
      <c r="F11" s="55" t="s">
        <v>87</v>
      </c>
      <c r="G11" s="9">
        <v>0.99305555555555558</v>
      </c>
      <c r="H11" s="9">
        <v>46102.010416666664</v>
      </c>
      <c r="I11" s="10">
        <f t="shared" si="0"/>
        <v>46101.017361111109</v>
      </c>
      <c r="J11" s="11">
        <v>1</v>
      </c>
      <c r="K11" s="11">
        <v>77</v>
      </c>
      <c r="L11" s="16">
        <f t="shared" si="1"/>
        <v>6.9593547322444754E-5</v>
      </c>
      <c r="M11" s="11">
        <v>25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1114</v>
      </c>
      <c r="F12" s="20">
        <v>1</v>
      </c>
      <c r="G12" s="9">
        <v>1.3888888888888888E-2</v>
      </c>
      <c r="H12" s="9">
        <v>2.4305555555555556E-2</v>
      </c>
      <c r="I12" s="10">
        <f t="shared" si="0"/>
        <v>1.0416666666666668E-2</v>
      </c>
      <c r="J12" s="11">
        <v>1</v>
      </c>
      <c r="K12" s="11">
        <v>15</v>
      </c>
      <c r="L12" s="16">
        <f t="shared" si="1"/>
        <v>59.999999999999993</v>
      </c>
      <c r="M12" s="11">
        <v>15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1115</v>
      </c>
      <c r="F13" s="14" t="s">
        <v>1116</v>
      </c>
      <c r="G13" s="9">
        <v>0.81180555555555556</v>
      </c>
      <c r="H13" s="9">
        <v>0.96180555555555558</v>
      </c>
      <c r="I13" s="10">
        <f t="shared" si="0"/>
        <v>0.15000000000000002</v>
      </c>
      <c r="J13" s="11">
        <v>4</v>
      </c>
      <c r="K13" s="11">
        <v>116.69</v>
      </c>
      <c r="L13" s="16">
        <f t="shared" si="1"/>
        <v>8.1034722222222211</v>
      </c>
      <c r="M13" s="11"/>
      <c r="N13" s="11"/>
      <c r="O13" s="11"/>
      <c r="P13" s="11"/>
      <c r="Q13" s="11"/>
      <c r="R13" s="12"/>
      <c r="S13" s="12">
        <v>216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1117</v>
      </c>
      <c r="F14" s="130" t="s">
        <v>42</v>
      </c>
      <c r="G14" s="9">
        <v>7.2916666666666671E-2</v>
      </c>
      <c r="H14" s="9">
        <v>9.375E-2</v>
      </c>
      <c r="I14" s="10">
        <f t="shared" si="0"/>
        <v>2.0833333333333329E-2</v>
      </c>
      <c r="J14" s="11">
        <v>3</v>
      </c>
      <c r="K14" s="11">
        <v>443.94</v>
      </c>
      <c r="L14" s="16">
        <f t="shared" si="1"/>
        <v>295.96000000000009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6" t="s">
        <v>1118</v>
      </c>
      <c r="F15" s="55" t="s">
        <v>59</v>
      </c>
      <c r="G15" s="9">
        <v>0.98055555555555551</v>
      </c>
      <c r="H15" s="9">
        <v>0.98402777777777772</v>
      </c>
      <c r="I15" s="10">
        <f t="shared" si="0"/>
        <v>3.4722222222222099E-3</v>
      </c>
      <c r="J15" s="11">
        <v>1</v>
      </c>
      <c r="K15" s="11">
        <v>4.34</v>
      </c>
      <c r="L15" s="16">
        <f t="shared" si="1"/>
        <v>52.080000000000183</v>
      </c>
      <c r="M15" s="11">
        <v>5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/>
      <c r="F16" s="55"/>
      <c r="G16" s="9"/>
      <c r="H16" s="9"/>
      <c r="I16" s="10">
        <f t="shared" si="0"/>
        <v>0</v>
      </c>
      <c r="J16" s="11"/>
      <c r="K16" s="11"/>
      <c r="L16" s="16" t="str">
        <f t="shared" si="1"/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s="28" customFormat="1" ht="25.05" customHeight="1">
      <c r="A17" s="2"/>
      <c r="B17" s="21"/>
      <c r="C17" s="22"/>
      <c r="D17" s="23"/>
      <c r="E17" s="24"/>
      <c r="F17" s="24"/>
      <c r="G17" s="25"/>
      <c r="H17" s="25"/>
      <c r="I17" s="26"/>
      <c r="J17" s="27"/>
      <c r="K17" s="27">
        <f t="shared" ref="K17:AL17" si="2">SUM(K4:K14)</f>
        <v>1277.93</v>
      </c>
      <c r="L17" s="39">
        <f t="shared" si="2"/>
        <v>753.96712221988901</v>
      </c>
      <c r="M17" s="27">
        <f t="shared" si="2"/>
        <v>259</v>
      </c>
      <c r="N17" s="27">
        <f t="shared" si="2"/>
        <v>0</v>
      </c>
      <c r="O17" s="27">
        <f t="shared" si="2"/>
        <v>0</v>
      </c>
      <c r="P17" s="27">
        <f t="shared" si="2"/>
        <v>0</v>
      </c>
      <c r="Q17" s="27">
        <f t="shared" si="2"/>
        <v>157</v>
      </c>
      <c r="R17" s="27">
        <f t="shared" si="2"/>
        <v>0</v>
      </c>
      <c r="S17" s="27">
        <f t="shared" si="2"/>
        <v>282</v>
      </c>
      <c r="T17" s="27">
        <f t="shared" si="2"/>
        <v>0</v>
      </c>
      <c r="U17" s="27">
        <f t="shared" si="2"/>
        <v>0</v>
      </c>
      <c r="V17" s="27">
        <f t="shared" si="2"/>
        <v>0</v>
      </c>
      <c r="W17" s="27">
        <f t="shared" si="2"/>
        <v>0</v>
      </c>
      <c r="X17" s="27">
        <f t="shared" si="2"/>
        <v>0</v>
      </c>
      <c r="Y17" s="27">
        <f t="shared" si="2"/>
        <v>0</v>
      </c>
      <c r="Z17" s="27">
        <f t="shared" si="2"/>
        <v>0</v>
      </c>
      <c r="AA17" s="27">
        <f t="shared" si="2"/>
        <v>0</v>
      </c>
      <c r="AB17" s="27">
        <f t="shared" si="2"/>
        <v>0</v>
      </c>
      <c r="AC17" s="27">
        <f t="shared" si="2"/>
        <v>0</v>
      </c>
      <c r="AD17" s="27">
        <f t="shared" si="2"/>
        <v>0</v>
      </c>
      <c r="AE17" s="27">
        <f t="shared" si="2"/>
        <v>0</v>
      </c>
      <c r="AF17" s="27">
        <f t="shared" si="2"/>
        <v>0</v>
      </c>
      <c r="AG17" s="27">
        <f t="shared" si="2"/>
        <v>0</v>
      </c>
      <c r="AH17" s="27">
        <f t="shared" si="2"/>
        <v>0</v>
      </c>
      <c r="AI17" s="27">
        <f t="shared" si="2"/>
        <v>0</v>
      </c>
      <c r="AJ17" s="27">
        <f t="shared" si="2"/>
        <v>0</v>
      </c>
      <c r="AK17" s="27">
        <f t="shared" si="2"/>
        <v>0</v>
      </c>
      <c r="AL17" s="27">
        <f t="shared" si="2"/>
        <v>0</v>
      </c>
    </row>
    <row r="18" spans="1:38" ht="25.05" customHeight="1">
      <c r="B18" s="13"/>
      <c r="C18" s="14" t="s">
        <v>43</v>
      </c>
      <c r="D18" s="6"/>
      <c r="E18" s="7" t="s">
        <v>41</v>
      </c>
      <c r="F18" s="8" t="s">
        <v>42</v>
      </c>
      <c r="G18" s="9"/>
      <c r="H18" s="9"/>
      <c r="I18" s="10">
        <f>H18-G18</f>
        <v>0</v>
      </c>
      <c r="J18" s="11"/>
      <c r="K18" s="11"/>
      <c r="L18" s="16" t="str">
        <f>IFERROR(((K18/(J18*I18)/24)),"0")</f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18"/>
      <c r="E19" s="6"/>
      <c r="F19" s="14"/>
      <c r="G19" s="9"/>
      <c r="H19" s="9"/>
      <c r="I19" s="10"/>
      <c r="J19" s="11"/>
      <c r="K19" s="11"/>
      <c r="L19" s="16"/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s="28" customFormat="1" ht="25.05" customHeight="1">
      <c r="A20" s="2"/>
      <c r="B20" s="21"/>
      <c r="C20" s="22"/>
      <c r="D20" s="23"/>
      <c r="E20" s="24"/>
      <c r="F20" s="22"/>
      <c r="G20" s="25"/>
      <c r="H20" s="25"/>
      <c r="I20" s="26"/>
      <c r="J20" s="27"/>
      <c r="K20" s="27">
        <f t="shared" ref="K20:AI20" si="3">SUM(K18:K19)</f>
        <v>0</v>
      </c>
      <c r="L20" s="27">
        <f t="shared" si="3"/>
        <v>0</v>
      </c>
      <c r="M20" s="27">
        <f t="shared" si="3"/>
        <v>0</v>
      </c>
      <c r="N20" s="27">
        <f t="shared" si="3"/>
        <v>0</v>
      </c>
      <c r="O20" s="27">
        <f t="shared" si="3"/>
        <v>0</v>
      </c>
      <c r="P20" s="27">
        <f t="shared" si="3"/>
        <v>0</v>
      </c>
      <c r="Q20" s="27">
        <f t="shared" si="3"/>
        <v>0</v>
      </c>
      <c r="R20" s="27">
        <f t="shared" si="3"/>
        <v>0</v>
      </c>
      <c r="S20" s="27">
        <f t="shared" si="3"/>
        <v>0</v>
      </c>
      <c r="T20" s="27">
        <f t="shared" si="3"/>
        <v>0</v>
      </c>
      <c r="U20" s="27">
        <f t="shared" si="3"/>
        <v>0</v>
      </c>
      <c r="V20" s="27">
        <f t="shared" si="3"/>
        <v>0</v>
      </c>
      <c r="W20" s="27">
        <f t="shared" si="3"/>
        <v>0</v>
      </c>
      <c r="X20" s="27">
        <f t="shared" si="3"/>
        <v>0</v>
      </c>
      <c r="Y20" s="27">
        <f t="shared" si="3"/>
        <v>0</v>
      </c>
      <c r="Z20" s="27">
        <f t="shared" si="3"/>
        <v>0</v>
      </c>
      <c r="AA20" s="27">
        <f t="shared" si="3"/>
        <v>0</v>
      </c>
      <c r="AB20" s="27">
        <f t="shared" si="3"/>
        <v>0</v>
      </c>
      <c r="AC20" s="27">
        <f t="shared" si="3"/>
        <v>0</v>
      </c>
      <c r="AD20" s="27">
        <f t="shared" si="3"/>
        <v>0</v>
      </c>
      <c r="AE20" s="27">
        <f t="shared" si="3"/>
        <v>0</v>
      </c>
      <c r="AF20" s="27">
        <f t="shared" si="3"/>
        <v>0</v>
      </c>
      <c r="AG20" s="27">
        <f t="shared" si="3"/>
        <v>0</v>
      </c>
      <c r="AH20" s="27">
        <f t="shared" si="3"/>
        <v>0</v>
      </c>
      <c r="AI20" s="27">
        <f t="shared" si="3"/>
        <v>0</v>
      </c>
      <c r="AJ20" s="27">
        <f>SUM(AJ18:AJ19)</f>
        <v>0</v>
      </c>
      <c r="AK20" s="27">
        <f>SUM(AK18:AK19)</f>
        <v>0</v>
      </c>
      <c r="AL20" s="27">
        <f>SUM(AL18:AL19)</f>
        <v>0</v>
      </c>
    </row>
    <row r="21" spans="1:38" ht="25.05" customHeight="1">
      <c r="B21" s="5">
        <v>46101</v>
      </c>
      <c r="C21" s="29" t="s">
        <v>44</v>
      </c>
      <c r="D21" s="30"/>
      <c r="E21" s="7" t="s">
        <v>41</v>
      </c>
      <c r="F21" s="8" t="s">
        <v>42</v>
      </c>
      <c r="G21" s="9">
        <v>0.79166666666666663</v>
      </c>
      <c r="H21" s="9">
        <v>0.8125</v>
      </c>
      <c r="I21" s="10">
        <f t="shared" ref="I21:I71" si="4">H21-G21</f>
        <v>2.083333333333337E-2</v>
      </c>
      <c r="J21" s="11">
        <v>3</v>
      </c>
      <c r="K21" s="11"/>
      <c r="L21" s="16">
        <f t="shared" ref="L21:L58" si="5">IFERROR(((K21/(J21*I21)/24)),"0")</f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4"/>
    </row>
    <row r="22" spans="1:38" ht="25.05" customHeight="1">
      <c r="B22" s="13"/>
      <c r="C22" s="29"/>
      <c r="D22" s="30" t="s">
        <v>323</v>
      </c>
      <c r="E22" s="19" t="s">
        <v>827</v>
      </c>
      <c r="F22" s="8" t="s">
        <v>42</v>
      </c>
      <c r="G22" s="9">
        <v>0.85138888888888886</v>
      </c>
      <c r="H22" s="9">
        <v>0.86527777777777781</v>
      </c>
      <c r="I22" s="10">
        <f t="shared" si="4"/>
        <v>1.3888888888888951E-2</v>
      </c>
      <c r="J22" s="11">
        <v>4</v>
      </c>
      <c r="K22" s="11">
        <v>91.24</v>
      </c>
      <c r="L22" s="16">
        <f t="shared" si="5"/>
        <v>68.429999999999694</v>
      </c>
      <c r="M22" s="11"/>
      <c r="N22" s="11"/>
      <c r="O22" s="11"/>
      <c r="P22" s="11"/>
      <c r="Q22" s="11"/>
      <c r="R22" s="12"/>
      <c r="S22" s="12"/>
      <c r="T22" s="11"/>
      <c r="U22" s="11"/>
      <c r="V22" s="12">
        <v>2</v>
      </c>
      <c r="W22" s="12"/>
      <c r="X22" s="11">
        <v>10</v>
      </c>
      <c r="Y22" s="11"/>
      <c r="Z22" s="11">
        <v>10</v>
      </c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4"/>
    </row>
    <row r="23" spans="1:38" ht="25.05" customHeight="1">
      <c r="B23" s="13"/>
      <c r="C23" s="29"/>
      <c r="D23" s="30"/>
      <c r="E23" s="19" t="s">
        <v>829</v>
      </c>
      <c r="F23" s="8" t="s">
        <v>42</v>
      </c>
      <c r="G23" s="9">
        <v>0.85833333333333328</v>
      </c>
      <c r="H23" s="9">
        <v>0.87083333333333335</v>
      </c>
      <c r="I23" s="10">
        <f t="shared" si="4"/>
        <v>1.2500000000000067E-2</v>
      </c>
      <c r="J23" s="11">
        <v>4</v>
      </c>
      <c r="K23" s="11">
        <v>88.78</v>
      </c>
      <c r="L23" s="16">
        <f t="shared" si="5"/>
        <v>73.983333333332936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>
        <v>2</v>
      </c>
      <c r="X23" s="11"/>
      <c r="Y23" s="11">
        <v>9</v>
      </c>
      <c r="Z23" s="11"/>
      <c r="AA23" s="11">
        <v>9</v>
      </c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4"/>
    </row>
    <row r="24" spans="1:38" ht="25.05" customHeight="1">
      <c r="B24" s="13"/>
      <c r="C24" s="29"/>
      <c r="D24" s="30"/>
      <c r="E24" s="19" t="s">
        <v>830</v>
      </c>
      <c r="F24" s="8" t="s">
        <v>42</v>
      </c>
      <c r="G24" s="9">
        <v>0.87083333333333335</v>
      </c>
      <c r="H24" s="9">
        <v>0.87986111111111109</v>
      </c>
      <c r="I24" s="10">
        <f t="shared" si="4"/>
        <v>9.0277777777777457E-3</v>
      </c>
      <c r="J24" s="11">
        <v>4</v>
      </c>
      <c r="K24" s="11">
        <v>93.68</v>
      </c>
      <c r="L24" s="16">
        <f t="shared" si="5"/>
        <v>108.0923076923081</v>
      </c>
      <c r="M24" s="11"/>
      <c r="N24" s="11"/>
      <c r="O24" s="11"/>
      <c r="P24" s="11"/>
      <c r="Q24" s="11"/>
      <c r="R24" s="12"/>
      <c r="S24" s="12"/>
      <c r="T24" s="11"/>
      <c r="U24" s="11"/>
      <c r="V24" s="12">
        <v>2</v>
      </c>
      <c r="W24" s="12"/>
      <c r="X24" s="11">
        <v>6.5</v>
      </c>
      <c r="Y24" s="11"/>
      <c r="Z24" s="11">
        <v>6.5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4"/>
    </row>
    <row r="25" spans="1:38" ht="25.05" customHeight="1">
      <c r="B25" s="13"/>
      <c r="C25" s="29"/>
      <c r="D25" s="30"/>
      <c r="E25" s="19" t="s">
        <v>831</v>
      </c>
      <c r="F25" s="8" t="s">
        <v>42</v>
      </c>
      <c r="G25" s="9">
        <v>0.87916666666666665</v>
      </c>
      <c r="H25" s="9">
        <v>0.8930555555555556</v>
      </c>
      <c r="I25" s="10">
        <f t="shared" si="4"/>
        <v>1.3888888888888951E-2</v>
      </c>
      <c r="J25" s="11">
        <v>4</v>
      </c>
      <c r="K25" s="11">
        <v>87.4</v>
      </c>
      <c r="L25" s="16">
        <f t="shared" si="5"/>
        <v>65.549999999999713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>
        <v>2</v>
      </c>
      <c r="X25" s="11"/>
      <c r="Y25" s="11">
        <v>10</v>
      </c>
      <c r="Z25" s="11"/>
      <c r="AA25" s="11">
        <v>10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4"/>
    </row>
    <row r="26" spans="1:38" ht="25.05" customHeight="1">
      <c r="B26" s="13"/>
      <c r="C26" s="29"/>
      <c r="D26" s="30"/>
      <c r="E26" s="19" t="s">
        <v>832</v>
      </c>
      <c r="F26" s="8" t="s">
        <v>42</v>
      </c>
      <c r="G26" s="9">
        <v>0.88958333333333328</v>
      </c>
      <c r="H26" s="9">
        <v>0.90555555555555556</v>
      </c>
      <c r="I26" s="10">
        <f t="shared" si="4"/>
        <v>1.5972222222222276E-2</v>
      </c>
      <c r="J26" s="11">
        <v>4</v>
      </c>
      <c r="K26" s="11">
        <v>92.38</v>
      </c>
      <c r="L26" s="16">
        <f t="shared" si="5"/>
        <v>60.247826086956316</v>
      </c>
      <c r="M26" s="11"/>
      <c r="N26" s="11"/>
      <c r="O26" s="11"/>
      <c r="P26" s="11"/>
      <c r="Q26" s="11"/>
      <c r="R26" s="12"/>
      <c r="S26" s="12"/>
      <c r="T26" s="11"/>
      <c r="U26" s="11"/>
      <c r="V26" s="12">
        <v>2</v>
      </c>
      <c r="W26" s="12"/>
      <c r="X26" s="11">
        <f>23/2</f>
        <v>11.5</v>
      </c>
      <c r="Y26" s="11"/>
      <c r="Z26" s="11">
        <v>11.5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4"/>
    </row>
    <row r="27" spans="1:38" ht="25.05" customHeight="1">
      <c r="B27" s="13"/>
      <c r="C27" s="29"/>
      <c r="D27" s="30"/>
      <c r="E27" s="19" t="s">
        <v>833</v>
      </c>
      <c r="F27" s="8" t="s">
        <v>42</v>
      </c>
      <c r="G27" s="9">
        <v>0.9</v>
      </c>
      <c r="H27" s="9">
        <v>0.91388888888888886</v>
      </c>
      <c r="I27" s="10">
        <f t="shared" si="4"/>
        <v>1.388888888888884E-2</v>
      </c>
      <c r="J27" s="11">
        <v>4</v>
      </c>
      <c r="K27" s="11">
        <v>83.62</v>
      </c>
      <c r="L27" s="16">
        <f t="shared" si="5"/>
        <v>62.715000000000231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>
        <v>2</v>
      </c>
      <c r="X27" s="11"/>
      <c r="Y27" s="11">
        <v>10</v>
      </c>
      <c r="Z27" s="11"/>
      <c r="AA27" s="11">
        <v>10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4"/>
    </row>
    <row r="28" spans="1:38" ht="25.05" customHeight="1">
      <c r="B28" s="13"/>
      <c r="C28" s="29"/>
      <c r="D28" s="30"/>
      <c r="E28" s="19" t="s">
        <v>834</v>
      </c>
      <c r="F28" s="8" t="s">
        <v>42</v>
      </c>
      <c r="G28" s="9">
        <v>0.90486111111111112</v>
      </c>
      <c r="H28" s="9">
        <v>0.92152777777777772</v>
      </c>
      <c r="I28" s="10">
        <f t="shared" si="4"/>
        <v>1.6666666666666607E-2</v>
      </c>
      <c r="J28" s="11">
        <v>4</v>
      </c>
      <c r="K28" s="11">
        <v>89.62</v>
      </c>
      <c r="L28" s="16">
        <f t="shared" si="5"/>
        <v>56.012500000000209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>
        <v>12</v>
      </c>
      <c r="Y28" s="11"/>
      <c r="Z28" s="11">
        <v>12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30"/>
      <c r="E29" s="19" t="s">
        <v>1119</v>
      </c>
      <c r="F29" s="8" t="s">
        <v>42</v>
      </c>
      <c r="G29" s="9">
        <v>0.85972222222222228</v>
      </c>
      <c r="H29" s="9">
        <v>0.86527777777777781</v>
      </c>
      <c r="I29" s="10">
        <f t="shared" si="4"/>
        <v>5.5555555555555358E-3</v>
      </c>
      <c r="J29" s="11">
        <v>2</v>
      </c>
      <c r="K29" s="11">
        <f>7.5*6</f>
        <v>45</v>
      </c>
      <c r="L29" s="16">
        <f t="shared" si="5"/>
        <v>168.7500000000006</v>
      </c>
      <c r="M29" s="11"/>
      <c r="N29" s="11"/>
      <c r="O29" s="11"/>
      <c r="P29" s="11"/>
      <c r="Q29" s="11"/>
      <c r="R29" s="12"/>
      <c r="S29" s="12"/>
      <c r="T29" s="11"/>
      <c r="U29" s="11"/>
      <c r="V29" s="12">
        <v>8</v>
      </c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1120</v>
      </c>
      <c r="F30" s="8" t="s">
        <v>42</v>
      </c>
      <c r="G30" s="9">
        <v>0.87847222222222221</v>
      </c>
      <c r="H30" s="9">
        <v>0.91319444444444442</v>
      </c>
      <c r="I30" s="10">
        <f t="shared" si="4"/>
        <v>3.472222222222221E-2</v>
      </c>
      <c r="J30" s="11">
        <v>3</v>
      </c>
      <c r="K30" s="11">
        <v>183.5</v>
      </c>
      <c r="L30" s="16">
        <f t="shared" si="5"/>
        <v>73.40000000000002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/>
      <c r="Y30" s="11"/>
      <c r="Z30" s="11"/>
      <c r="AA30" s="11"/>
      <c r="AB30" s="11">
        <v>50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1121</v>
      </c>
      <c r="F31" s="8" t="s">
        <v>42</v>
      </c>
      <c r="G31" s="9">
        <v>0.89583333333333337</v>
      </c>
      <c r="H31" s="9">
        <v>0.92638888888888893</v>
      </c>
      <c r="I31" s="10">
        <f t="shared" si="4"/>
        <v>3.0555555555555558E-2</v>
      </c>
      <c r="J31" s="11">
        <v>3</v>
      </c>
      <c r="K31" s="11">
        <v>183.95</v>
      </c>
      <c r="L31" s="16">
        <f t="shared" si="5"/>
        <v>83.61363636363636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2</v>
      </c>
      <c r="X31" s="11"/>
      <c r="Y31" s="11"/>
      <c r="Z31" s="11"/>
      <c r="AA31" s="11"/>
      <c r="AB31" s="11"/>
      <c r="AC31" s="11"/>
      <c r="AD31" s="11">
        <v>44</v>
      </c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1122</v>
      </c>
      <c r="F32" s="8" t="s">
        <v>42</v>
      </c>
      <c r="G32" s="9">
        <v>0.92569444444444449</v>
      </c>
      <c r="H32" s="9">
        <v>0.95625000000000004</v>
      </c>
      <c r="I32" s="10">
        <f t="shared" si="4"/>
        <v>3.0555555555555558E-2</v>
      </c>
      <c r="J32" s="11">
        <v>3</v>
      </c>
      <c r="K32" s="11">
        <v>183.5</v>
      </c>
      <c r="L32" s="16">
        <f t="shared" si="5"/>
        <v>83.409090909090907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2</v>
      </c>
      <c r="W32" s="12"/>
      <c r="X32" s="11"/>
      <c r="Y32" s="11"/>
      <c r="Z32" s="11"/>
      <c r="AA32" s="11"/>
      <c r="AB32" s="11"/>
      <c r="AC32" s="11">
        <v>44</v>
      </c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1123</v>
      </c>
      <c r="F33" s="8" t="s">
        <v>42</v>
      </c>
      <c r="G33" s="9">
        <v>0.93333333333333335</v>
      </c>
      <c r="H33" s="9">
        <v>0.96458333333333335</v>
      </c>
      <c r="I33" s="10">
        <f t="shared" si="4"/>
        <v>3.125E-2</v>
      </c>
      <c r="J33" s="11">
        <v>3</v>
      </c>
      <c r="K33" s="11">
        <v>182.88</v>
      </c>
      <c r="L33" s="16">
        <f t="shared" si="5"/>
        <v>81.28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/>
      <c r="Y33" s="11"/>
      <c r="Z33" s="11"/>
      <c r="AA33" s="11"/>
      <c r="AB33" s="11">
        <v>45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1124</v>
      </c>
      <c r="F34" s="8" t="s">
        <v>42</v>
      </c>
      <c r="G34" s="9">
        <v>0.95138888888888884</v>
      </c>
      <c r="H34" s="9">
        <v>0.98124999999999996</v>
      </c>
      <c r="I34" s="10">
        <f t="shared" si="4"/>
        <v>2.9861111111111116E-2</v>
      </c>
      <c r="J34" s="11">
        <v>3</v>
      </c>
      <c r="K34" s="11">
        <v>184.69</v>
      </c>
      <c r="L34" s="16">
        <f t="shared" si="5"/>
        <v>85.902325581395345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/>
      <c r="AA34" s="11"/>
      <c r="AB34" s="11"/>
      <c r="AC34" s="11"/>
      <c r="AD34" s="11">
        <v>43</v>
      </c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1125</v>
      </c>
      <c r="F35" s="8" t="s">
        <v>42</v>
      </c>
      <c r="G35" s="9">
        <v>0.96805555555555556</v>
      </c>
      <c r="H35" s="9">
        <v>0.99375000000000002</v>
      </c>
      <c r="I35" s="10">
        <f t="shared" si="4"/>
        <v>2.5694444444444464E-2</v>
      </c>
      <c r="J35" s="11">
        <v>3</v>
      </c>
      <c r="K35" s="11">
        <v>183.67</v>
      </c>
      <c r="L35" s="16">
        <f t="shared" si="5"/>
        <v>99.281081081080984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/>
      <c r="AA35" s="11"/>
      <c r="AB35" s="11">
        <v>37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/>
      <c r="F36" s="19"/>
      <c r="G36" s="19"/>
      <c r="H36" s="19"/>
      <c r="I36" s="19"/>
      <c r="J36" s="19"/>
      <c r="K36" s="19"/>
      <c r="L36" s="19"/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 t="s">
        <v>1111</v>
      </c>
      <c r="E37" s="19" t="s">
        <v>1126</v>
      </c>
      <c r="F37" s="8" t="s">
        <v>42</v>
      </c>
      <c r="G37" s="9">
        <v>0.97569444444444442</v>
      </c>
      <c r="H37" s="9">
        <v>0.98958333333333337</v>
      </c>
      <c r="I37" s="10">
        <f t="shared" si="4"/>
        <v>1.3888888888888951E-2</v>
      </c>
      <c r="J37" s="11">
        <v>3</v>
      </c>
      <c r="K37" s="11">
        <v>82.24</v>
      </c>
      <c r="L37" s="16">
        <f t="shared" si="5"/>
        <v>82.239999999999625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>
        <v>20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1127</v>
      </c>
      <c r="F38" s="8" t="s">
        <v>42</v>
      </c>
      <c r="G38" s="9">
        <v>0.93263888888888891</v>
      </c>
      <c r="H38" s="9">
        <v>0.95833333333333337</v>
      </c>
      <c r="I38" s="10">
        <f t="shared" si="4"/>
        <v>2.5694444444444464E-2</v>
      </c>
      <c r="J38" s="11">
        <v>4</v>
      </c>
      <c r="K38" s="11">
        <v>136.57</v>
      </c>
      <c r="L38" s="16">
        <f t="shared" si="5"/>
        <v>55.366216216216174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2">
        <f>37/3</f>
        <v>12.333333333333334</v>
      </c>
      <c r="Y38" s="12">
        <f>37/3</f>
        <v>12.333333333333334</v>
      </c>
      <c r="Z38" s="11">
        <v>12.33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1128</v>
      </c>
      <c r="F39" s="8" t="s">
        <v>42</v>
      </c>
      <c r="G39" s="9">
        <v>0.95138888888888884</v>
      </c>
      <c r="H39" s="9">
        <v>0.97013888888888888</v>
      </c>
      <c r="I39" s="10">
        <f t="shared" si="4"/>
        <v>1.8750000000000044E-2</v>
      </c>
      <c r="J39" s="11">
        <v>4</v>
      </c>
      <c r="K39" s="11">
        <v>136.85</v>
      </c>
      <c r="L39" s="16">
        <f t="shared" si="5"/>
        <v>76.027777777777587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>
        <v>9</v>
      </c>
      <c r="Y39" s="11">
        <f>27/3</f>
        <v>9</v>
      </c>
      <c r="Z39" s="11"/>
      <c r="AA39" s="11">
        <v>9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1129</v>
      </c>
      <c r="F40" s="8" t="s">
        <v>42</v>
      </c>
      <c r="G40" s="9">
        <v>0.96458333333333335</v>
      </c>
      <c r="H40" s="9">
        <v>0.98263888888888884</v>
      </c>
      <c r="I40" s="10">
        <f t="shared" si="4"/>
        <v>1.8055555555555491E-2</v>
      </c>
      <c r="J40" s="11">
        <v>4</v>
      </c>
      <c r="K40" s="11">
        <v>137.25</v>
      </c>
      <c r="L40" s="16">
        <f t="shared" si="5"/>
        <v>79.182692307692591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2">
        <f>26/3</f>
        <v>8.6666666666666661</v>
      </c>
      <c r="Y40" s="12">
        <f>26/3</f>
        <v>8.6666666666666661</v>
      </c>
      <c r="Z40" s="11"/>
      <c r="AA40" s="11">
        <v>8.67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1130</v>
      </c>
      <c r="F41" s="8" t="s">
        <v>42</v>
      </c>
      <c r="G41" s="9">
        <v>0.97847222222222219</v>
      </c>
      <c r="H41" s="9">
        <v>0.99513888888888891</v>
      </c>
      <c r="I41" s="10">
        <f t="shared" si="4"/>
        <v>1.6666666666666718E-2</v>
      </c>
      <c r="J41" s="11">
        <v>4</v>
      </c>
      <c r="K41" s="12">
        <v>138</v>
      </c>
      <c r="L41" s="16">
        <f t="shared" si="5"/>
        <v>86.24999999999973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>
        <f>24/3</f>
        <v>8</v>
      </c>
      <c r="Y41" s="11">
        <v>8</v>
      </c>
      <c r="Z41" s="11"/>
      <c r="AA41" s="11">
        <v>8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1131</v>
      </c>
      <c r="F42" s="8" t="s">
        <v>42</v>
      </c>
      <c r="G42" s="9">
        <v>0.9916666666666667</v>
      </c>
      <c r="H42" s="9">
        <v>1.0083333333333333</v>
      </c>
      <c r="I42" s="10">
        <f t="shared" si="4"/>
        <v>1.6666666666666607E-2</v>
      </c>
      <c r="J42" s="11">
        <v>4</v>
      </c>
      <c r="K42" s="11">
        <v>132.56</v>
      </c>
      <c r="L42" s="16">
        <f t="shared" si="5"/>
        <v>82.850000000000293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>
        <v>8</v>
      </c>
      <c r="Y42" s="11">
        <v>8</v>
      </c>
      <c r="Z42" s="11"/>
      <c r="AA42" s="11">
        <v>8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1132</v>
      </c>
      <c r="F43" s="8" t="s">
        <v>42</v>
      </c>
      <c r="G43" s="9">
        <v>6.9444444444444441E-3</v>
      </c>
      <c r="H43" s="9">
        <v>2.1527777777777778E-2</v>
      </c>
      <c r="I43" s="10">
        <f t="shared" si="4"/>
        <v>1.4583333333333334E-2</v>
      </c>
      <c r="J43" s="11">
        <v>4</v>
      </c>
      <c r="K43" s="11">
        <v>133.09</v>
      </c>
      <c r="L43" s="16">
        <f t="shared" si="5"/>
        <v>95.064285714285703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>
        <f>21/3</f>
        <v>7</v>
      </c>
      <c r="Y43" s="11">
        <v>7</v>
      </c>
      <c r="Z43" s="11"/>
      <c r="AA43" s="11">
        <v>7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1133</v>
      </c>
      <c r="F44" s="8" t="s">
        <v>42</v>
      </c>
      <c r="G44" s="9">
        <v>1.8055555555555554E-2</v>
      </c>
      <c r="H44" s="9">
        <v>3.3333333333333333E-2</v>
      </c>
      <c r="I44" s="10">
        <f t="shared" si="4"/>
        <v>1.5277777777777779E-2</v>
      </c>
      <c r="J44" s="11">
        <v>4</v>
      </c>
      <c r="K44" s="11">
        <v>133.46</v>
      </c>
      <c r="L44" s="16">
        <f t="shared" si="5"/>
        <v>90.99545454545455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2">
        <f>22/3</f>
        <v>7.333333333333333</v>
      </c>
      <c r="Y44" s="11">
        <v>7.33</v>
      </c>
      <c r="Z44" s="11"/>
      <c r="AA44" s="11">
        <v>7.33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1134</v>
      </c>
      <c r="F45" s="8" t="s">
        <v>42</v>
      </c>
      <c r="G45" s="9">
        <v>5.6944444444444443E-2</v>
      </c>
      <c r="H45" s="9">
        <v>7.8472222222222221E-2</v>
      </c>
      <c r="I45" s="10">
        <f t="shared" si="4"/>
        <v>2.1527777777777778E-2</v>
      </c>
      <c r="J45" s="11">
        <v>3</v>
      </c>
      <c r="K45" s="11">
        <v>91.51</v>
      </c>
      <c r="L45" s="16">
        <f t="shared" si="5"/>
        <v>59.038709677419369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>
        <v>31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1135</v>
      </c>
      <c r="F46" s="8" t="s">
        <v>42</v>
      </c>
      <c r="G46" s="9">
        <v>5.7638888888888892E-2</v>
      </c>
      <c r="H46" s="9">
        <v>8.0555555555555561E-2</v>
      </c>
      <c r="I46" s="10">
        <f t="shared" si="4"/>
        <v>2.2916666666666669E-2</v>
      </c>
      <c r="J46" s="11">
        <v>3</v>
      </c>
      <c r="K46" s="11">
        <v>92.58</v>
      </c>
      <c r="L46" s="16">
        <f t="shared" si="5"/>
        <v>56.109090909090902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/>
      <c r="AA46" s="11"/>
      <c r="AB46" s="11"/>
      <c r="AC46" s="11"/>
      <c r="AD46" s="11">
        <v>33</v>
      </c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1136</v>
      </c>
      <c r="F47" s="8" t="s">
        <v>42</v>
      </c>
      <c r="G47" s="9">
        <v>8.5416666666666669E-2</v>
      </c>
      <c r="H47" s="9">
        <v>0.10416666666666667</v>
      </c>
      <c r="I47" s="10">
        <f t="shared" si="4"/>
        <v>1.8750000000000003E-2</v>
      </c>
      <c r="J47" s="11">
        <v>3</v>
      </c>
      <c r="K47" s="11">
        <v>92.89</v>
      </c>
      <c r="L47" s="16">
        <f t="shared" si="5"/>
        <v>68.807407407407396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>
        <v>27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1137</v>
      </c>
      <c r="F48" s="8" t="s">
        <v>42</v>
      </c>
      <c r="G48" s="9">
        <v>8.7499999999999994E-2</v>
      </c>
      <c r="H48" s="9">
        <v>0.10972222222222222</v>
      </c>
      <c r="I48" s="10">
        <f t="shared" si="4"/>
        <v>2.2222222222222227E-2</v>
      </c>
      <c r="J48" s="11">
        <v>3</v>
      </c>
      <c r="K48" s="11">
        <v>92.16</v>
      </c>
      <c r="L48" s="16">
        <f t="shared" si="5"/>
        <v>57.599999999999987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/>
      <c r="AA48" s="11"/>
      <c r="AB48" s="11"/>
      <c r="AC48" s="11"/>
      <c r="AD48" s="11">
        <v>32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1138</v>
      </c>
      <c r="F49" s="8" t="s">
        <v>42</v>
      </c>
      <c r="G49" s="9">
        <v>0.10972222222222222</v>
      </c>
      <c r="H49" s="9">
        <v>0.12986111111111112</v>
      </c>
      <c r="I49" s="10">
        <f t="shared" si="4"/>
        <v>2.0138888888888901E-2</v>
      </c>
      <c r="J49" s="11">
        <v>3</v>
      </c>
      <c r="K49" s="11">
        <v>92.71</v>
      </c>
      <c r="L49" s="16">
        <f t="shared" si="5"/>
        <v>63.937931034482716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>
        <v>29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1139</v>
      </c>
      <c r="F50" s="8" t="s">
        <v>42</v>
      </c>
      <c r="G50" s="9">
        <v>0.11736111111111111</v>
      </c>
      <c r="H50" s="9">
        <v>0.13819444444444445</v>
      </c>
      <c r="I50" s="10">
        <f t="shared" si="4"/>
        <v>2.0833333333333343E-2</v>
      </c>
      <c r="J50" s="11">
        <v>3</v>
      </c>
      <c r="K50" s="11">
        <v>92.7</v>
      </c>
      <c r="L50" s="16">
        <f t="shared" si="5"/>
        <v>61.799999999999976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/>
      <c r="AD50" s="11">
        <v>30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1140</v>
      </c>
      <c r="F51" s="8" t="s">
        <v>42</v>
      </c>
      <c r="G51" s="9">
        <v>0.13541666666666666</v>
      </c>
      <c r="H51" s="9">
        <v>0.15555555555555556</v>
      </c>
      <c r="I51" s="10">
        <f t="shared" si="4"/>
        <v>2.0138888888888901E-2</v>
      </c>
      <c r="J51" s="11">
        <v>3</v>
      </c>
      <c r="K51" s="11">
        <v>92.8</v>
      </c>
      <c r="L51" s="16">
        <f t="shared" si="5"/>
        <v>63.999999999999964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/>
      <c r="AB51" s="11">
        <v>29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1141</v>
      </c>
      <c r="F52" s="8" t="s">
        <v>42</v>
      </c>
      <c r="G52" s="9">
        <v>0.84722222222222221</v>
      </c>
      <c r="H52" s="9">
        <v>0.85833333333333328</v>
      </c>
      <c r="I52" s="10">
        <f t="shared" si="4"/>
        <v>1.1111111111111072E-2</v>
      </c>
      <c r="J52" s="11">
        <v>3</v>
      </c>
      <c r="K52" s="11">
        <v>107</v>
      </c>
      <c r="L52" s="16">
        <f t="shared" si="5"/>
        <v>133.75000000000048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/>
      <c r="AC52" s="11">
        <v>16</v>
      </c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1142</v>
      </c>
      <c r="F53" s="8" t="s">
        <v>42</v>
      </c>
      <c r="G53" s="9">
        <v>0.86458333333333337</v>
      </c>
      <c r="H53" s="9">
        <v>0.87638888888888888</v>
      </c>
      <c r="I53" s="10">
        <f t="shared" si="4"/>
        <v>1.1805555555555514E-2</v>
      </c>
      <c r="J53" s="11">
        <v>3</v>
      </c>
      <c r="K53" s="11">
        <v>107</v>
      </c>
      <c r="L53" s="16">
        <f t="shared" si="5"/>
        <v>125.88235294117692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>
        <v>17</v>
      </c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1143</v>
      </c>
      <c r="F54" s="8" t="s">
        <v>42</v>
      </c>
      <c r="G54" s="9">
        <v>0.88472222222222219</v>
      </c>
      <c r="H54" s="9">
        <v>0.89652777777777781</v>
      </c>
      <c r="I54" s="10">
        <f t="shared" si="4"/>
        <v>1.1805555555555625E-2</v>
      </c>
      <c r="J54" s="11">
        <v>3</v>
      </c>
      <c r="K54" s="11">
        <v>107</v>
      </c>
      <c r="L54" s="16">
        <f t="shared" si="5"/>
        <v>125.88235294117572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/>
      <c r="AC54" s="11">
        <v>17</v>
      </c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1144</v>
      </c>
      <c r="F55" s="8" t="s">
        <v>42</v>
      </c>
      <c r="G55" s="9">
        <v>0.90694444444444444</v>
      </c>
      <c r="H55" s="9">
        <v>0.91666666666666663</v>
      </c>
      <c r="I55" s="10">
        <f t="shared" si="4"/>
        <v>9.7222222222221877E-3</v>
      </c>
      <c r="J55" s="11">
        <v>3</v>
      </c>
      <c r="K55" s="11">
        <v>53.5</v>
      </c>
      <c r="L55" s="16">
        <f t="shared" si="5"/>
        <v>76.428571428571701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/>
      <c r="AC55" s="11">
        <v>14</v>
      </c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1145</v>
      </c>
      <c r="F56" s="8" t="s">
        <v>42</v>
      </c>
      <c r="G56" s="9">
        <v>0.93958333333333333</v>
      </c>
      <c r="H56" s="9">
        <v>0.96736111111111112</v>
      </c>
      <c r="I56" s="10">
        <f t="shared" si="4"/>
        <v>2.777777777777779E-2</v>
      </c>
      <c r="J56" s="11">
        <v>4</v>
      </c>
      <c r="K56" s="11">
        <v>80</v>
      </c>
      <c r="L56" s="16">
        <f t="shared" si="5"/>
        <v>29.999999999999986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>
        <v>40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1146</v>
      </c>
      <c r="F57" s="8" t="s">
        <v>42</v>
      </c>
      <c r="G57" s="9">
        <v>0.97638888888888886</v>
      </c>
      <c r="H57" s="9">
        <v>1.0041666666666667</v>
      </c>
      <c r="I57" s="10">
        <f t="shared" si="4"/>
        <v>2.777777777777779E-2</v>
      </c>
      <c r="J57" s="11">
        <v>4</v>
      </c>
      <c r="K57" s="11">
        <v>80</v>
      </c>
      <c r="L57" s="16">
        <f t="shared" si="5"/>
        <v>29.999999999999986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/>
      <c r="Z57" s="11">
        <v>40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1147</v>
      </c>
      <c r="F58" s="8" t="s">
        <v>42</v>
      </c>
      <c r="G58" s="9">
        <v>1.3888888888888888E-2</v>
      </c>
      <c r="H58" s="9">
        <v>4.1666666666666664E-2</v>
      </c>
      <c r="I58" s="10">
        <f t="shared" si="4"/>
        <v>2.7777777777777776E-2</v>
      </c>
      <c r="J58" s="11">
        <v>4</v>
      </c>
      <c r="K58" s="11">
        <v>32</v>
      </c>
      <c r="L58" s="16">
        <f t="shared" si="5"/>
        <v>12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>
        <v>40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1148</v>
      </c>
      <c r="F59" s="8" t="s">
        <v>42</v>
      </c>
      <c r="G59" s="9">
        <v>1.3888888888888888E-2</v>
      </c>
      <c r="H59" s="9">
        <v>4.1666666666666664E-2</v>
      </c>
      <c r="I59" s="10">
        <f t="shared" si="4"/>
        <v>2.7777777777777776E-2</v>
      </c>
      <c r="J59" s="11">
        <v>4</v>
      </c>
      <c r="K59" s="11">
        <v>48</v>
      </c>
      <c r="L59" s="16">
        <f t="shared" ref="L59:L71" si="6">IFERROR(((K59/(J59*I59)/24)),"0")</f>
        <v>18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>
        <v>40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1149</v>
      </c>
      <c r="F60" s="8" t="s">
        <v>42</v>
      </c>
      <c r="G60" s="9">
        <v>3.4027777777777775E-2</v>
      </c>
      <c r="H60" s="9">
        <v>6.1805555555555558E-2</v>
      </c>
      <c r="I60" s="10">
        <f t="shared" si="4"/>
        <v>2.7777777777777783E-2</v>
      </c>
      <c r="J60" s="11">
        <v>4</v>
      </c>
      <c r="K60" s="11">
        <v>80</v>
      </c>
      <c r="L60" s="16">
        <f t="shared" si="6"/>
        <v>29.999999999999996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>
        <v>40</v>
      </c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1150</v>
      </c>
      <c r="F61" s="8" t="s">
        <v>42</v>
      </c>
      <c r="G61" s="9">
        <v>3.9583333333333331E-2</v>
      </c>
      <c r="H61" s="9">
        <v>6.7361111111111108E-2</v>
      </c>
      <c r="I61" s="10">
        <f t="shared" si="4"/>
        <v>2.7777777777777776E-2</v>
      </c>
      <c r="J61" s="11">
        <v>4</v>
      </c>
      <c r="K61" s="11">
        <v>64</v>
      </c>
      <c r="L61" s="16">
        <f t="shared" si="6"/>
        <v>24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>
        <v>40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1151</v>
      </c>
      <c r="F62" s="8" t="s">
        <v>42</v>
      </c>
      <c r="G62" s="9">
        <v>3.9583333333333331E-2</v>
      </c>
      <c r="H62" s="9">
        <v>6.7361111111111108E-2</v>
      </c>
      <c r="I62" s="10">
        <f t="shared" si="4"/>
        <v>2.7777777777777776E-2</v>
      </c>
      <c r="J62" s="11">
        <v>4</v>
      </c>
      <c r="K62" s="11">
        <v>16</v>
      </c>
      <c r="L62" s="16">
        <f t="shared" si="6"/>
        <v>6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>
        <v>40</v>
      </c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1152</v>
      </c>
      <c r="F63" s="8" t="s">
        <v>42</v>
      </c>
      <c r="G63" s="9">
        <v>4.4444444444444446E-2</v>
      </c>
      <c r="H63" s="9">
        <v>7.2222222222222215E-2</v>
      </c>
      <c r="I63" s="10">
        <f t="shared" si="4"/>
        <v>2.7777777777777769E-2</v>
      </c>
      <c r="J63" s="11">
        <v>4</v>
      </c>
      <c r="K63" s="11">
        <v>80</v>
      </c>
      <c r="L63" s="16">
        <f t="shared" si="6"/>
        <v>30.000000000000011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/>
      <c r="Y63" s="11"/>
      <c r="Z63" s="11"/>
      <c r="AA63" s="11">
        <v>40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1153</v>
      </c>
      <c r="F64" s="8" t="s">
        <v>42</v>
      </c>
      <c r="G64" s="9">
        <v>6.5972222222222224E-2</v>
      </c>
      <c r="H64" s="9">
        <v>9.2361111111111116E-2</v>
      </c>
      <c r="I64" s="10">
        <f t="shared" si="4"/>
        <v>2.6388888888888892E-2</v>
      </c>
      <c r="J64" s="11">
        <v>4</v>
      </c>
      <c r="K64" s="11">
        <v>80</v>
      </c>
      <c r="L64" s="16">
        <f t="shared" si="6"/>
        <v>31.578947368421051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>
        <v>40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1154</v>
      </c>
      <c r="F65" s="8" t="s">
        <v>42</v>
      </c>
      <c r="G65" s="9">
        <v>8.1944444444444445E-2</v>
      </c>
      <c r="H65" s="9">
        <v>0.10972222222222222</v>
      </c>
      <c r="I65" s="10">
        <f t="shared" si="4"/>
        <v>2.7777777777777776E-2</v>
      </c>
      <c r="J65" s="11">
        <v>4</v>
      </c>
      <c r="K65" s="11">
        <v>16</v>
      </c>
      <c r="L65" s="16">
        <f t="shared" si="6"/>
        <v>6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/>
      <c r="Y65" s="11"/>
      <c r="Z65" s="11">
        <v>40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1155</v>
      </c>
      <c r="F66" s="8" t="s">
        <v>42</v>
      </c>
      <c r="G66" s="9">
        <v>8.1944444444444445E-2</v>
      </c>
      <c r="H66" s="9">
        <v>0.10972222222222222</v>
      </c>
      <c r="I66" s="10">
        <f t="shared" si="4"/>
        <v>2.7777777777777776E-2</v>
      </c>
      <c r="J66" s="11">
        <v>4</v>
      </c>
      <c r="K66" s="11">
        <v>64</v>
      </c>
      <c r="L66" s="16">
        <f t="shared" si="6"/>
        <v>24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>
        <v>40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1156</v>
      </c>
      <c r="F67" s="8" t="s">
        <v>42</v>
      </c>
      <c r="G67" s="9">
        <v>9.930555555555555E-2</v>
      </c>
      <c r="H67" s="9">
        <v>0.12708333333333333</v>
      </c>
      <c r="I67" s="10">
        <f t="shared" si="4"/>
        <v>2.7777777777777776E-2</v>
      </c>
      <c r="J67" s="11">
        <v>4</v>
      </c>
      <c r="K67" s="11">
        <v>80</v>
      </c>
      <c r="L67" s="16">
        <f t="shared" si="6"/>
        <v>30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2</v>
      </c>
      <c r="X67" s="11"/>
      <c r="Y67" s="11"/>
      <c r="Z67" s="11"/>
      <c r="AA67" s="11">
        <v>40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1157</v>
      </c>
      <c r="F68" s="8" t="s">
        <v>42</v>
      </c>
      <c r="G68" s="9">
        <v>0.10347222222222222</v>
      </c>
      <c r="H68" s="9">
        <v>0.13125000000000001</v>
      </c>
      <c r="I68" s="10">
        <f t="shared" si="4"/>
        <v>2.777777777777779E-2</v>
      </c>
      <c r="J68" s="11">
        <v>4</v>
      </c>
      <c r="K68" s="11">
        <v>48</v>
      </c>
      <c r="L68" s="16">
        <f t="shared" si="6"/>
        <v>17.999999999999993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>
        <v>40</v>
      </c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1158</v>
      </c>
      <c r="F69" s="8" t="s">
        <v>42</v>
      </c>
      <c r="G69" s="9">
        <v>0.10347222222222222</v>
      </c>
      <c r="H69" s="9">
        <v>0.172916666666667</v>
      </c>
      <c r="I69" s="10">
        <f t="shared" si="4"/>
        <v>6.9444444444444781E-2</v>
      </c>
      <c r="J69" s="11">
        <v>4</v>
      </c>
      <c r="K69" s="11">
        <v>32</v>
      </c>
      <c r="L69" s="16">
        <f t="shared" si="6"/>
        <v>4.7999999999999767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2</v>
      </c>
      <c r="X69" s="11">
        <v>40</v>
      </c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1159</v>
      </c>
      <c r="F70" s="8" t="s">
        <v>42</v>
      </c>
      <c r="G70" s="9">
        <v>0.1125</v>
      </c>
      <c r="H70" s="9">
        <v>0.14027777777777778</v>
      </c>
      <c r="I70" s="10">
        <f t="shared" si="4"/>
        <v>2.7777777777777776E-2</v>
      </c>
      <c r="J70" s="11">
        <v>4</v>
      </c>
      <c r="K70" s="11">
        <v>80</v>
      </c>
      <c r="L70" s="16">
        <f t="shared" si="6"/>
        <v>30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>
        <v>40</v>
      </c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1160</v>
      </c>
      <c r="F71" s="14"/>
      <c r="G71" s="9">
        <v>0.11805555555555555</v>
      </c>
      <c r="H71" s="9">
        <v>0.14583333333333334</v>
      </c>
      <c r="I71" s="10">
        <f t="shared" si="4"/>
        <v>2.777777777777779E-2</v>
      </c>
      <c r="J71" s="11">
        <v>4</v>
      </c>
      <c r="K71" s="11">
        <v>80</v>
      </c>
      <c r="L71" s="16">
        <f t="shared" si="6"/>
        <v>29.999999999999986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1"/>
      <c r="Y71" s="11"/>
      <c r="Z71" s="11">
        <v>40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1161</v>
      </c>
      <c r="F72" s="8" t="s">
        <v>42</v>
      </c>
      <c r="G72" s="9">
        <v>0.13194444444444445</v>
      </c>
      <c r="H72" s="9">
        <v>0.15972222222222221</v>
      </c>
      <c r="I72" s="10">
        <f t="shared" ref="I72:I81" si="7">H72-G72</f>
        <v>2.7777777777777762E-2</v>
      </c>
      <c r="J72" s="11">
        <v>4</v>
      </c>
      <c r="K72" s="11">
        <v>80</v>
      </c>
      <c r="L72" s="16">
        <f t="shared" ref="L72:L81" si="8">IFERROR(((K72/(J72*I72)/24)),"0")</f>
        <v>30.000000000000018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2</v>
      </c>
      <c r="W72" s="12"/>
      <c r="X72" s="11"/>
      <c r="Y72" s="11"/>
      <c r="Z72" s="11"/>
      <c r="AA72" s="11">
        <v>40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1162</v>
      </c>
      <c r="F73" s="8" t="s">
        <v>42</v>
      </c>
      <c r="G73" s="9">
        <v>0.1361111111111111</v>
      </c>
      <c r="H73" s="9">
        <v>0.16388888888888889</v>
      </c>
      <c r="I73" s="10">
        <f t="shared" si="7"/>
        <v>2.777777777777779E-2</v>
      </c>
      <c r="J73" s="11">
        <v>4</v>
      </c>
      <c r="K73" s="11">
        <v>80</v>
      </c>
      <c r="L73" s="16">
        <f t="shared" si="8"/>
        <v>29.999999999999986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>
        <v>40</v>
      </c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1163</v>
      </c>
      <c r="F74" s="8" t="s">
        <v>42</v>
      </c>
      <c r="G74" s="9">
        <v>0.14374999999999999</v>
      </c>
      <c r="H74" s="9">
        <v>0.17152777777777778</v>
      </c>
      <c r="I74" s="10">
        <f t="shared" si="7"/>
        <v>2.777777777777779E-2</v>
      </c>
      <c r="J74" s="11">
        <v>4</v>
      </c>
      <c r="K74" s="11">
        <v>32</v>
      </c>
      <c r="L74" s="16">
        <f t="shared" si="8"/>
        <v>11.999999999999995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/>
      <c r="Y74" s="11">
        <v>40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1164</v>
      </c>
      <c r="F75" s="8" t="s">
        <v>42</v>
      </c>
      <c r="G75" s="9">
        <v>0.14374999999999999</v>
      </c>
      <c r="H75" s="9">
        <v>0.17152777777777778</v>
      </c>
      <c r="I75" s="10">
        <f t="shared" si="7"/>
        <v>2.777777777777779E-2</v>
      </c>
      <c r="J75" s="11">
        <v>4</v>
      </c>
      <c r="K75" s="11">
        <v>48</v>
      </c>
      <c r="L75" s="16">
        <f t="shared" si="8"/>
        <v>17.999999999999993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>
        <v>40</v>
      </c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1165</v>
      </c>
      <c r="F76" s="8" t="s">
        <v>42</v>
      </c>
      <c r="G76" s="9">
        <v>0.15138888888888888</v>
      </c>
      <c r="H76" s="9">
        <v>0.17916666666666667</v>
      </c>
      <c r="I76" s="10">
        <f t="shared" si="7"/>
        <v>2.777777777777779E-2</v>
      </c>
      <c r="J76" s="11">
        <v>4</v>
      </c>
      <c r="K76" s="11">
        <v>73.7</v>
      </c>
      <c r="L76" s="16">
        <f t="shared" si="8"/>
        <v>27.637499999999989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2</v>
      </c>
      <c r="W76" s="12"/>
      <c r="X76" s="11"/>
      <c r="Y76" s="11"/>
      <c r="Z76" s="11">
        <v>40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/>
      <c r="F77" s="19"/>
      <c r="G77" s="19"/>
      <c r="H77" s="19"/>
      <c r="I77" s="19"/>
      <c r="J77" s="19"/>
      <c r="K77" s="19"/>
      <c r="L77" s="19"/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 t="s">
        <v>1032</v>
      </c>
      <c r="E78" s="19" t="s">
        <v>1166</v>
      </c>
      <c r="F78" s="8" t="s">
        <v>42</v>
      </c>
      <c r="G78" s="9">
        <v>0.8666666666666667</v>
      </c>
      <c r="H78" s="9">
        <v>0.87222222222222223</v>
      </c>
      <c r="I78" s="10">
        <f t="shared" si="7"/>
        <v>5.5555555555555358E-3</v>
      </c>
      <c r="J78" s="11">
        <v>2</v>
      </c>
      <c r="K78" s="11">
        <f>5*13</f>
        <v>65</v>
      </c>
      <c r="L78" s="16">
        <f t="shared" si="8"/>
        <v>243.75000000000088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8</v>
      </c>
      <c r="W78" s="12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/>
      <c r="F79" s="19"/>
      <c r="G79" s="19"/>
      <c r="H79" s="19"/>
      <c r="I79" s="19"/>
      <c r="J79" s="19"/>
      <c r="K79" s="19"/>
      <c r="L79" s="19"/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 t="s">
        <v>1167</v>
      </c>
      <c r="E80" s="19" t="s">
        <v>1168</v>
      </c>
      <c r="F80" s="8" t="s">
        <v>42</v>
      </c>
      <c r="G80" s="9">
        <v>0.8125</v>
      </c>
      <c r="H80" s="9">
        <v>0.88541666666666663</v>
      </c>
      <c r="I80" s="10">
        <f t="shared" si="7"/>
        <v>7.291666666666663E-2</v>
      </c>
      <c r="J80" s="11">
        <v>4</v>
      </c>
      <c r="K80" s="11">
        <v>100.25</v>
      </c>
      <c r="L80" s="16">
        <f t="shared" si="8"/>
        <v>14.321428571428578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/>
      <c r="Y80" s="11"/>
      <c r="Z80" s="11"/>
      <c r="AA80" s="11"/>
      <c r="AB80" s="11"/>
      <c r="AC80" s="11"/>
      <c r="AD80" s="11"/>
      <c r="AE80" s="11"/>
      <c r="AF80" s="11"/>
      <c r="AG80" s="11">
        <f>105/4</f>
        <v>26.25</v>
      </c>
      <c r="AH80" s="11">
        <f>105/4</f>
        <v>26.25</v>
      </c>
      <c r="AI80" s="11">
        <f>105/4</f>
        <v>26.25</v>
      </c>
      <c r="AJ80" s="11">
        <f>105/4</f>
        <v>26.25</v>
      </c>
      <c r="AK80" s="11"/>
      <c r="AL80" s="14"/>
    </row>
    <row r="81" spans="1:38" ht="25.05" customHeight="1">
      <c r="B81" s="13"/>
      <c r="C81" s="29"/>
      <c r="D81" s="30"/>
      <c r="E81" s="19" t="s">
        <v>1169</v>
      </c>
      <c r="F81" s="8" t="s">
        <v>42</v>
      </c>
      <c r="G81" s="9">
        <v>0.89375000000000004</v>
      </c>
      <c r="H81" s="9">
        <v>0.92152777777777772</v>
      </c>
      <c r="I81" s="10">
        <f t="shared" si="7"/>
        <v>2.7777777777777679E-2</v>
      </c>
      <c r="J81" s="11">
        <v>4</v>
      </c>
      <c r="K81" s="11">
        <v>50.44</v>
      </c>
      <c r="L81" s="16">
        <f t="shared" si="8"/>
        <v>18.915000000000067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/>
      <c r="AA81" s="11"/>
      <c r="AB81" s="11"/>
      <c r="AC81" s="11"/>
      <c r="AD81" s="11"/>
      <c r="AE81" s="11"/>
      <c r="AF81" s="11"/>
      <c r="AG81" s="11">
        <f>40/4</f>
        <v>10</v>
      </c>
      <c r="AH81" s="11">
        <f>40/4</f>
        <v>10</v>
      </c>
      <c r="AI81" s="11">
        <f>40/4</f>
        <v>10</v>
      </c>
      <c r="AJ81" s="11">
        <f>40/4</f>
        <v>10</v>
      </c>
      <c r="AK81" s="11"/>
      <c r="AL81" s="14"/>
    </row>
    <row r="82" spans="1:38" ht="25.05" customHeight="1">
      <c r="B82" s="13"/>
      <c r="C82" s="29"/>
      <c r="D82" s="30"/>
      <c r="E82" s="19"/>
      <c r="F82" s="8" t="s">
        <v>42</v>
      </c>
      <c r="G82" s="9"/>
      <c r="H82" s="9"/>
      <c r="I82" s="10">
        <v>4</v>
      </c>
      <c r="J82" s="11"/>
      <c r="K82" s="11"/>
      <c r="L82" s="16" t="str">
        <f t="shared" ref="L82" si="9">IFERROR(((K82/(J82*I82)/24)),"0")</f>
        <v>0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1:38" s="28" customFormat="1" ht="25.5" customHeight="1">
      <c r="A83" s="2"/>
      <c r="B83" s="32"/>
      <c r="C83" s="33"/>
      <c r="D83" s="34"/>
      <c r="E83" s="35"/>
      <c r="F83" s="35"/>
      <c r="G83" s="36"/>
      <c r="H83" s="36"/>
      <c r="I83" s="37"/>
      <c r="J83" s="38"/>
      <c r="K83" s="38">
        <f t="shared" ref="K83:AL83" si="10">SUM(K21:K82)</f>
        <v>5315.17</v>
      </c>
      <c r="L83" s="39">
        <f t="shared" si="10"/>
        <v>3460.8828198884034</v>
      </c>
      <c r="M83" s="38">
        <f t="shared" si="10"/>
        <v>0</v>
      </c>
      <c r="N83" s="38">
        <f t="shared" si="10"/>
        <v>0</v>
      </c>
      <c r="O83" s="38">
        <f t="shared" si="10"/>
        <v>0</v>
      </c>
      <c r="P83" s="38">
        <f t="shared" si="10"/>
        <v>0</v>
      </c>
      <c r="Q83" s="38">
        <f t="shared" si="10"/>
        <v>0</v>
      </c>
      <c r="R83" s="38">
        <f t="shared" si="10"/>
        <v>0</v>
      </c>
      <c r="S83" s="38">
        <f t="shared" si="10"/>
        <v>0</v>
      </c>
      <c r="T83" s="38">
        <f t="shared" si="10"/>
        <v>0</v>
      </c>
      <c r="U83" s="38">
        <f t="shared" si="10"/>
        <v>0</v>
      </c>
      <c r="V83" s="38">
        <f t="shared" si="10"/>
        <v>70</v>
      </c>
      <c r="W83" s="38">
        <f t="shared" si="10"/>
        <v>48</v>
      </c>
      <c r="X83" s="38">
        <f t="shared" si="10"/>
        <v>300.33333333333331</v>
      </c>
      <c r="Y83" s="38">
        <f t="shared" si="10"/>
        <v>289.33</v>
      </c>
      <c r="Z83" s="38">
        <f t="shared" si="10"/>
        <v>372.33</v>
      </c>
      <c r="AA83" s="38">
        <f t="shared" si="10"/>
        <v>197</v>
      </c>
      <c r="AB83" s="38">
        <f t="shared" si="10"/>
        <v>268</v>
      </c>
      <c r="AC83" s="38">
        <f t="shared" si="10"/>
        <v>108</v>
      </c>
      <c r="AD83" s="38">
        <f t="shared" si="10"/>
        <v>182</v>
      </c>
      <c r="AE83" s="38">
        <f t="shared" si="10"/>
        <v>0</v>
      </c>
      <c r="AF83" s="38">
        <f t="shared" si="10"/>
        <v>0</v>
      </c>
      <c r="AG83" s="38">
        <f t="shared" si="10"/>
        <v>36.25</v>
      </c>
      <c r="AH83" s="38">
        <f t="shared" si="10"/>
        <v>36.25</v>
      </c>
      <c r="AI83" s="38">
        <f t="shared" si="10"/>
        <v>36.25</v>
      </c>
      <c r="AJ83" s="38">
        <f t="shared" si="10"/>
        <v>36.25</v>
      </c>
      <c r="AK83" s="38">
        <f t="shared" si="10"/>
        <v>0</v>
      </c>
      <c r="AL83" s="38">
        <f t="shared" si="10"/>
        <v>0</v>
      </c>
    </row>
    <row r="84" spans="1:38" ht="38.1" customHeight="1">
      <c r="B84" s="40" t="s">
        <v>45</v>
      </c>
      <c r="C84" s="41"/>
      <c r="D84" s="41"/>
      <c r="E84" s="41"/>
      <c r="F84" s="41"/>
      <c r="G84" s="41"/>
      <c r="H84" s="41"/>
      <c r="I84" s="41"/>
      <c r="J84" s="41"/>
      <c r="K84" s="42">
        <f>K17+K20+K83</f>
        <v>6593.1</v>
      </c>
      <c r="L84" s="42">
        <f>L17+L20+L83</f>
        <v>4214.8499421082925</v>
      </c>
      <c r="M84" s="43">
        <f t="shared" ref="M84:AL84" si="11">(M17+M20+M83)/(480-15-30)</f>
        <v>0.59540229885057472</v>
      </c>
      <c r="N84" s="43">
        <f t="shared" si="11"/>
        <v>0</v>
      </c>
      <c r="O84" s="43">
        <f t="shared" si="11"/>
        <v>0</v>
      </c>
      <c r="P84" s="43">
        <f t="shared" si="11"/>
        <v>0</v>
      </c>
      <c r="Q84" s="43">
        <f t="shared" si="11"/>
        <v>0.36091954022988504</v>
      </c>
      <c r="R84" s="43">
        <f t="shared" si="11"/>
        <v>0</v>
      </c>
      <c r="S84" s="43">
        <f t="shared" si="11"/>
        <v>0.64827586206896548</v>
      </c>
      <c r="T84" s="43">
        <f t="shared" si="11"/>
        <v>0</v>
      </c>
      <c r="U84" s="43">
        <f t="shared" si="11"/>
        <v>0</v>
      </c>
      <c r="V84" s="43">
        <f t="shared" si="11"/>
        <v>0.16091954022988506</v>
      </c>
      <c r="W84" s="43">
        <f t="shared" si="11"/>
        <v>0.1103448275862069</v>
      </c>
      <c r="X84" s="43">
        <f t="shared" si="11"/>
        <v>0.6904214559386973</v>
      </c>
      <c r="Y84" s="43">
        <f t="shared" si="11"/>
        <v>0.66512643678160921</v>
      </c>
      <c r="Z84" s="43">
        <f t="shared" si="11"/>
        <v>0.85593103448275853</v>
      </c>
      <c r="AA84" s="43">
        <f t="shared" si="11"/>
        <v>0.45287356321839078</v>
      </c>
      <c r="AB84" s="43">
        <f t="shared" si="11"/>
        <v>0.61609195402298855</v>
      </c>
      <c r="AC84" s="43">
        <f t="shared" si="11"/>
        <v>0.24827586206896551</v>
      </c>
      <c r="AD84" s="43">
        <f t="shared" si="11"/>
        <v>0.41839080459770117</v>
      </c>
      <c r="AE84" s="43">
        <f t="shared" si="11"/>
        <v>0</v>
      </c>
      <c r="AF84" s="43">
        <f t="shared" si="11"/>
        <v>0</v>
      </c>
      <c r="AG84" s="43">
        <f t="shared" si="11"/>
        <v>8.3333333333333329E-2</v>
      </c>
      <c r="AH84" s="43">
        <f t="shared" si="11"/>
        <v>8.3333333333333329E-2</v>
      </c>
      <c r="AI84" s="43">
        <f t="shared" si="11"/>
        <v>8.3333333333333329E-2</v>
      </c>
      <c r="AJ84" s="43">
        <f t="shared" si="11"/>
        <v>8.3333333333333329E-2</v>
      </c>
      <c r="AK84" s="43">
        <f t="shared" si="11"/>
        <v>0</v>
      </c>
      <c r="AL84" s="43">
        <f t="shared" si="11"/>
        <v>0</v>
      </c>
    </row>
    <row r="85" spans="1:38" ht="25.05" customHeight="1">
      <c r="B85" s="44"/>
      <c r="C85" s="44"/>
      <c r="D85" s="44"/>
      <c r="E85" s="45"/>
      <c r="F85" s="45"/>
      <c r="G85" s="45"/>
      <c r="H85" s="45"/>
      <c r="I85" s="46"/>
      <c r="J85" s="46"/>
      <c r="K85" s="45"/>
      <c r="L85" s="47"/>
      <c r="M85" s="47"/>
      <c r="N85" s="47"/>
      <c r="O85" s="47"/>
      <c r="P85" s="47"/>
      <c r="Q85" s="45"/>
      <c r="R85" s="45"/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  <c r="AE85" s="45"/>
      <c r="AF85" s="45"/>
      <c r="AG85" s="45"/>
      <c r="AH85" s="45"/>
      <c r="AI85" s="45"/>
      <c r="AJ85" s="45"/>
    </row>
    <row r="86" spans="1:38" ht="25.05" customHeight="1">
      <c r="B86" s="44"/>
      <c r="C86" s="44"/>
      <c r="D86" s="44"/>
      <c r="E86" s="45"/>
      <c r="F86" s="45"/>
      <c r="G86" s="45"/>
      <c r="H86" s="45"/>
      <c r="I86" s="48" t="s">
        <v>46</v>
      </c>
      <c r="J86" s="46"/>
      <c r="K86" s="45"/>
      <c r="L86" s="47"/>
      <c r="M86" s="47"/>
      <c r="N86" s="47"/>
      <c r="O86" s="47"/>
      <c r="P86" s="47"/>
      <c r="Q86" s="45"/>
      <c r="R86" s="45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  <c r="AI86" s="45"/>
      <c r="AJ86" s="45"/>
    </row>
    <row r="87" spans="1:38" ht="25.05" customHeight="1">
      <c r="B87" s="44"/>
      <c r="C87" s="44"/>
      <c r="D87" s="44"/>
      <c r="E87" s="45"/>
      <c r="F87" s="45"/>
      <c r="G87" s="45"/>
      <c r="H87" s="45"/>
      <c r="I87" s="49" t="s">
        <v>47</v>
      </c>
      <c r="J87" s="9">
        <v>0</v>
      </c>
      <c r="K87" s="11">
        <v>6</v>
      </c>
      <c r="L87" s="11" t="s">
        <v>48</v>
      </c>
      <c r="M87" s="47"/>
      <c r="N87" s="14">
        <v>2</v>
      </c>
      <c r="O87" s="14"/>
      <c r="P87" s="14"/>
      <c r="Q87" s="50" t="s">
        <v>49</v>
      </c>
      <c r="R87" s="51"/>
      <c r="S87" s="45"/>
      <c r="T87" s="45"/>
      <c r="U87" s="45"/>
      <c r="V87" s="45"/>
      <c r="W87" s="45"/>
      <c r="X87" s="45"/>
      <c r="Y87" s="45"/>
      <c r="Z87" s="45"/>
      <c r="AA87" s="45"/>
      <c r="AC87" s="45"/>
      <c r="AD87" s="45"/>
      <c r="AE87" s="45"/>
      <c r="AF87" s="45"/>
      <c r="AG87" s="45"/>
      <c r="AH87" s="45"/>
    </row>
    <row r="88" spans="1:38" ht="25.05" customHeight="1">
      <c r="B88" s="44"/>
      <c r="C88" s="44"/>
      <c r="D88" s="44"/>
      <c r="E88" s="45"/>
      <c r="F88" s="45"/>
      <c r="G88" s="45"/>
      <c r="H88" s="45"/>
      <c r="I88" s="49" t="s">
        <v>50</v>
      </c>
      <c r="J88" s="9">
        <v>0</v>
      </c>
      <c r="K88" s="11">
        <v>0</v>
      </c>
      <c r="L88" s="11" t="s">
        <v>48</v>
      </c>
      <c r="M88" s="47"/>
      <c r="N88" s="14">
        <v>0</v>
      </c>
      <c r="O88" s="14"/>
      <c r="P88" s="14"/>
      <c r="Q88" s="50" t="s">
        <v>51</v>
      </c>
      <c r="R88" s="51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</row>
    <row r="89" spans="1:38" ht="25.05" customHeight="1">
      <c r="B89" s="44"/>
      <c r="C89" s="44"/>
      <c r="D89" s="44"/>
      <c r="E89" s="45"/>
      <c r="F89" s="45"/>
      <c r="G89" s="45"/>
      <c r="H89" s="45"/>
      <c r="I89" s="49" t="s">
        <v>52</v>
      </c>
      <c r="J89" s="9">
        <v>0</v>
      </c>
      <c r="K89" s="11">
        <v>12</v>
      </c>
      <c r="L89" s="11" t="s">
        <v>48</v>
      </c>
      <c r="M89" s="47"/>
      <c r="N89" s="14">
        <v>0</v>
      </c>
      <c r="O89" s="14"/>
      <c r="P89" s="14"/>
      <c r="Q89" s="50" t="s">
        <v>53</v>
      </c>
      <c r="R89" s="51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</row>
    <row r="90" spans="1:38" ht="25.05" customHeight="1">
      <c r="B90" s="44"/>
      <c r="C90" s="44"/>
      <c r="D90" s="44"/>
      <c r="E90" s="45"/>
      <c r="F90" s="45"/>
      <c r="G90" s="45"/>
      <c r="H90" s="45"/>
      <c r="I90" s="52" t="s">
        <v>54</v>
      </c>
      <c r="J90" s="53">
        <v>0</v>
      </c>
      <c r="K90" s="11">
        <v>2</v>
      </c>
      <c r="L90" s="54" t="s">
        <v>48</v>
      </c>
      <c r="M90" s="47"/>
      <c r="N90" s="14">
        <v>3</v>
      </c>
      <c r="O90" s="14"/>
      <c r="P90" s="14"/>
      <c r="Q90" s="50" t="s">
        <v>55</v>
      </c>
      <c r="R90" s="51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</row>
    <row r="91" spans="1:38" ht="25.05" customHeight="1">
      <c r="B91" s="44"/>
      <c r="C91" s="44"/>
      <c r="D91" s="44"/>
      <c r="E91" s="45"/>
      <c r="F91" s="45"/>
      <c r="G91" s="45"/>
      <c r="H91" s="45"/>
      <c r="I91" s="49" t="s">
        <v>56</v>
      </c>
      <c r="J91" s="9">
        <v>0</v>
      </c>
      <c r="K91" s="11">
        <v>20</v>
      </c>
      <c r="L91" s="11" t="s">
        <v>48</v>
      </c>
      <c r="M91" s="47"/>
      <c r="N91"/>
      <c r="O91"/>
      <c r="P91"/>
      <c r="Q91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</row>
    <row r="92" spans="1:38" ht="25.05" customHeight="1">
      <c r="B92" s="44"/>
      <c r="C92" s="44"/>
      <c r="D92" s="44"/>
      <c r="E92" s="45"/>
      <c r="F92" s="45"/>
      <c r="G92" s="45"/>
      <c r="H92" s="45"/>
      <c r="M92" s="47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</row>
    <row r="93" spans="1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5542C-1DF9-4C39-8FBC-B6AD89582EFE}">
  <sheetPr>
    <pageSetUpPr fitToPage="1"/>
  </sheetPr>
  <dimension ref="A2:AL178"/>
  <sheetViews>
    <sheetView zoomScaleNormal="100" workbookViewId="0">
      <pane xSplit="12" ySplit="3" topLeftCell="M13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80.44140625" style="2" customWidth="1"/>
    <col min="5" max="5" width="56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2" spans="2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2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2:38" ht="25.05" customHeight="1">
      <c r="B4" s="5" t="s">
        <v>1170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3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2:38" ht="25.05" customHeight="1">
      <c r="B5" s="13"/>
      <c r="C5" s="14"/>
      <c r="D5" s="6" t="s">
        <v>1004</v>
      </c>
      <c r="E5" s="15" t="s">
        <v>1171</v>
      </c>
      <c r="F5" s="55" t="s">
        <v>87</v>
      </c>
      <c r="G5" s="9">
        <v>0.29166666666666669</v>
      </c>
      <c r="H5" s="9">
        <v>0.2986111111111111</v>
      </c>
      <c r="I5" s="10">
        <f t="shared" si="0"/>
        <v>6.9444444444444198E-3</v>
      </c>
      <c r="J5" s="11">
        <v>1</v>
      </c>
      <c r="K5" s="27">
        <v>8.5</v>
      </c>
      <c r="L5" s="16">
        <f t="shared" ref="L5:L23" si="1">IFERROR(((K5/(J5*I5)/24)),"0")</f>
        <v>51.000000000000178</v>
      </c>
      <c r="M5" s="11">
        <v>10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ht="25.5" customHeight="1">
      <c r="B6" s="13"/>
      <c r="C6" s="14"/>
      <c r="D6" s="6"/>
      <c r="E6" s="15" t="s">
        <v>1172</v>
      </c>
      <c r="F6" s="55" t="s">
        <v>87</v>
      </c>
      <c r="G6" s="9">
        <v>0.3</v>
      </c>
      <c r="H6" s="9">
        <v>0.3125</v>
      </c>
      <c r="I6" s="10">
        <f t="shared" si="0"/>
        <v>1.2500000000000011E-2</v>
      </c>
      <c r="J6" s="11">
        <v>1</v>
      </c>
      <c r="K6" s="27">
        <v>55</v>
      </c>
      <c r="L6" s="16">
        <f t="shared" si="1"/>
        <v>183.33333333333317</v>
      </c>
      <c r="M6" s="11">
        <v>18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2:38" ht="25.05" customHeight="1">
      <c r="B7" s="13"/>
      <c r="C7" s="14"/>
      <c r="D7" s="114"/>
      <c r="E7" s="15" t="s">
        <v>1173</v>
      </c>
      <c r="F7" s="20">
        <v>1</v>
      </c>
      <c r="G7" s="9">
        <v>0.31388888888888888</v>
      </c>
      <c r="H7" s="9">
        <v>0.3298611111111111</v>
      </c>
      <c r="I7" s="10">
        <f t="shared" si="0"/>
        <v>1.5972222222222221E-2</v>
      </c>
      <c r="J7" s="11">
        <v>1</v>
      </c>
      <c r="K7" s="27">
        <v>40.700000000000003</v>
      </c>
      <c r="L7" s="16">
        <f t="shared" si="1"/>
        <v>106.17391304347827</v>
      </c>
      <c r="M7" s="11">
        <v>23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2:38" ht="25.05" customHeight="1">
      <c r="B8" s="13"/>
      <c r="C8" s="14"/>
      <c r="D8" s="30"/>
      <c r="E8" s="15" t="s">
        <v>1174</v>
      </c>
      <c r="F8" s="14" t="s">
        <v>1116</v>
      </c>
      <c r="G8" s="9">
        <v>0.29166666666666669</v>
      </c>
      <c r="H8" s="9">
        <v>0.34722222222222221</v>
      </c>
      <c r="I8" s="10">
        <f t="shared" si="0"/>
        <v>5.5555555555555525E-2</v>
      </c>
      <c r="J8" s="11">
        <v>7</v>
      </c>
      <c r="K8" s="27">
        <v>83.35</v>
      </c>
      <c r="L8" s="16">
        <f t="shared" si="1"/>
        <v>8.9303571428571473</v>
      </c>
      <c r="M8" s="11"/>
      <c r="N8" s="11"/>
      <c r="O8" s="11"/>
      <c r="P8" s="11"/>
      <c r="Q8" s="11"/>
      <c r="R8" s="12"/>
      <c r="S8" s="12">
        <v>80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2:38" ht="24.75" customHeight="1">
      <c r="B9" s="13"/>
      <c r="C9" s="14"/>
      <c r="D9" s="6"/>
      <c r="E9" s="15" t="s">
        <v>1012</v>
      </c>
      <c r="F9" s="130" t="s">
        <v>42</v>
      </c>
      <c r="G9" s="9">
        <v>0.29166666666666669</v>
      </c>
      <c r="H9" s="9">
        <v>0.34027777777777779</v>
      </c>
      <c r="I9" s="10">
        <f t="shared" si="0"/>
        <v>4.8611111111111105E-2</v>
      </c>
      <c r="J9" s="11">
        <v>2</v>
      </c>
      <c r="K9" s="27">
        <v>317.60000000000002</v>
      </c>
      <c r="L9" s="16">
        <f t="shared" si="1"/>
        <v>136.11428571428573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2:38" ht="24.75" customHeight="1">
      <c r="B10" s="13"/>
      <c r="C10" s="14"/>
      <c r="D10" s="6"/>
      <c r="E10" s="15" t="s">
        <v>1005</v>
      </c>
      <c r="F10" s="130" t="s">
        <v>42</v>
      </c>
      <c r="G10" s="9">
        <v>0.34375</v>
      </c>
      <c r="H10" s="9">
        <v>0.39930555555555558</v>
      </c>
      <c r="I10" s="10">
        <f t="shared" si="0"/>
        <v>5.555555555555558E-2</v>
      </c>
      <c r="J10" s="11">
        <v>2</v>
      </c>
      <c r="K10" s="27">
        <v>314</v>
      </c>
      <c r="L10" s="16">
        <f t="shared" si="1"/>
        <v>117.74999999999994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2:38" ht="24.75" customHeight="1">
      <c r="B11" s="13"/>
      <c r="C11" s="14"/>
      <c r="D11" s="6" t="s">
        <v>1175</v>
      </c>
      <c r="E11" s="17" t="s">
        <v>1176</v>
      </c>
      <c r="F11" s="88" t="s">
        <v>99</v>
      </c>
      <c r="G11" s="9">
        <v>0.35069444444444442</v>
      </c>
      <c r="H11" s="9">
        <v>0.38194444444444442</v>
      </c>
      <c r="I11" s="10">
        <f t="shared" si="0"/>
        <v>3.125E-2</v>
      </c>
      <c r="J11" s="11">
        <v>7</v>
      </c>
      <c r="K11" s="27">
        <v>132</v>
      </c>
      <c r="L11" s="16">
        <f t="shared" si="1"/>
        <v>25.142857142857142</v>
      </c>
      <c r="M11" s="11"/>
      <c r="N11" s="11"/>
      <c r="O11" s="11"/>
      <c r="P11" s="11"/>
      <c r="Q11" s="11"/>
      <c r="R11" s="12"/>
      <c r="S11" s="12">
        <v>45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2:38" ht="24.75" customHeight="1">
      <c r="B12" s="13"/>
      <c r="C12" s="14"/>
      <c r="D12" s="6"/>
      <c r="E12" s="17" t="s">
        <v>1177</v>
      </c>
      <c r="F12" s="88" t="s">
        <v>1178</v>
      </c>
      <c r="G12" s="9">
        <v>0.3888888888888889</v>
      </c>
      <c r="H12" s="9">
        <v>0.4375</v>
      </c>
      <c r="I12" s="10">
        <f t="shared" si="0"/>
        <v>4.8611111111111105E-2</v>
      </c>
      <c r="J12" s="11">
        <v>8</v>
      </c>
      <c r="K12" s="27">
        <v>151.88999999999999</v>
      </c>
      <c r="L12" s="16">
        <f t="shared" si="1"/>
        <v>16.273928571428574</v>
      </c>
      <c r="M12" s="11"/>
      <c r="N12" s="11"/>
      <c r="O12" s="11"/>
      <c r="P12" s="11"/>
      <c r="Q12" s="11"/>
      <c r="R12" s="12"/>
      <c r="S12" s="12">
        <v>70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2:38" ht="24.75" customHeight="1">
      <c r="B13" s="13"/>
      <c r="C13" s="14"/>
      <c r="D13" s="6"/>
      <c r="E13" s="15" t="s">
        <v>490</v>
      </c>
      <c r="F13" s="130" t="s">
        <v>42</v>
      </c>
      <c r="G13" s="9">
        <v>0.375</v>
      </c>
      <c r="H13" s="9">
        <v>0.39583333333333331</v>
      </c>
      <c r="I13" s="10">
        <f t="shared" si="0"/>
        <v>2.0833333333333315E-2</v>
      </c>
      <c r="J13" s="11">
        <v>1</v>
      </c>
      <c r="K13" s="27">
        <v>80</v>
      </c>
      <c r="L13" s="16">
        <f t="shared" si="1"/>
        <v>160.00000000000014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2:38" ht="24.75" customHeight="1">
      <c r="B14" s="13"/>
      <c r="C14" s="14"/>
      <c r="D14" s="6"/>
      <c r="E14" s="18" t="s">
        <v>1179</v>
      </c>
      <c r="F14" s="130" t="s">
        <v>42</v>
      </c>
      <c r="G14" s="9">
        <v>0.39583333333333331</v>
      </c>
      <c r="H14" s="9">
        <v>0.44444444444444442</v>
      </c>
      <c r="I14" s="10">
        <f t="shared" si="0"/>
        <v>4.8611111111111105E-2</v>
      </c>
      <c r="J14" s="11">
        <v>2</v>
      </c>
      <c r="K14" s="27">
        <v>132</v>
      </c>
      <c r="L14" s="16">
        <f t="shared" si="1"/>
        <v>56.571428571428577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2:38" ht="24.75" customHeight="1">
      <c r="B15" s="13"/>
      <c r="C15" s="14"/>
      <c r="D15" s="6"/>
      <c r="E15" s="15" t="s">
        <v>96</v>
      </c>
      <c r="F15" s="130" t="s">
        <v>42</v>
      </c>
      <c r="G15" s="9">
        <v>0.4375</v>
      </c>
      <c r="H15" s="9">
        <v>0.4513888888888889</v>
      </c>
      <c r="I15" s="10">
        <f t="shared" si="0"/>
        <v>1.3888888888888895E-2</v>
      </c>
      <c r="J15" s="11">
        <v>12</v>
      </c>
      <c r="K15" s="27" t="s">
        <v>42</v>
      </c>
      <c r="L15" s="16" t="str">
        <f t="shared" si="1"/>
        <v>0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2:38" ht="24.75" customHeight="1">
      <c r="B16" s="13"/>
      <c r="C16" s="14"/>
      <c r="D16" s="6" t="s">
        <v>1175</v>
      </c>
      <c r="E16" s="17" t="s">
        <v>1177</v>
      </c>
      <c r="F16" s="88" t="s">
        <v>1178</v>
      </c>
      <c r="G16" s="9">
        <v>0.49305555555555558</v>
      </c>
      <c r="H16" s="9">
        <v>0.58333333333333337</v>
      </c>
      <c r="I16" s="10">
        <f t="shared" si="0"/>
        <v>9.027777777777779E-2</v>
      </c>
      <c r="J16" s="11">
        <v>7</v>
      </c>
      <c r="K16" s="27">
        <v>253.15</v>
      </c>
      <c r="L16" s="16">
        <f t="shared" si="1"/>
        <v>16.691208791208791</v>
      </c>
      <c r="M16" s="11"/>
      <c r="N16" s="11"/>
      <c r="O16" s="11"/>
      <c r="P16" s="11"/>
      <c r="Q16" s="11"/>
      <c r="R16" s="12"/>
      <c r="S16" s="12">
        <v>130</v>
      </c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4.75" customHeight="1">
      <c r="B17" s="13"/>
      <c r="C17" s="14"/>
      <c r="D17" s="6"/>
      <c r="E17" s="18" t="s">
        <v>1179</v>
      </c>
      <c r="F17" s="130" t="s">
        <v>42</v>
      </c>
      <c r="G17" s="9">
        <v>0.5</v>
      </c>
      <c r="H17" s="9">
        <v>0.59027777777777779</v>
      </c>
      <c r="I17" s="10">
        <f t="shared" si="0"/>
        <v>9.027777777777779E-2</v>
      </c>
      <c r="J17" s="11">
        <v>2</v>
      </c>
      <c r="K17" s="27">
        <v>220</v>
      </c>
      <c r="L17" s="16">
        <f t="shared" si="1"/>
        <v>50.769230769230766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4.75" customHeight="1">
      <c r="B18" s="13"/>
      <c r="C18" s="14"/>
      <c r="D18" s="6" t="s">
        <v>1004</v>
      </c>
      <c r="E18" s="15" t="s">
        <v>95</v>
      </c>
      <c r="F18" s="130" t="s">
        <v>42</v>
      </c>
      <c r="G18" s="9">
        <v>0.5</v>
      </c>
      <c r="H18" s="9">
        <v>0.59722222222222221</v>
      </c>
      <c r="I18" s="10">
        <f t="shared" si="0"/>
        <v>9.722222222222221E-2</v>
      </c>
      <c r="J18" s="11">
        <v>1</v>
      </c>
      <c r="K18" s="27">
        <v>382</v>
      </c>
      <c r="L18" s="16">
        <f t="shared" si="1"/>
        <v>163.71428571428575</v>
      </c>
      <c r="M18" s="11"/>
      <c r="N18" s="11"/>
      <c r="O18" s="11"/>
      <c r="P18" s="11">
        <v>140</v>
      </c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4.75" customHeight="1">
      <c r="B19" s="13"/>
      <c r="C19" s="14"/>
      <c r="D19" s="6"/>
      <c r="E19" s="15" t="s">
        <v>97</v>
      </c>
      <c r="F19" s="130" t="s">
        <v>99</v>
      </c>
      <c r="G19" s="9">
        <v>0.60416666666666663</v>
      </c>
      <c r="H19" s="9">
        <v>0.64583333333333337</v>
      </c>
      <c r="I19" s="10">
        <f t="shared" si="0"/>
        <v>4.1666666666666741E-2</v>
      </c>
      <c r="J19" s="11">
        <v>2</v>
      </c>
      <c r="K19" s="27">
        <v>332.5</v>
      </c>
      <c r="L19" s="16">
        <f t="shared" si="1"/>
        <v>166.24999999999969</v>
      </c>
      <c r="M19" s="11"/>
      <c r="N19" s="11"/>
      <c r="O19" s="11"/>
      <c r="P19" s="11"/>
      <c r="Q19" s="11"/>
      <c r="R19" s="12">
        <v>60</v>
      </c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4.75" customHeight="1">
      <c r="B20" s="13"/>
      <c r="C20" s="14"/>
      <c r="D20" s="6"/>
      <c r="E20" s="15" t="s">
        <v>95</v>
      </c>
      <c r="F20" s="130" t="s">
        <v>42</v>
      </c>
      <c r="G20" s="9">
        <v>0.59027777777777779</v>
      </c>
      <c r="H20" s="9">
        <v>0.63541666666666663</v>
      </c>
      <c r="I20" s="10">
        <f t="shared" si="0"/>
        <v>4.513888888888884E-2</v>
      </c>
      <c r="J20" s="11">
        <v>7</v>
      </c>
      <c r="K20" s="27">
        <v>332.5</v>
      </c>
      <c r="L20" s="16">
        <f t="shared" si="1"/>
        <v>43.846153846153896</v>
      </c>
      <c r="M20" s="11"/>
      <c r="N20" s="11"/>
      <c r="O20" s="11"/>
      <c r="P20" s="11"/>
      <c r="Q20" s="11"/>
      <c r="R20" s="12"/>
      <c r="S20" s="12">
        <v>65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4.75" customHeight="1">
      <c r="B21" s="13"/>
      <c r="C21" s="14"/>
      <c r="D21" s="6"/>
      <c r="E21" s="15" t="s">
        <v>96</v>
      </c>
      <c r="F21" s="130" t="s">
        <v>42</v>
      </c>
      <c r="G21" s="9">
        <v>0.64583333333333337</v>
      </c>
      <c r="H21" s="9">
        <v>0.66666666666666663</v>
      </c>
      <c r="I21" s="10">
        <f t="shared" si="0"/>
        <v>2.0833333333333259E-2</v>
      </c>
      <c r="J21" s="11">
        <v>10</v>
      </c>
      <c r="K21" s="27" t="s">
        <v>42</v>
      </c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4.75" customHeight="1">
      <c r="B22" s="13"/>
      <c r="C22" s="14"/>
      <c r="D22" s="6" t="s">
        <v>1167</v>
      </c>
      <c r="E22" s="15" t="s">
        <v>1180</v>
      </c>
      <c r="F22" s="130" t="s">
        <v>42</v>
      </c>
      <c r="G22" s="9">
        <v>0.625</v>
      </c>
      <c r="H22" s="9">
        <v>0.64583333333333337</v>
      </c>
      <c r="I22" s="10">
        <f t="shared" si="0"/>
        <v>2.083333333333337E-2</v>
      </c>
      <c r="J22" s="11">
        <v>1</v>
      </c>
      <c r="K22" s="11">
        <v>21.65</v>
      </c>
      <c r="L22" s="16">
        <f t="shared" si="1"/>
        <v>43.299999999999919</v>
      </c>
      <c r="M22" s="11">
        <v>30</v>
      </c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30"/>
      <c r="E23" s="15"/>
      <c r="F23" s="130"/>
      <c r="G23" s="9"/>
      <c r="H23" s="9"/>
      <c r="I23" s="10">
        <f t="shared" si="0"/>
        <v>0</v>
      </c>
      <c r="J23" s="11"/>
      <c r="K23" s="11"/>
      <c r="L23" s="16" t="str">
        <f t="shared" si="1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s="28" customFormat="1" ht="25.05" customHeight="1">
      <c r="A24" s="2"/>
      <c r="B24" s="21"/>
      <c r="C24" s="22"/>
      <c r="D24" s="23"/>
      <c r="E24" s="24"/>
      <c r="F24" s="24"/>
      <c r="G24" s="25"/>
      <c r="H24" s="25"/>
      <c r="I24" s="26"/>
      <c r="J24" s="27"/>
      <c r="K24" s="27">
        <f t="shared" ref="K24:AL24" si="2">SUM(K4:K22)</f>
        <v>2856.84</v>
      </c>
      <c r="L24" s="39">
        <f t="shared" si="2"/>
        <v>1345.8609826405475</v>
      </c>
      <c r="M24" s="27">
        <f t="shared" si="2"/>
        <v>81</v>
      </c>
      <c r="N24" s="27">
        <f t="shared" si="2"/>
        <v>0</v>
      </c>
      <c r="O24" s="27">
        <f t="shared" si="2"/>
        <v>0</v>
      </c>
      <c r="P24" s="27">
        <f t="shared" si="2"/>
        <v>140</v>
      </c>
      <c r="Q24" s="27">
        <f t="shared" si="2"/>
        <v>0</v>
      </c>
      <c r="R24" s="27">
        <f t="shared" si="2"/>
        <v>60</v>
      </c>
      <c r="S24" s="27">
        <f t="shared" si="2"/>
        <v>390</v>
      </c>
      <c r="T24" s="27">
        <f t="shared" si="2"/>
        <v>0</v>
      </c>
      <c r="U24" s="27">
        <f t="shared" si="2"/>
        <v>0</v>
      </c>
      <c r="V24" s="27">
        <f t="shared" si="2"/>
        <v>0</v>
      </c>
      <c r="W24" s="27">
        <f t="shared" si="2"/>
        <v>0</v>
      </c>
      <c r="X24" s="27">
        <f t="shared" si="2"/>
        <v>0</v>
      </c>
      <c r="Y24" s="27">
        <f t="shared" si="2"/>
        <v>0</v>
      </c>
      <c r="Z24" s="27">
        <f t="shared" si="2"/>
        <v>0</v>
      </c>
      <c r="AA24" s="27">
        <f t="shared" si="2"/>
        <v>0</v>
      </c>
      <c r="AB24" s="27">
        <f t="shared" si="2"/>
        <v>0</v>
      </c>
      <c r="AC24" s="27">
        <f t="shared" si="2"/>
        <v>0</v>
      </c>
      <c r="AD24" s="27">
        <f t="shared" si="2"/>
        <v>0</v>
      </c>
      <c r="AE24" s="27">
        <f t="shared" si="2"/>
        <v>0</v>
      </c>
      <c r="AF24" s="27">
        <f t="shared" si="2"/>
        <v>0</v>
      </c>
      <c r="AG24" s="27">
        <f t="shared" si="2"/>
        <v>0</v>
      </c>
      <c r="AH24" s="27">
        <f t="shared" si="2"/>
        <v>0</v>
      </c>
      <c r="AI24" s="27">
        <f t="shared" si="2"/>
        <v>0</v>
      </c>
      <c r="AJ24" s="27">
        <f t="shared" si="2"/>
        <v>0</v>
      </c>
      <c r="AK24" s="27">
        <f t="shared" si="2"/>
        <v>0</v>
      </c>
      <c r="AL24" s="27">
        <f t="shared" si="2"/>
        <v>0</v>
      </c>
    </row>
    <row r="25" spans="1:38" ht="25.05" customHeight="1">
      <c r="B25" s="5" t="s">
        <v>1170</v>
      </c>
      <c r="C25" s="14" t="s">
        <v>43</v>
      </c>
      <c r="D25" s="6"/>
      <c r="E25" s="7" t="s">
        <v>41</v>
      </c>
      <c r="F25" s="8" t="s">
        <v>42</v>
      </c>
      <c r="G25" s="9">
        <v>0.29166666666666669</v>
      </c>
      <c r="H25" s="9">
        <v>0.33333333333333331</v>
      </c>
      <c r="I25" s="10">
        <f t="shared" ref="I25:I30" si="3">H25-G25</f>
        <v>4.166666666666663E-2</v>
      </c>
      <c r="J25" s="11">
        <v>3</v>
      </c>
      <c r="K25" s="62" t="s">
        <v>42</v>
      </c>
      <c r="L25" s="64" t="s">
        <v>42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 t="s">
        <v>1013</v>
      </c>
      <c r="E26" s="19" t="s">
        <v>1181</v>
      </c>
      <c r="F26" s="8" t="s">
        <v>42</v>
      </c>
      <c r="G26" s="9">
        <v>0.33333333333333331</v>
      </c>
      <c r="H26" s="9">
        <v>0.52777777777777779</v>
      </c>
      <c r="I26" s="10">
        <f t="shared" si="3"/>
        <v>0.19444444444444448</v>
      </c>
      <c r="J26" s="11">
        <v>12</v>
      </c>
      <c r="K26" s="11">
        <f>235*4.5</f>
        <v>1057.5</v>
      </c>
      <c r="L26" s="16">
        <f t="shared" ref="L26:L30" si="4">IFERROR(((K26/(J26*I26)/24)),"0")</f>
        <v>18.883928571428566</v>
      </c>
      <c r="M26" s="11"/>
      <c r="N26" s="11"/>
      <c r="O26" s="11"/>
      <c r="P26" s="11"/>
      <c r="Q26" s="11"/>
      <c r="R26" s="12"/>
      <c r="S26" s="12">
        <v>280</v>
      </c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15" t="s">
        <v>104</v>
      </c>
      <c r="F27" s="8" t="s">
        <v>42</v>
      </c>
      <c r="G27" s="9">
        <v>0.52777777777777779</v>
      </c>
      <c r="H27" s="9">
        <v>0.56944444444444442</v>
      </c>
      <c r="I27" s="10">
        <f t="shared" si="3"/>
        <v>4.166666666666663E-2</v>
      </c>
      <c r="J27" s="11">
        <v>12</v>
      </c>
      <c r="K27" s="62" t="s">
        <v>42</v>
      </c>
      <c r="L27" s="16" t="str">
        <f t="shared" si="4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 t="s">
        <v>1013</v>
      </c>
      <c r="E28" s="19" t="s">
        <v>1182</v>
      </c>
      <c r="F28" s="8" t="s">
        <v>42</v>
      </c>
      <c r="G28" s="9">
        <v>0.56944444444444442</v>
      </c>
      <c r="H28" s="9">
        <v>0.70833333333333337</v>
      </c>
      <c r="I28" s="10">
        <f t="shared" si="3"/>
        <v>0.13888888888888895</v>
      </c>
      <c r="J28" s="11">
        <v>12</v>
      </c>
      <c r="K28" s="62">
        <f>235*3.5</f>
        <v>822.5</v>
      </c>
      <c r="L28" s="16">
        <f t="shared" si="4"/>
        <v>20.562499999999989</v>
      </c>
      <c r="M28" s="11"/>
      <c r="N28" s="11"/>
      <c r="O28" s="11"/>
      <c r="P28" s="11"/>
      <c r="Q28" s="11"/>
      <c r="R28" s="12"/>
      <c r="S28" s="12">
        <v>200</v>
      </c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/>
      <c r="E29" s="15" t="s">
        <v>96</v>
      </c>
      <c r="F29" s="8" t="s">
        <v>42</v>
      </c>
      <c r="G29" s="9">
        <v>0.70833333333333337</v>
      </c>
      <c r="H29" s="9">
        <v>0.72916666666666663</v>
      </c>
      <c r="I29" s="10">
        <f t="shared" si="3"/>
        <v>2.0833333333333259E-2</v>
      </c>
      <c r="J29" s="11">
        <v>12</v>
      </c>
      <c r="K29" s="62" t="s">
        <v>42</v>
      </c>
      <c r="L29" s="16" t="str">
        <f t="shared" si="4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18"/>
      <c r="E30" s="6"/>
      <c r="F30" s="8" t="s">
        <v>42</v>
      </c>
      <c r="G30" s="9"/>
      <c r="H30" s="9"/>
      <c r="I30" s="10">
        <f t="shared" si="3"/>
        <v>0</v>
      </c>
      <c r="J30" s="11"/>
      <c r="K30" s="62"/>
      <c r="L30" s="16" t="str">
        <f t="shared" si="4"/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s="28" customFormat="1" ht="25.05" customHeight="1">
      <c r="A31" s="2"/>
      <c r="B31" s="21"/>
      <c r="C31" s="22"/>
      <c r="D31" s="23"/>
      <c r="E31" s="24"/>
      <c r="F31" s="22"/>
      <c r="G31" s="25"/>
      <c r="H31" s="25"/>
      <c r="I31" s="26"/>
      <c r="J31" s="27"/>
      <c r="K31" s="27">
        <f t="shared" ref="K31:AL31" si="5">SUM(K25:K30)</f>
        <v>1880</v>
      </c>
      <c r="L31" s="39">
        <f t="shared" si="5"/>
        <v>39.446428571428555</v>
      </c>
      <c r="M31" s="27">
        <f t="shared" si="5"/>
        <v>0</v>
      </c>
      <c r="N31" s="27">
        <f t="shared" si="5"/>
        <v>0</v>
      </c>
      <c r="O31" s="27">
        <f t="shared" si="5"/>
        <v>0</v>
      </c>
      <c r="P31" s="27">
        <f t="shared" si="5"/>
        <v>0</v>
      </c>
      <c r="Q31" s="27">
        <f t="shared" si="5"/>
        <v>0</v>
      </c>
      <c r="R31" s="27">
        <f t="shared" si="5"/>
        <v>0</v>
      </c>
      <c r="S31" s="27">
        <f t="shared" si="5"/>
        <v>480</v>
      </c>
      <c r="T31" s="27">
        <f t="shared" si="5"/>
        <v>0</v>
      </c>
      <c r="U31" s="27">
        <f t="shared" si="5"/>
        <v>0</v>
      </c>
      <c r="V31" s="27">
        <f t="shared" si="5"/>
        <v>0</v>
      </c>
      <c r="W31" s="27">
        <f t="shared" si="5"/>
        <v>0</v>
      </c>
      <c r="X31" s="27">
        <f t="shared" si="5"/>
        <v>0</v>
      </c>
      <c r="Y31" s="27">
        <f t="shared" si="5"/>
        <v>0</v>
      </c>
      <c r="Z31" s="27">
        <f t="shared" si="5"/>
        <v>0</v>
      </c>
      <c r="AA31" s="27">
        <f t="shared" si="5"/>
        <v>0</v>
      </c>
      <c r="AB31" s="27">
        <f t="shared" si="5"/>
        <v>0</v>
      </c>
      <c r="AC31" s="27">
        <f t="shared" si="5"/>
        <v>0</v>
      </c>
      <c r="AD31" s="27">
        <f t="shared" si="5"/>
        <v>0</v>
      </c>
      <c r="AE31" s="27">
        <f t="shared" si="5"/>
        <v>0</v>
      </c>
      <c r="AF31" s="27">
        <f t="shared" si="5"/>
        <v>0</v>
      </c>
      <c r="AG31" s="27">
        <f t="shared" si="5"/>
        <v>0</v>
      </c>
      <c r="AH31" s="27">
        <f t="shared" si="5"/>
        <v>0</v>
      </c>
      <c r="AI31" s="27">
        <f t="shared" si="5"/>
        <v>0</v>
      </c>
      <c r="AJ31" s="27">
        <f t="shared" si="5"/>
        <v>0</v>
      </c>
      <c r="AK31" s="27">
        <f t="shared" si="5"/>
        <v>0</v>
      </c>
      <c r="AL31" s="27">
        <f t="shared" si="5"/>
        <v>0</v>
      </c>
    </row>
    <row r="32" spans="1:38" ht="25.05" customHeight="1">
      <c r="B32" s="5" t="s">
        <v>1170</v>
      </c>
      <c r="C32" s="29" t="s">
        <v>44</v>
      </c>
      <c r="D32" s="30"/>
      <c r="E32" s="7" t="s">
        <v>41</v>
      </c>
      <c r="F32" s="8" t="s">
        <v>42</v>
      </c>
      <c r="G32" s="9">
        <v>0.29166666666666669</v>
      </c>
      <c r="H32" s="9">
        <v>0.2986111111111111</v>
      </c>
      <c r="I32" s="10">
        <f t="shared" ref="I32:I107" si="6">H32-G32</f>
        <v>6.9444444444444198E-3</v>
      </c>
      <c r="J32" s="11">
        <v>5</v>
      </c>
      <c r="K32" s="62" t="s">
        <v>42</v>
      </c>
      <c r="L32" s="64" t="s">
        <v>42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 t="s">
        <v>1167</v>
      </c>
      <c r="E33" s="19" t="s">
        <v>1183</v>
      </c>
      <c r="F33" s="8" t="s">
        <v>42</v>
      </c>
      <c r="G33" s="9">
        <v>0.34583333333333333</v>
      </c>
      <c r="H33" s="9">
        <v>0.34594907407407405</v>
      </c>
      <c r="I33" s="10">
        <f t="shared" si="6"/>
        <v>1.1574074074072183E-4</v>
      </c>
      <c r="J33" s="11">
        <v>4</v>
      </c>
      <c r="K33" s="11">
        <v>17.61</v>
      </c>
      <c r="L33" s="16">
        <f t="shared" ref="L33:L108" si="7">IFERROR(((K33/(J33*I33)/24)),"0")</f>
        <v>1584.9000000002588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</v>
      </c>
      <c r="W33" s="12"/>
      <c r="X33" s="11"/>
      <c r="Y33" s="11"/>
      <c r="Z33" s="11"/>
      <c r="AA33" s="11"/>
      <c r="AB33" s="11"/>
      <c r="AC33" s="11"/>
      <c r="AD33" s="11">
        <v>1</v>
      </c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1184</v>
      </c>
      <c r="F34" s="8" t="s">
        <v>42</v>
      </c>
      <c r="G34" s="9">
        <v>0.34722222222222221</v>
      </c>
      <c r="H34" s="9">
        <v>0.34733796296296299</v>
      </c>
      <c r="I34" s="10">
        <f t="shared" si="6"/>
        <v>1.1574074074077734E-4</v>
      </c>
      <c r="J34" s="11">
        <v>4</v>
      </c>
      <c r="K34" s="11">
        <v>17.27</v>
      </c>
      <c r="L34" s="16">
        <f t="shared" si="7"/>
        <v>1554.2999999995084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/>
      <c r="AA34" s="11"/>
      <c r="AB34" s="11"/>
      <c r="AC34" s="11"/>
      <c r="AD34" s="11">
        <v>1</v>
      </c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1185</v>
      </c>
      <c r="F35" s="8" t="s">
        <v>42</v>
      </c>
      <c r="G35" s="9">
        <v>0.34861111111111109</v>
      </c>
      <c r="H35" s="9">
        <v>0.34872685185185187</v>
      </c>
      <c r="I35" s="10">
        <f t="shared" si="6"/>
        <v>1.1574074074077734E-4</v>
      </c>
      <c r="J35" s="11">
        <v>4</v>
      </c>
      <c r="K35" s="11">
        <v>17.38</v>
      </c>
      <c r="L35" s="16">
        <f t="shared" si="7"/>
        <v>1564.1999999995053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/>
      <c r="AC35" s="11"/>
      <c r="AD35" s="11">
        <v>1</v>
      </c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1186</v>
      </c>
      <c r="F36" s="8" t="s">
        <v>42</v>
      </c>
      <c r="G36" s="9">
        <v>0.35</v>
      </c>
      <c r="H36" s="9">
        <v>0.35011574074074076</v>
      </c>
      <c r="I36" s="10">
        <f t="shared" si="6"/>
        <v>1.1574074074077734E-4</v>
      </c>
      <c r="J36" s="11">
        <v>4</v>
      </c>
      <c r="K36" s="11">
        <v>17.23</v>
      </c>
      <c r="L36" s="16">
        <f t="shared" si="7"/>
        <v>1550.6999999995096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/>
      <c r="AC36" s="11"/>
      <c r="AD36" s="11">
        <v>1</v>
      </c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1187</v>
      </c>
      <c r="F37" s="8" t="s">
        <v>42</v>
      </c>
      <c r="G37" s="9">
        <v>0.35069444444444442</v>
      </c>
      <c r="H37" s="9">
        <v>0.3508101851851852</v>
      </c>
      <c r="I37" s="10">
        <f t="shared" si="6"/>
        <v>1.1574074074077734E-4</v>
      </c>
      <c r="J37" s="11">
        <v>4</v>
      </c>
      <c r="K37" s="11">
        <v>17.66</v>
      </c>
      <c r="L37" s="16">
        <f t="shared" si="7"/>
        <v>1589.3999999994976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2</v>
      </c>
      <c r="X37" s="11"/>
      <c r="Y37" s="11"/>
      <c r="Z37" s="11"/>
      <c r="AA37" s="11"/>
      <c r="AB37" s="11"/>
      <c r="AC37" s="11"/>
      <c r="AD37" s="11">
        <v>1</v>
      </c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1188</v>
      </c>
      <c r="F38" s="8" t="s">
        <v>42</v>
      </c>
      <c r="G38" s="9">
        <v>0.35208333333333336</v>
      </c>
      <c r="H38" s="9">
        <v>0.35219907407407408</v>
      </c>
      <c r="I38" s="10">
        <f t="shared" si="6"/>
        <v>1.1574074074072183E-4</v>
      </c>
      <c r="J38" s="11">
        <v>4</v>
      </c>
      <c r="K38" s="11">
        <v>17.28</v>
      </c>
      <c r="L38" s="16">
        <f t="shared" si="7"/>
        <v>1555.2000000002542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/>
      <c r="Z38" s="11"/>
      <c r="AA38" s="11"/>
      <c r="AB38" s="11"/>
      <c r="AC38" s="11"/>
      <c r="AD38" s="11">
        <v>1</v>
      </c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1189</v>
      </c>
      <c r="F39" s="8" t="s">
        <v>42</v>
      </c>
      <c r="G39" s="9">
        <v>0.3527777777777778</v>
      </c>
      <c r="H39" s="9">
        <v>0.35289351851851852</v>
      </c>
      <c r="I39" s="10">
        <f t="shared" si="6"/>
        <v>1.1574074074072183E-4</v>
      </c>
      <c r="J39" s="11">
        <v>4</v>
      </c>
      <c r="K39" s="11">
        <v>17.28</v>
      </c>
      <c r="L39" s="16">
        <f t="shared" si="7"/>
        <v>1555.2000000002542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2</v>
      </c>
      <c r="X39" s="11"/>
      <c r="Y39" s="11"/>
      <c r="Z39" s="11"/>
      <c r="AA39" s="11"/>
      <c r="AB39" s="11"/>
      <c r="AC39" s="11"/>
      <c r="AD39" s="11">
        <v>1</v>
      </c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1190</v>
      </c>
      <c r="F40" s="8" t="s">
        <v>42</v>
      </c>
      <c r="G40" s="9">
        <v>0.35347222222222224</v>
      </c>
      <c r="H40" s="9">
        <v>0.35358796296296297</v>
      </c>
      <c r="I40" s="10">
        <f t="shared" si="6"/>
        <v>1.1574074074072183E-4</v>
      </c>
      <c r="J40" s="11">
        <v>4</v>
      </c>
      <c r="K40" s="11">
        <v>17.36</v>
      </c>
      <c r="L40" s="16">
        <f t="shared" si="7"/>
        <v>1562.4000000002552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/>
      <c r="AD40" s="11">
        <v>1</v>
      </c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1191</v>
      </c>
      <c r="F41" s="8" t="s">
        <v>42</v>
      </c>
      <c r="G41" s="9">
        <v>0.35486111111111113</v>
      </c>
      <c r="H41" s="9">
        <v>0.35497685185185185</v>
      </c>
      <c r="I41" s="10">
        <f t="shared" si="6"/>
        <v>1.1574074074072183E-4</v>
      </c>
      <c r="J41" s="11">
        <v>4</v>
      </c>
      <c r="K41" s="11">
        <v>17.36</v>
      </c>
      <c r="L41" s="16">
        <f t="shared" si="7"/>
        <v>1562.4000000002552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/>
      <c r="AA41" s="11"/>
      <c r="AB41" s="11"/>
      <c r="AC41" s="11"/>
      <c r="AD41" s="11">
        <v>1</v>
      </c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1192</v>
      </c>
      <c r="F42" s="8" t="s">
        <v>42</v>
      </c>
      <c r="G42" s="9">
        <v>0.36249999999999999</v>
      </c>
      <c r="H42" s="9">
        <v>0.36255787037037035</v>
      </c>
      <c r="I42" s="10">
        <f t="shared" si="6"/>
        <v>5.7870370370360913E-5</v>
      </c>
      <c r="J42" s="11">
        <v>4</v>
      </c>
      <c r="K42" s="11">
        <v>19.579999999999998</v>
      </c>
      <c r="L42" s="16">
        <f t="shared" si="7"/>
        <v>3524.4000000005758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/>
      <c r="AC42" s="11"/>
      <c r="AD42" s="11">
        <v>1</v>
      </c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1193</v>
      </c>
      <c r="F43" s="8" t="s">
        <v>42</v>
      </c>
      <c r="G43" s="9">
        <v>0.36319444444444443</v>
      </c>
      <c r="H43" s="9">
        <v>0.36325231481481479</v>
      </c>
      <c r="I43" s="10">
        <f t="shared" si="6"/>
        <v>5.7870370370360913E-5</v>
      </c>
      <c r="J43" s="11">
        <v>4</v>
      </c>
      <c r="K43" s="11">
        <v>19.64</v>
      </c>
      <c r="L43" s="16">
        <f t="shared" si="7"/>
        <v>3535.2000000005778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/>
      <c r="AD43" s="11">
        <v>1</v>
      </c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1194</v>
      </c>
      <c r="F44" s="8" t="s">
        <v>42</v>
      </c>
      <c r="G44" s="9">
        <v>0.36458333333333331</v>
      </c>
      <c r="H44" s="9">
        <v>0.36464120370370373</v>
      </c>
      <c r="I44" s="10">
        <f t="shared" si="6"/>
        <v>5.7870370370416424E-5</v>
      </c>
      <c r="J44" s="11">
        <v>4</v>
      </c>
      <c r="K44" s="11">
        <v>19.440000000000001</v>
      </c>
      <c r="L44" s="16">
        <f t="shared" si="7"/>
        <v>3499.1999999972154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/>
      <c r="AD44" s="11">
        <v>1</v>
      </c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1195</v>
      </c>
      <c r="F45" s="8" t="s">
        <v>42</v>
      </c>
      <c r="G45" s="9">
        <v>0.36527777777777776</v>
      </c>
      <c r="H45" s="9">
        <v>0.36533564814814817</v>
      </c>
      <c r="I45" s="10">
        <f t="shared" si="6"/>
        <v>5.7870370370416424E-5</v>
      </c>
      <c r="J45" s="11">
        <v>4</v>
      </c>
      <c r="K45" s="11">
        <v>19.760000000000002</v>
      </c>
      <c r="L45" s="16">
        <f t="shared" si="7"/>
        <v>3556.7999999971694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/>
      <c r="AC45" s="11"/>
      <c r="AD45" s="11">
        <v>1</v>
      </c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1196</v>
      </c>
      <c r="F46" s="8" t="s">
        <v>42</v>
      </c>
      <c r="G46" s="9">
        <v>0.36597222222222198</v>
      </c>
      <c r="H46" s="9">
        <v>0.36603009259259262</v>
      </c>
      <c r="I46" s="10">
        <f t="shared" si="6"/>
        <v>5.7870370370638469E-5</v>
      </c>
      <c r="J46" s="11">
        <v>4</v>
      </c>
      <c r="K46" s="11">
        <v>19.47</v>
      </c>
      <c r="L46" s="16">
        <f t="shared" si="7"/>
        <v>3504.5999999837641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1197</v>
      </c>
      <c r="F47" s="8" t="s">
        <v>42</v>
      </c>
      <c r="G47" s="9">
        <v>0.36666666666666697</v>
      </c>
      <c r="H47" s="9">
        <v>0.36672453703703706</v>
      </c>
      <c r="I47" s="10">
        <f t="shared" si="6"/>
        <v>5.7870370370083357E-5</v>
      </c>
      <c r="J47" s="11">
        <v>4</v>
      </c>
      <c r="K47" s="11">
        <v>19.510000000000002</v>
      </c>
      <c r="L47" s="16">
        <f t="shared" si="7"/>
        <v>3511.8000000174175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/>
      <c r="AC47" s="11"/>
      <c r="AD47" s="11">
        <v>1</v>
      </c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1198</v>
      </c>
      <c r="F48" s="8" t="s">
        <v>42</v>
      </c>
      <c r="G48" s="9">
        <v>0.36736111111111103</v>
      </c>
      <c r="H48" s="9">
        <v>0.3674189814814815</v>
      </c>
      <c r="I48" s="10">
        <f t="shared" si="6"/>
        <v>5.7870370370471935E-5</v>
      </c>
      <c r="J48" s="11">
        <v>4</v>
      </c>
      <c r="K48" s="11">
        <v>19.440000000000001</v>
      </c>
      <c r="L48" s="16">
        <f t="shared" si="7"/>
        <v>3499.1999999938594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>
        <v>1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1199</v>
      </c>
      <c r="F49" s="8" t="s">
        <v>42</v>
      </c>
      <c r="G49" s="9">
        <v>0.36805555555555602</v>
      </c>
      <c r="H49" s="9">
        <v>0.36811342592592594</v>
      </c>
      <c r="I49" s="10">
        <f t="shared" si="6"/>
        <v>5.7870370369916824E-5</v>
      </c>
      <c r="J49" s="11">
        <v>4</v>
      </c>
      <c r="K49" s="11">
        <v>19.64</v>
      </c>
      <c r="L49" s="16">
        <f t="shared" si="7"/>
        <v>3535.2000000277062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/>
      <c r="AC49" s="11"/>
      <c r="AD49" s="11">
        <v>1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1200</v>
      </c>
      <c r="F50" s="8" t="s">
        <v>42</v>
      </c>
      <c r="G50" s="9">
        <v>0.36875000000000002</v>
      </c>
      <c r="H50" s="9">
        <v>0.36880787037037038</v>
      </c>
      <c r="I50" s="10">
        <f t="shared" si="6"/>
        <v>5.7870370370360913E-5</v>
      </c>
      <c r="J50" s="11">
        <v>4</v>
      </c>
      <c r="K50" s="11">
        <v>19.600000000000001</v>
      </c>
      <c r="L50" s="16">
        <f t="shared" si="7"/>
        <v>3528.0000000005766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/>
      <c r="AC50" s="11"/>
      <c r="AD50" s="11">
        <v>1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1201</v>
      </c>
      <c r="F51" s="8" t="s">
        <v>42</v>
      </c>
      <c r="G51" s="9">
        <v>0.35</v>
      </c>
      <c r="H51" s="9">
        <v>0.35486111111111113</v>
      </c>
      <c r="I51" s="10">
        <f t="shared" si="6"/>
        <v>4.8611111111111494E-3</v>
      </c>
      <c r="J51" s="11">
        <v>4</v>
      </c>
      <c r="K51" s="11">
        <v>46.04</v>
      </c>
      <c r="L51" s="16">
        <f t="shared" si="7"/>
        <v>98.657142857142091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>
        <v>7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1202</v>
      </c>
      <c r="F52" s="8" t="s">
        <v>42</v>
      </c>
      <c r="G52" s="9">
        <v>0.36041666666666666</v>
      </c>
      <c r="H52" s="9">
        <v>0.36458333333333331</v>
      </c>
      <c r="I52" s="10">
        <f t="shared" si="6"/>
        <v>4.1666666666666519E-3</v>
      </c>
      <c r="J52" s="11">
        <v>4</v>
      </c>
      <c r="K52" s="11">
        <v>43.28</v>
      </c>
      <c r="L52" s="16">
        <f t="shared" si="7"/>
        <v>108.20000000000039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>
        <v>6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1203</v>
      </c>
      <c r="F53" s="8" t="s">
        <v>42</v>
      </c>
      <c r="G53" s="9">
        <v>0.37013888888888891</v>
      </c>
      <c r="H53" s="9">
        <v>0.37708333333333333</v>
      </c>
      <c r="I53" s="10">
        <f t="shared" si="6"/>
        <v>6.9444444444444198E-3</v>
      </c>
      <c r="J53" s="11">
        <v>4</v>
      </c>
      <c r="K53" s="11">
        <v>43.43</v>
      </c>
      <c r="L53" s="16">
        <f t="shared" si="7"/>
        <v>65.145000000000223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>
        <v>10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132</v>
      </c>
      <c r="F54" s="8" t="s">
        <v>42</v>
      </c>
      <c r="G54" s="9">
        <v>0.38263888888888886</v>
      </c>
      <c r="H54" s="9">
        <v>0.38269675925925928</v>
      </c>
      <c r="I54" s="10">
        <f t="shared" si="6"/>
        <v>5.7870370370416424E-5</v>
      </c>
      <c r="J54" s="11">
        <v>4</v>
      </c>
      <c r="K54" s="11">
        <v>3.5</v>
      </c>
      <c r="L54" s="16">
        <f t="shared" si="7"/>
        <v>629.99999999949864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/>
      <c r="AB54" s="11"/>
      <c r="AC54" s="11"/>
      <c r="AD54" s="11">
        <v>1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133</v>
      </c>
      <c r="F55" s="8" t="s">
        <v>42</v>
      </c>
      <c r="G55" s="9">
        <v>0.39791666666666664</v>
      </c>
      <c r="H55" s="9">
        <v>0.39797453703703706</v>
      </c>
      <c r="I55" s="10">
        <f t="shared" si="6"/>
        <v>5.7870370370416424E-5</v>
      </c>
      <c r="J55" s="11">
        <v>4</v>
      </c>
      <c r="K55" s="11">
        <v>3.64</v>
      </c>
      <c r="L55" s="16">
        <f t="shared" si="7"/>
        <v>655.19999999947856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/>
      <c r="AB55" s="11"/>
      <c r="AC55" s="11"/>
      <c r="AD55" s="11">
        <v>1</v>
      </c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134</v>
      </c>
      <c r="F56" s="8" t="s">
        <v>42</v>
      </c>
      <c r="G56" s="9">
        <v>0.39930555555555558</v>
      </c>
      <c r="H56" s="9">
        <v>0.39936342592592594</v>
      </c>
      <c r="I56" s="10">
        <f t="shared" si="6"/>
        <v>5.7870370370360913E-5</v>
      </c>
      <c r="J56" s="11">
        <v>4</v>
      </c>
      <c r="K56" s="11">
        <v>3.28</v>
      </c>
      <c r="L56" s="16">
        <f t="shared" si="7"/>
        <v>590.40000000009638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/>
      <c r="AA56" s="11"/>
      <c r="AB56" s="11"/>
      <c r="AC56" s="11"/>
      <c r="AD56" s="11">
        <v>1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135</v>
      </c>
      <c r="F57" s="8" t="s">
        <v>42</v>
      </c>
      <c r="G57" s="9">
        <v>0.4</v>
      </c>
      <c r="H57" s="9">
        <v>0.40005787037037038</v>
      </c>
      <c r="I57" s="10">
        <f t="shared" si="6"/>
        <v>5.7870370370360913E-5</v>
      </c>
      <c r="J57" s="11">
        <v>4</v>
      </c>
      <c r="K57" s="11">
        <v>4.1399999999999997</v>
      </c>
      <c r="L57" s="16">
        <f t="shared" si="7"/>
        <v>745.20000000012169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/>
      <c r="AA57" s="11"/>
      <c r="AB57" s="11"/>
      <c r="AC57" s="11"/>
      <c r="AD57" s="11">
        <v>1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136</v>
      </c>
      <c r="F58" s="8" t="s">
        <v>42</v>
      </c>
      <c r="G58" s="9">
        <v>0.40069444444444446</v>
      </c>
      <c r="H58" s="9">
        <v>0.40075231481481483</v>
      </c>
      <c r="I58" s="10">
        <f t="shared" si="6"/>
        <v>5.7870370370360913E-5</v>
      </c>
      <c r="J58" s="11">
        <v>4</v>
      </c>
      <c r="K58" s="11">
        <v>3.82</v>
      </c>
      <c r="L58" s="16">
        <f t="shared" si="7"/>
        <v>687.60000000011235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/>
      <c r="AA58" s="11"/>
      <c r="AB58" s="11"/>
      <c r="AC58" s="11"/>
      <c r="AD58" s="11">
        <v>1</v>
      </c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137</v>
      </c>
      <c r="F59" s="8" t="s">
        <v>42</v>
      </c>
      <c r="G59" s="9">
        <v>0.40208333333333335</v>
      </c>
      <c r="H59" s="9">
        <v>0.40214120370370371</v>
      </c>
      <c r="I59" s="10">
        <f t="shared" si="6"/>
        <v>5.7870370370360913E-5</v>
      </c>
      <c r="J59" s="11">
        <v>4</v>
      </c>
      <c r="K59" s="11">
        <v>3.86</v>
      </c>
      <c r="L59" s="16">
        <f t="shared" si="7"/>
        <v>694.80000000011353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/>
      <c r="Z59" s="11"/>
      <c r="AA59" s="11"/>
      <c r="AB59" s="11"/>
      <c r="AC59" s="11"/>
      <c r="AD59" s="11">
        <v>1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138</v>
      </c>
      <c r="F60" s="8" t="s">
        <v>42</v>
      </c>
      <c r="G60" s="9">
        <v>0.40277777777777779</v>
      </c>
      <c r="H60" s="9">
        <v>0.40283564814814815</v>
      </c>
      <c r="I60" s="10">
        <f t="shared" si="6"/>
        <v>5.7870370370360913E-5</v>
      </c>
      <c r="J60" s="11">
        <v>4</v>
      </c>
      <c r="K60" s="11">
        <v>3.64</v>
      </c>
      <c r="L60" s="16">
        <f t="shared" si="7"/>
        <v>655.20000000010702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/>
      <c r="AC60" s="11"/>
      <c r="AD60" s="11">
        <v>1</v>
      </c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139</v>
      </c>
      <c r="F61" s="8" t="s">
        <v>42</v>
      </c>
      <c r="G61" s="9">
        <v>0.40416666666666667</v>
      </c>
      <c r="H61" s="9">
        <v>0.40422453703703703</v>
      </c>
      <c r="I61" s="10">
        <f t="shared" si="6"/>
        <v>5.7870370370360913E-5</v>
      </c>
      <c r="J61" s="11">
        <v>4</v>
      </c>
      <c r="K61" s="11">
        <v>4.0999999999999996</v>
      </c>
      <c r="L61" s="16">
        <f t="shared" si="7"/>
        <v>738.00000000012051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/>
      <c r="AA61" s="11"/>
      <c r="AB61" s="11"/>
      <c r="AC61" s="11"/>
      <c r="AD61" s="11">
        <v>1</v>
      </c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140</v>
      </c>
      <c r="F62" s="8" t="s">
        <v>42</v>
      </c>
      <c r="G62" s="9">
        <v>0.40486111111111112</v>
      </c>
      <c r="H62" s="9">
        <v>0.40491898148148148</v>
      </c>
      <c r="I62" s="10">
        <f t="shared" si="6"/>
        <v>5.7870370370360913E-5</v>
      </c>
      <c r="J62" s="11">
        <v>4</v>
      </c>
      <c r="K62" s="11">
        <v>4.0599999999999996</v>
      </c>
      <c r="L62" s="16">
        <f t="shared" si="7"/>
        <v>730.80000000011933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/>
      <c r="AA62" s="11"/>
      <c r="AB62" s="11"/>
      <c r="AC62" s="11"/>
      <c r="AD62" s="11">
        <v>1</v>
      </c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1204</v>
      </c>
      <c r="F63" s="8" t="s">
        <v>42</v>
      </c>
      <c r="G63" s="9">
        <v>0.39374999999999999</v>
      </c>
      <c r="H63" s="9">
        <v>0.39861111111111114</v>
      </c>
      <c r="I63" s="10">
        <f t="shared" si="6"/>
        <v>4.8611111111111494E-3</v>
      </c>
      <c r="J63" s="11">
        <v>4</v>
      </c>
      <c r="K63" s="11">
        <v>42.42</v>
      </c>
      <c r="L63" s="16">
        <f t="shared" si="7"/>
        <v>90.899999999999295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>
        <v>7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1205</v>
      </c>
      <c r="F64" s="8" t="s">
        <v>42</v>
      </c>
      <c r="G64" s="9">
        <v>0.40208333333333335</v>
      </c>
      <c r="H64" s="9">
        <v>0.41180555555555554</v>
      </c>
      <c r="I64" s="10">
        <f t="shared" si="6"/>
        <v>9.7222222222221877E-3</v>
      </c>
      <c r="J64" s="11">
        <v>4</v>
      </c>
      <c r="K64" s="11">
        <v>41.93</v>
      </c>
      <c r="L64" s="16">
        <f t="shared" si="7"/>
        <v>44.925000000000161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/>
      <c r="Z64" s="11"/>
      <c r="AA64" s="11"/>
      <c r="AB64" s="11">
        <v>14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1206</v>
      </c>
      <c r="F65" s="8" t="s">
        <v>42</v>
      </c>
      <c r="G65" s="9">
        <v>0.4152777777777778</v>
      </c>
      <c r="H65" s="9">
        <v>0.42222222222222222</v>
      </c>
      <c r="I65" s="10">
        <f t="shared" si="6"/>
        <v>6.9444444444444198E-3</v>
      </c>
      <c r="J65" s="11">
        <v>4</v>
      </c>
      <c r="K65" s="11">
        <v>41.4</v>
      </c>
      <c r="L65" s="16">
        <f t="shared" si="7"/>
        <v>62.100000000000222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>
        <v>10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1207</v>
      </c>
      <c r="F66" s="8" t="s">
        <v>42</v>
      </c>
      <c r="G66" s="9">
        <v>0.42569444444444443</v>
      </c>
      <c r="H66" s="9">
        <v>0.43402777777777779</v>
      </c>
      <c r="I66" s="10">
        <f t="shared" si="6"/>
        <v>8.3333333333333592E-3</v>
      </c>
      <c r="J66" s="11">
        <v>4</v>
      </c>
      <c r="K66" s="11">
        <v>40.22</v>
      </c>
      <c r="L66" s="16">
        <f t="shared" si="7"/>
        <v>50.274999999999842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/>
      <c r="AA66" s="11"/>
      <c r="AB66" s="11">
        <v>12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1208</v>
      </c>
      <c r="F67" s="8" t="s">
        <v>42</v>
      </c>
      <c r="G67" s="9">
        <v>0.43680555555555556</v>
      </c>
      <c r="H67" s="9">
        <v>0.44444444444444442</v>
      </c>
      <c r="I67" s="10">
        <f t="shared" si="6"/>
        <v>7.6388888888888618E-3</v>
      </c>
      <c r="J67" s="11">
        <v>4</v>
      </c>
      <c r="K67" s="11">
        <v>42.12</v>
      </c>
      <c r="L67" s="16">
        <f t="shared" si="7"/>
        <v>57.436363636363836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>
        <v>11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1209</v>
      </c>
      <c r="F68" s="8" t="s">
        <v>42</v>
      </c>
      <c r="G68" s="9">
        <v>0.44722222222222224</v>
      </c>
      <c r="H68" s="9">
        <v>0.45555555555555555</v>
      </c>
      <c r="I68" s="10">
        <f t="shared" si="6"/>
        <v>8.3333333333333037E-3</v>
      </c>
      <c r="J68" s="11">
        <v>4</v>
      </c>
      <c r="K68" s="11">
        <v>41.85</v>
      </c>
      <c r="L68" s="16">
        <f t="shared" si="7"/>
        <v>52.312500000000192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/>
      <c r="AA68" s="11"/>
      <c r="AB68" s="11">
        <v>12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1210</v>
      </c>
      <c r="F69" s="8" t="s">
        <v>42</v>
      </c>
      <c r="G69" s="9">
        <v>0.45694444444444443</v>
      </c>
      <c r="H69" s="9">
        <v>0.46388888888888891</v>
      </c>
      <c r="I69" s="10">
        <f t="shared" si="6"/>
        <v>6.9444444444444753E-3</v>
      </c>
      <c r="J69" s="11">
        <v>4</v>
      </c>
      <c r="K69" s="11">
        <v>42.01</v>
      </c>
      <c r="L69" s="16">
        <f t="shared" si="7"/>
        <v>63.014999999999723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>
        <v>11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1211</v>
      </c>
      <c r="F70" s="8" t="s">
        <v>42</v>
      </c>
      <c r="G70" s="9">
        <v>0.46875</v>
      </c>
      <c r="H70" s="9">
        <v>0.47430555555555554</v>
      </c>
      <c r="I70" s="10">
        <f t="shared" si="6"/>
        <v>5.5555555555555358E-3</v>
      </c>
      <c r="J70" s="11">
        <v>4</v>
      </c>
      <c r="K70" s="11">
        <v>41.64</v>
      </c>
      <c r="L70" s="16">
        <f t="shared" si="7"/>
        <v>78.075000000000287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/>
      <c r="AA70" s="11"/>
      <c r="AB70" s="11">
        <v>8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127"/>
      <c r="E71" s="19" t="s">
        <v>1212</v>
      </c>
      <c r="F71" s="8" t="s">
        <v>42</v>
      </c>
      <c r="G71" s="9">
        <v>0.47638888888888886</v>
      </c>
      <c r="H71" s="9">
        <v>0.48333333333333334</v>
      </c>
      <c r="I71" s="10">
        <f t="shared" si="6"/>
        <v>6.9444444444444753E-3</v>
      </c>
      <c r="J71" s="11">
        <v>4</v>
      </c>
      <c r="K71" s="11">
        <v>41.6</v>
      </c>
      <c r="L71" s="16">
        <f t="shared" si="7"/>
        <v>62.399999999999721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/>
      <c r="AB71" s="11">
        <v>10</v>
      </c>
      <c r="AC71" s="11"/>
      <c r="AD71" s="11"/>
      <c r="AE71" s="11"/>
      <c r="AF71" s="11"/>
      <c r="AG71" s="12"/>
      <c r="AH71" s="12"/>
      <c r="AI71" s="12"/>
      <c r="AJ71" s="11"/>
      <c r="AK71" s="11"/>
      <c r="AL71" s="14"/>
    </row>
    <row r="72" spans="2:38" ht="25.05" customHeight="1">
      <c r="B72" s="13"/>
      <c r="C72" s="29"/>
      <c r="D72" s="30"/>
      <c r="E72" s="19" t="s">
        <v>1213</v>
      </c>
      <c r="F72" s="8" t="s">
        <v>42</v>
      </c>
      <c r="G72" s="9">
        <v>0.35138888888888886</v>
      </c>
      <c r="H72" s="9">
        <v>0.38263888888888886</v>
      </c>
      <c r="I72" s="10">
        <f t="shared" si="6"/>
        <v>3.125E-2</v>
      </c>
      <c r="J72" s="11">
        <v>4</v>
      </c>
      <c r="K72" s="11">
        <f>4.008*20</f>
        <v>80.16</v>
      </c>
      <c r="L72" s="16">
        <f t="shared" si="7"/>
        <v>26.72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>
        <v>45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1214</v>
      </c>
      <c r="F73" s="8" t="s">
        <v>42</v>
      </c>
      <c r="G73" s="9">
        <v>0.35486111111111113</v>
      </c>
      <c r="H73" s="9">
        <v>0.38611111111111113</v>
      </c>
      <c r="I73" s="10">
        <f t="shared" si="6"/>
        <v>3.125E-2</v>
      </c>
      <c r="J73" s="11">
        <v>4</v>
      </c>
      <c r="K73" s="11">
        <f t="shared" ref="K73:K79" si="8">4.008*20</f>
        <v>80.16</v>
      </c>
      <c r="L73" s="16">
        <f t="shared" si="7"/>
        <v>26.72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>
        <v>45</v>
      </c>
      <c r="Y73" s="11"/>
      <c r="Z73" s="11"/>
      <c r="AA73" s="11"/>
      <c r="AB73" s="11"/>
      <c r="AC73" s="11"/>
      <c r="AD73" s="11"/>
      <c r="AE73" s="11"/>
      <c r="AF73" s="11"/>
      <c r="AG73" s="12"/>
      <c r="AH73" s="12"/>
      <c r="AI73" s="12"/>
      <c r="AJ73" s="11"/>
      <c r="AK73" s="11"/>
      <c r="AL73" s="14"/>
    </row>
    <row r="74" spans="2:38" ht="25.05" customHeight="1">
      <c r="B74" s="13"/>
      <c r="C74" s="29"/>
      <c r="D74" s="30"/>
      <c r="E74" s="19" t="s">
        <v>1215</v>
      </c>
      <c r="F74" s="8" t="s">
        <v>42</v>
      </c>
      <c r="G74" s="9">
        <v>0.36041666666666666</v>
      </c>
      <c r="H74" s="9">
        <v>0.39166666666666666</v>
      </c>
      <c r="I74" s="10">
        <f t="shared" si="6"/>
        <v>3.125E-2</v>
      </c>
      <c r="J74" s="11">
        <v>4</v>
      </c>
      <c r="K74" s="11">
        <f t="shared" si="8"/>
        <v>80.16</v>
      </c>
      <c r="L74" s="16">
        <f t="shared" si="7"/>
        <v>26.72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/>
      <c r="Z74" s="11">
        <v>45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1216</v>
      </c>
      <c r="F75" s="8" t="s">
        <v>42</v>
      </c>
      <c r="G75" s="9">
        <v>0.36944444444444446</v>
      </c>
      <c r="H75" s="9">
        <v>0.40069444444444446</v>
      </c>
      <c r="I75" s="10">
        <f t="shared" si="6"/>
        <v>3.125E-2</v>
      </c>
      <c r="J75" s="11">
        <v>4</v>
      </c>
      <c r="K75" s="11">
        <f t="shared" si="8"/>
        <v>80.16</v>
      </c>
      <c r="L75" s="16">
        <f t="shared" si="7"/>
        <v>26.72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/>
      <c r="Z75" s="11"/>
      <c r="AA75" s="11">
        <v>45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1217</v>
      </c>
      <c r="F76" s="8" t="s">
        <v>42</v>
      </c>
      <c r="G76" s="9">
        <v>0.40069444444444446</v>
      </c>
      <c r="H76" s="9">
        <v>0.43194444444444446</v>
      </c>
      <c r="I76" s="10">
        <f t="shared" si="6"/>
        <v>3.125E-2</v>
      </c>
      <c r="J76" s="11">
        <v>4</v>
      </c>
      <c r="K76" s="11">
        <f t="shared" si="8"/>
        <v>80.16</v>
      </c>
      <c r="L76" s="16">
        <f t="shared" si="7"/>
        <v>26.72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>
        <v>45</v>
      </c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1218</v>
      </c>
      <c r="F77" s="8" t="s">
        <v>42</v>
      </c>
      <c r="G77" s="9">
        <v>0.40416666666666667</v>
      </c>
      <c r="H77" s="9">
        <v>0.43541666666666667</v>
      </c>
      <c r="I77" s="10">
        <f t="shared" si="6"/>
        <v>3.125E-2</v>
      </c>
      <c r="J77" s="11">
        <v>4</v>
      </c>
      <c r="K77" s="11">
        <f t="shared" si="8"/>
        <v>80.16</v>
      </c>
      <c r="L77" s="16">
        <f t="shared" si="7"/>
        <v>26.72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>
        <v>45</v>
      </c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1219</v>
      </c>
      <c r="F78" s="8" t="s">
        <v>42</v>
      </c>
      <c r="G78" s="9">
        <v>0.40833333333333333</v>
      </c>
      <c r="H78" s="9">
        <v>0.43958333333333333</v>
      </c>
      <c r="I78" s="10">
        <f t="shared" si="6"/>
        <v>3.125E-2</v>
      </c>
      <c r="J78" s="11">
        <v>4</v>
      </c>
      <c r="K78" s="11">
        <f t="shared" si="8"/>
        <v>80.16</v>
      </c>
      <c r="L78" s="16">
        <f t="shared" si="7"/>
        <v>26.72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/>
      <c r="Z78" s="11">
        <v>45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1220</v>
      </c>
      <c r="F79" s="8" t="s">
        <v>42</v>
      </c>
      <c r="G79" s="9">
        <v>0.41458333333333336</v>
      </c>
      <c r="H79" s="9">
        <v>0.44583333333333336</v>
      </c>
      <c r="I79" s="10">
        <f t="shared" si="6"/>
        <v>3.125E-2</v>
      </c>
      <c r="J79" s="11">
        <v>4</v>
      </c>
      <c r="K79" s="11">
        <f t="shared" si="8"/>
        <v>80.16</v>
      </c>
      <c r="L79" s="16">
        <f t="shared" si="7"/>
        <v>26.72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/>
      <c r="Z79" s="11"/>
      <c r="AA79" s="11">
        <v>45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/>
      <c r="F80" s="8" t="s">
        <v>42</v>
      </c>
      <c r="G80" s="9"/>
      <c r="H80" s="9"/>
      <c r="I80" s="10">
        <f t="shared" si="6"/>
        <v>0</v>
      </c>
      <c r="J80" s="11"/>
      <c r="K80" s="11"/>
      <c r="L80" s="16" t="str">
        <f t="shared" si="7"/>
        <v>0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 t="s">
        <v>1004</v>
      </c>
      <c r="E81" s="19" t="s">
        <v>1221</v>
      </c>
      <c r="F81" s="8" t="s">
        <v>42</v>
      </c>
      <c r="G81" s="9">
        <v>0.3347222222222222</v>
      </c>
      <c r="H81" s="9">
        <v>0.35972222222222222</v>
      </c>
      <c r="I81" s="10">
        <f t="shared" si="6"/>
        <v>2.5000000000000022E-2</v>
      </c>
      <c r="J81" s="11">
        <v>4</v>
      </c>
      <c r="K81" s="11">
        <v>102.84</v>
      </c>
      <c r="L81" s="16">
        <f t="shared" si="7"/>
        <v>42.849999999999966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/>
      <c r="X81" s="11"/>
      <c r="Y81" s="11"/>
      <c r="Z81" s="11"/>
      <c r="AA81" s="11"/>
      <c r="AB81" s="11"/>
      <c r="AC81" s="11">
        <v>36</v>
      </c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1222</v>
      </c>
      <c r="F82" s="8" t="s">
        <v>42</v>
      </c>
      <c r="G82" s="9">
        <v>0.36805555555555558</v>
      </c>
      <c r="H82" s="9">
        <v>0.38750000000000001</v>
      </c>
      <c r="I82" s="10">
        <f t="shared" si="6"/>
        <v>1.9444444444444431E-2</v>
      </c>
      <c r="J82" s="11">
        <v>4</v>
      </c>
      <c r="K82" s="11">
        <v>158.65</v>
      </c>
      <c r="L82" s="16">
        <f t="shared" si="7"/>
        <v>84.991071428571487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/>
      <c r="X82" s="11"/>
      <c r="Y82" s="11"/>
      <c r="Z82" s="11"/>
      <c r="AA82" s="11"/>
      <c r="AB82" s="11"/>
      <c r="AC82" s="11">
        <v>28</v>
      </c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1134</v>
      </c>
      <c r="F83" s="8" t="s">
        <v>42</v>
      </c>
      <c r="G83" s="9">
        <v>0.40277777777777779</v>
      </c>
      <c r="H83" s="9">
        <v>0.4201388888888889</v>
      </c>
      <c r="I83" s="10">
        <f t="shared" si="6"/>
        <v>1.7361111111111105E-2</v>
      </c>
      <c r="J83" s="11">
        <v>4</v>
      </c>
      <c r="K83" s="11">
        <v>92.04</v>
      </c>
      <c r="L83" s="16">
        <f t="shared" si="7"/>
        <v>55.224000000000025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/>
      <c r="AB83" s="11"/>
      <c r="AC83" s="11">
        <v>25</v>
      </c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1135</v>
      </c>
      <c r="F84" s="8" t="s">
        <v>42</v>
      </c>
      <c r="G84" s="9">
        <v>0.42916666666666664</v>
      </c>
      <c r="H84" s="9">
        <v>0.45069444444444445</v>
      </c>
      <c r="I84" s="10">
        <f t="shared" si="6"/>
        <v>2.1527777777777812E-2</v>
      </c>
      <c r="J84" s="11">
        <v>4</v>
      </c>
      <c r="K84" s="11">
        <v>91.97</v>
      </c>
      <c r="L84" s="16">
        <f t="shared" si="7"/>
        <v>44.501612903225741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2</v>
      </c>
      <c r="W84" s="12"/>
      <c r="X84" s="11"/>
      <c r="Y84" s="11"/>
      <c r="Z84" s="11"/>
      <c r="AA84" s="11"/>
      <c r="AB84" s="11"/>
      <c r="AC84" s="11"/>
      <c r="AD84" s="11">
        <v>31</v>
      </c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1136</v>
      </c>
      <c r="F85" s="8" t="s">
        <v>42</v>
      </c>
      <c r="G85" s="9">
        <v>0.45833333333333331</v>
      </c>
      <c r="H85" s="9">
        <v>0.48055555555555557</v>
      </c>
      <c r="I85" s="10">
        <f t="shared" si="6"/>
        <v>2.2222222222222254E-2</v>
      </c>
      <c r="J85" s="11">
        <v>4</v>
      </c>
      <c r="K85" s="11">
        <v>94.19</v>
      </c>
      <c r="L85" s="16">
        <f t="shared" si="7"/>
        <v>44.151562499999933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2</v>
      </c>
      <c r="W85" s="12"/>
      <c r="X85" s="11"/>
      <c r="Y85" s="11"/>
      <c r="Z85" s="11"/>
      <c r="AA85" s="11"/>
      <c r="AB85" s="11"/>
      <c r="AC85" s="11">
        <v>32</v>
      </c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1137</v>
      </c>
      <c r="F86" s="8" t="s">
        <v>42</v>
      </c>
      <c r="G86" s="9">
        <v>0.46319444444444446</v>
      </c>
      <c r="H86" s="9">
        <v>0.48749999999999999</v>
      </c>
      <c r="I86" s="10">
        <f t="shared" si="6"/>
        <v>2.4305555555555525E-2</v>
      </c>
      <c r="J86" s="11">
        <v>4</v>
      </c>
      <c r="K86" s="11">
        <v>92</v>
      </c>
      <c r="L86" s="16">
        <f t="shared" si="7"/>
        <v>39.42857142857148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/>
      <c r="Y86" s="11"/>
      <c r="Z86" s="11"/>
      <c r="AA86" s="11"/>
      <c r="AB86" s="11"/>
      <c r="AC86" s="11"/>
      <c r="AD86" s="11">
        <v>35</v>
      </c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1138</v>
      </c>
      <c r="F87" s="8" t="s">
        <v>42</v>
      </c>
      <c r="G87" s="9">
        <v>0.48819444444444443</v>
      </c>
      <c r="H87" s="9">
        <v>0.51111111111111107</v>
      </c>
      <c r="I87" s="10">
        <f t="shared" si="6"/>
        <v>2.2916666666666641E-2</v>
      </c>
      <c r="J87" s="11">
        <v>4</v>
      </c>
      <c r="K87" s="11">
        <v>97.28</v>
      </c>
      <c r="L87" s="16">
        <f t="shared" si="7"/>
        <v>44.218181818181868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2</v>
      </c>
      <c r="W87" s="12"/>
      <c r="X87" s="11"/>
      <c r="Y87" s="11"/>
      <c r="Z87" s="11"/>
      <c r="AA87" s="11"/>
      <c r="AB87" s="11"/>
      <c r="AC87" s="11">
        <v>33</v>
      </c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1018</v>
      </c>
      <c r="F88" s="8" t="s">
        <v>42</v>
      </c>
      <c r="G88" s="9">
        <v>0.4236111111111111</v>
      </c>
      <c r="H88" s="9">
        <v>0.42430555555555555</v>
      </c>
      <c r="I88" s="10">
        <f t="shared" si="6"/>
        <v>6.9444444444444198E-4</v>
      </c>
      <c r="J88" s="11">
        <v>4</v>
      </c>
      <c r="K88" s="11">
        <v>65.010000000000005</v>
      </c>
      <c r="L88" s="16">
        <f t="shared" si="7"/>
        <v>975.15000000000362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/>
      <c r="AA88" s="11"/>
      <c r="AB88" s="11"/>
      <c r="AC88" s="11"/>
      <c r="AD88" s="11">
        <v>1</v>
      </c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1019</v>
      </c>
      <c r="F89" s="8" t="s">
        <v>42</v>
      </c>
      <c r="G89" s="9">
        <v>0.42291666666666666</v>
      </c>
      <c r="H89" s="9">
        <v>0.4236111111111111</v>
      </c>
      <c r="I89" s="10">
        <f t="shared" si="6"/>
        <v>6.9444444444444198E-4</v>
      </c>
      <c r="J89" s="11">
        <v>4</v>
      </c>
      <c r="K89" s="11">
        <v>65.040000000000006</v>
      </c>
      <c r="L89" s="16">
        <f t="shared" si="7"/>
        <v>975.60000000000355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/>
      <c r="Z89" s="11"/>
      <c r="AA89" s="11"/>
      <c r="AB89" s="11"/>
      <c r="AC89" s="11"/>
      <c r="AD89" s="11">
        <v>1</v>
      </c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127"/>
      <c r="E90" s="19" t="s">
        <v>1020</v>
      </c>
      <c r="F90" s="8" t="s">
        <v>42</v>
      </c>
      <c r="G90" s="9">
        <v>0.44236111111111109</v>
      </c>
      <c r="H90" s="9">
        <v>0.44305555555555554</v>
      </c>
      <c r="I90" s="10">
        <f t="shared" si="6"/>
        <v>6.9444444444444198E-4</v>
      </c>
      <c r="J90" s="11">
        <v>4</v>
      </c>
      <c r="K90" s="11">
        <v>64.989999999999995</v>
      </c>
      <c r="L90" s="16">
        <f t="shared" si="7"/>
        <v>974.85000000000343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/>
      <c r="AA90" s="11"/>
      <c r="AB90" s="11"/>
      <c r="AC90" s="11"/>
      <c r="AD90" s="11">
        <v>1</v>
      </c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1021</v>
      </c>
      <c r="F91" s="8" t="s">
        <v>42</v>
      </c>
      <c r="G91" s="9">
        <v>0.44374999999999998</v>
      </c>
      <c r="H91" s="9">
        <v>0.44444444444444442</v>
      </c>
      <c r="I91" s="10">
        <f t="shared" si="6"/>
        <v>6.9444444444444198E-4</v>
      </c>
      <c r="J91" s="11">
        <v>4</v>
      </c>
      <c r="K91" s="11">
        <v>65.2</v>
      </c>
      <c r="L91" s="16">
        <f t="shared" si="7"/>
        <v>978.00000000000352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/>
      <c r="Y91" s="11"/>
      <c r="Z91" s="11"/>
      <c r="AA91" s="11"/>
      <c r="AB91" s="11"/>
      <c r="AC91" s="11"/>
      <c r="AD91" s="11">
        <v>1</v>
      </c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1022</v>
      </c>
      <c r="F92" s="8" t="s">
        <v>42</v>
      </c>
      <c r="G92" s="9">
        <v>0.45208333333333334</v>
      </c>
      <c r="H92" s="9">
        <v>0.45277777777777778</v>
      </c>
      <c r="I92" s="10">
        <f t="shared" si="6"/>
        <v>6.9444444444444198E-4</v>
      </c>
      <c r="J92" s="11">
        <v>4</v>
      </c>
      <c r="K92" s="11">
        <v>65.14</v>
      </c>
      <c r="L92" s="16">
        <f t="shared" si="7"/>
        <v>977.10000000000355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/>
      <c r="Z92" s="11"/>
      <c r="AA92" s="11"/>
      <c r="AB92" s="11"/>
      <c r="AC92" s="11"/>
      <c r="AD92" s="11">
        <v>1</v>
      </c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1025</v>
      </c>
      <c r="F93" s="8" t="s">
        <v>42</v>
      </c>
      <c r="G93" s="9">
        <v>0.50486111111111109</v>
      </c>
      <c r="H93" s="9">
        <v>0.50503472222222223</v>
      </c>
      <c r="I93" s="10">
        <f t="shared" si="6"/>
        <v>1.7361111111113825E-4</v>
      </c>
      <c r="J93" s="11">
        <v>4</v>
      </c>
      <c r="K93" s="11">
        <v>66.989999999999995</v>
      </c>
      <c r="L93" s="16">
        <f t="shared" si="7"/>
        <v>4019.3999999993716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2</v>
      </c>
      <c r="W93" s="12"/>
      <c r="X93" s="11"/>
      <c r="Y93" s="11"/>
      <c r="Z93" s="11"/>
      <c r="AA93" s="11"/>
      <c r="AB93" s="11"/>
      <c r="AC93" s="11"/>
      <c r="AD93" s="11">
        <v>1</v>
      </c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1026</v>
      </c>
      <c r="F94" s="8" t="s">
        <v>42</v>
      </c>
      <c r="G94" s="9">
        <v>0.50624999999999998</v>
      </c>
      <c r="H94" s="9">
        <v>0.50642361111111112</v>
      </c>
      <c r="I94" s="10">
        <f t="shared" si="6"/>
        <v>1.7361111111113825E-4</v>
      </c>
      <c r="J94" s="11">
        <v>4</v>
      </c>
      <c r="K94" s="11">
        <v>67.39</v>
      </c>
      <c r="L94" s="16">
        <f t="shared" si="7"/>
        <v>4043.399999999368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2</v>
      </c>
      <c r="W94" s="12"/>
      <c r="X94" s="11"/>
      <c r="Y94" s="11"/>
      <c r="Z94" s="11"/>
      <c r="AA94" s="11"/>
      <c r="AB94" s="11"/>
      <c r="AC94" s="11"/>
      <c r="AD94" s="11">
        <v>1</v>
      </c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1027</v>
      </c>
      <c r="F95" s="8" t="s">
        <v>42</v>
      </c>
      <c r="G95" s="9">
        <v>0.50763888888888886</v>
      </c>
      <c r="H95" s="9">
        <v>0.5078125</v>
      </c>
      <c r="I95" s="10">
        <f t="shared" si="6"/>
        <v>1.7361111111113825E-4</v>
      </c>
      <c r="J95" s="11">
        <v>4</v>
      </c>
      <c r="K95" s="11">
        <v>67.77</v>
      </c>
      <c r="L95" s="16">
        <f t="shared" si="7"/>
        <v>4066.1999999993641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2</v>
      </c>
      <c r="W95" s="12"/>
      <c r="X95" s="11"/>
      <c r="Y95" s="11"/>
      <c r="Z95" s="11"/>
      <c r="AA95" s="11"/>
      <c r="AB95" s="11"/>
      <c r="AC95" s="11"/>
      <c r="AD95" s="11">
        <v>1</v>
      </c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1028</v>
      </c>
      <c r="F96" s="8" t="s">
        <v>42</v>
      </c>
      <c r="G96" s="9">
        <v>0.50902777777777775</v>
      </c>
      <c r="H96" s="9">
        <v>0.50920138888888888</v>
      </c>
      <c r="I96" s="10">
        <f t="shared" si="6"/>
        <v>1.7361111111113825E-4</v>
      </c>
      <c r="J96" s="11">
        <v>4</v>
      </c>
      <c r="K96" s="11">
        <v>67.53</v>
      </c>
      <c r="L96" s="16">
        <f t="shared" si="7"/>
        <v>4051.7999999993667</v>
      </c>
      <c r="M96" s="11"/>
      <c r="N96" s="11"/>
      <c r="O96" s="11"/>
      <c r="P96" s="11"/>
      <c r="Q96" s="11"/>
      <c r="R96" s="12"/>
      <c r="S96" s="12"/>
      <c r="T96" s="11"/>
      <c r="U96" s="11"/>
      <c r="V96" s="12">
        <v>2</v>
      </c>
      <c r="W96" s="12"/>
      <c r="X96" s="11"/>
      <c r="Y96" s="11"/>
      <c r="Z96" s="11"/>
      <c r="AA96" s="11"/>
      <c r="AB96" s="11"/>
      <c r="AC96" s="11"/>
      <c r="AD96" s="11">
        <v>1</v>
      </c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1029</v>
      </c>
      <c r="F97" s="8" t="s">
        <v>42</v>
      </c>
      <c r="G97" s="9">
        <v>0.51388888888888884</v>
      </c>
      <c r="H97" s="9">
        <v>0.51406249999999998</v>
      </c>
      <c r="I97" s="10">
        <f t="shared" si="6"/>
        <v>1.7361111111113825E-4</v>
      </c>
      <c r="J97" s="11">
        <v>4</v>
      </c>
      <c r="K97" s="11">
        <v>67.790000000000006</v>
      </c>
      <c r="L97" s="16">
        <f t="shared" si="7"/>
        <v>4067.3999999993648</v>
      </c>
      <c r="M97" s="11"/>
      <c r="N97" s="11"/>
      <c r="O97" s="11"/>
      <c r="P97" s="11"/>
      <c r="Q97" s="11"/>
      <c r="R97" s="12"/>
      <c r="S97" s="12"/>
      <c r="T97" s="11"/>
      <c r="U97" s="11"/>
      <c r="V97" s="12">
        <v>2</v>
      </c>
      <c r="W97" s="12"/>
      <c r="X97" s="11"/>
      <c r="Y97" s="11"/>
      <c r="Z97" s="11"/>
      <c r="AA97" s="11"/>
      <c r="AB97" s="11"/>
      <c r="AC97" s="11"/>
      <c r="AD97" s="11">
        <v>1</v>
      </c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1223</v>
      </c>
      <c r="F98" s="8" t="s">
        <v>42</v>
      </c>
      <c r="G98" s="9">
        <v>0.61388888888888893</v>
      </c>
      <c r="H98" s="9">
        <v>0.62013888888888891</v>
      </c>
      <c r="I98" s="10">
        <f t="shared" si="6"/>
        <v>6.2499999999999778E-3</v>
      </c>
      <c r="J98" s="11">
        <v>5</v>
      </c>
      <c r="K98" s="11">
        <v>44.48</v>
      </c>
      <c r="L98" s="16">
        <f t="shared" si="7"/>
        <v>59.306666666666871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/>
      <c r="AD98" s="11">
        <v>9</v>
      </c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1224</v>
      </c>
      <c r="F99" s="8" t="s">
        <v>42</v>
      </c>
      <c r="G99" s="9">
        <v>0.61388888888888893</v>
      </c>
      <c r="H99" s="9">
        <v>0.62013888888888891</v>
      </c>
      <c r="I99" s="10">
        <f t="shared" si="6"/>
        <v>6.2499999999999778E-3</v>
      </c>
      <c r="J99" s="11">
        <v>5</v>
      </c>
      <c r="K99" s="11">
        <v>44.83</v>
      </c>
      <c r="L99" s="16">
        <f t="shared" si="7"/>
        <v>59.773333333333539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/>
      <c r="X99" s="11"/>
      <c r="Y99" s="11"/>
      <c r="Z99" s="11"/>
      <c r="AA99" s="11"/>
      <c r="AB99" s="11"/>
      <c r="AC99" s="11"/>
      <c r="AD99" s="11">
        <v>9</v>
      </c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1225</v>
      </c>
      <c r="F100" s="8" t="s">
        <v>42</v>
      </c>
      <c r="G100" s="9">
        <v>0.62916666666666665</v>
      </c>
      <c r="H100" s="9">
        <v>0.63541666666666663</v>
      </c>
      <c r="I100" s="10">
        <f t="shared" si="6"/>
        <v>6.2499999999999778E-3</v>
      </c>
      <c r="J100" s="11">
        <v>5</v>
      </c>
      <c r="K100" s="11">
        <v>44.26</v>
      </c>
      <c r="L100" s="16">
        <f t="shared" si="7"/>
        <v>59.013333333333541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/>
      <c r="X100" s="11"/>
      <c r="Y100" s="11"/>
      <c r="Z100" s="11"/>
      <c r="AA100" s="11"/>
      <c r="AB100" s="11"/>
      <c r="AC100" s="11"/>
      <c r="AD100" s="11">
        <v>9</v>
      </c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1226</v>
      </c>
      <c r="F101" s="8" t="s">
        <v>42</v>
      </c>
      <c r="G101" s="9">
        <v>0.62916666666666665</v>
      </c>
      <c r="H101" s="9">
        <v>0.63541666666666663</v>
      </c>
      <c r="I101" s="10">
        <f t="shared" si="6"/>
        <v>6.2499999999999778E-3</v>
      </c>
      <c r="J101" s="11">
        <v>5</v>
      </c>
      <c r="K101" s="11">
        <v>44.57</v>
      </c>
      <c r="L101" s="16">
        <f t="shared" si="7"/>
        <v>59.426666666666875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/>
      <c r="X101" s="11"/>
      <c r="Y101" s="11"/>
      <c r="Z101" s="11"/>
      <c r="AA101" s="11"/>
      <c r="AB101" s="11"/>
      <c r="AC101" s="11"/>
      <c r="AD101" s="11">
        <v>9</v>
      </c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1227</v>
      </c>
      <c r="F102" s="8" t="s">
        <v>42</v>
      </c>
      <c r="G102" s="9">
        <v>0.64583333333333337</v>
      </c>
      <c r="H102" s="9">
        <v>0.65208333333333335</v>
      </c>
      <c r="I102" s="10">
        <f t="shared" si="6"/>
        <v>6.2499999999999778E-3</v>
      </c>
      <c r="J102" s="11">
        <v>5</v>
      </c>
      <c r="K102" s="11">
        <v>44.08</v>
      </c>
      <c r="L102" s="16">
        <f t="shared" si="7"/>
        <v>58.773333333333539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/>
      <c r="X102" s="11"/>
      <c r="Y102" s="11"/>
      <c r="Z102" s="11"/>
      <c r="AA102" s="11"/>
      <c r="AB102" s="11"/>
      <c r="AC102" s="11"/>
      <c r="AD102" s="11">
        <v>9</v>
      </c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1228</v>
      </c>
      <c r="F103" s="8" t="s">
        <v>42</v>
      </c>
      <c r="G103" s="9">
        <v>0.64583333333333337</v>
      </c>
      <c r="H103" s="9">
        <v>0.65208333333333335</v>
      </c>
      <c r="I103" s="10">
        <f t="shared" si="6"/>
        <v>6.2499999999999778E-3</v>
      </c>
      <c r="J103" s="11">
        <v>5</v>
      </c>
      <c r="K103" s="11">
        <v>44.28</v>
      </c>
      <c r="L103" s="16">
        <f t="shared" si="7"/>
        <v>59.040000000000212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/>
      <c r="X103" s="11"/>
      <c r="Y103" s="11"/>
      <c r="Z103" s="11"/>
      <c r="AA103" s="11"/>
      <c r="AB103" s="11"/>
      <c r="AC103" s="11"/>
      <c r="AD103" s="11">
        <v>9</v>
      </c>
      <c r="AE103" s="11"/>
      <c r="AF103" s="11"/>
      <c r="AG103" s="11"/>
      <c r="AH103" s="11"/>
      <c r="AI103" s="11"/>
      <c r="AJ103" s="11"/>
      <c r="AK103" s="11"/>
      <c r="AL103" s="14"/>
    </row>
    <row r="104" spans="2:38" ht="25.5" customHeight="1">
      <c r="B104" s="13"/>
      <c r="C104" s="29"/>
      <c r="D104" s="30"/>
      <c r="E104" s="19" t="s">
        <v>1229</v>
      </c>
      <c r="F104" s="8" t="s">
        <v>42</v>
      </c>
      <c r="G104" s="9">
        <v>0.64583333333333337</v>
      </c>
      <c r="H104" s="9">
        <v>0.65208333333333335</v>
      </c>
      <c r="I104" s="10">
        <f t="shared" si="6"/>
        <v>6.2499999999999778E-3</v>
      </c>
      <c r="J104" s="11">
        <v>5</v>
      </c>
      <c r="K104" s="11">
        <v>22.12</v>
      </c>
      <c r="L104" s="16">
        <f t="shared" si="7"/>
        <v>29.493333333333439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/>
      <c r="X104" s="11"/>
      <c r="Y104" s="11"/>
      <c r="Z104" s="11"/>
      <c r="AA104" s="11"/>
      <c r="AB104" s="11"/>
      <c r="AC104" s="11"/>
      <c r="AD104" s="11">
        <v>9</v>
      </c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/>
      <c r="F105" s="8" t="s">
        <v>42</v>
      </c>
      <c r="G105" s="9"/>
      <c r="H105" s="9"/>
      <c r="I105" s="10">
        <f t="shared" si="6"/>
        <v>0</v>
      </c>
      <c r="J105" s="11"/>
      <c r="K105" s="11"/>
      <c r="L105" s="16" t="str">
        <f t="shared" si="7"/>
        <v>0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 t="s">
        <v>1175</v>
      </c>
      <c r="E106" s="19" t="s">
        <v>1230</v>
      </c>
      <c r="F106" s="8" t="s">
        <v>42</v>
      </c>
      <c r="G106" s="9">
        <v>0.49930555555555556</v>
      </c>
      <c r="H106" s="9">
        <v>0.49936342592592592</v>
      </c>
      <c r="I106" s="10">
        <f t="shared" si="6"/>
        <v>5.7870370370360913E-5</v>
      </c>
      <c r="J106" s="11">
        <v>4</v>
      </c>
      <c r="K106" s="11">
        <v>1.8</v>
      </c>
      <c r="L106" s="16">
        <f t="shared" si="7"/>
        <v>324.00000000005292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2</v>
      </c>
      <c r="W106" s="12"/>
      <c r="X106" s="11"/>
      <c r="Y106" s="11"/>
      <c r="Z106" s="11"/>
      <c r="AA106" s="11"/>
      <c r="AB106" s="11"/>
      <c r="AC106" s="11"/>
      <c r="AD106" s="11">
        <v>1</v>
      </c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1231</v>
      </c>
      <c r="F107" s="8" t="s">
        <v>42</v>
      </c>
      <c r="G107" s="9">
        <v>0.5</v>
      </c>
      <c r="H107" s="9">
        <v>0.50005787037037042</v>
      </c>
      <c r="I107" s="10">
        <f t="shared" si="6"/>
        <v>5.7870370370416424E-5</v>
      </c>
      <c r="J107" s="11">
        <v>4</v>
      </c>
      <c r="K107" s="11">
        <v>1.73</v>
      </c>
      <c r="L107" s="16">
        <f t="shared" si="7"/>
        <v>311.3999999997522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>
        <v>2</v>
      </c>
      <c r="W107" s="12"/>
      <c r="X107" s="11"/>
      <c r="Y107" s="11"/>
      <c r="Z107" s="11"/>
      <c r="AA107" s="11"/>
      <c r="AB107" s="11"/>
      <c r="AC107" s="11"/>
      <c r="AD107" s="11">
        <v>1</v>
      </c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1232</v>
      </c>
      <c r="F108" s="8" t="s">
        <v>42</v>
      </c>
      <c r="G108" s="9">
        <v>0.50069444444444444</v>
      </c>
      <c r="H108" s="9">
        <v>0.50075231481481486</v>
      </c>
      <c r="I108" s="10">
        <f t="shared" ref="I108:I167" si="9">H108-G108</f>
        <v>5.7870370370416424E-5</v>
      </c>
      <c r="J108" s="11">
        <v>4</v>
      </c>
      <c r="K108" s="11">
        <v>1.8</v>
      </c>
      <c r="L108" s="16">
        <f t="shared" si="7"/>
        <v>323.99999999974216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>
        <v>2</v>
      </c>
      <c r="W108" s="12"/>
      <c r="X108" s="11"/>
      <c r="Y108" s="11"/>
      <c r="Z108" s="11"/>
      <c r="AA108" s="11"/>
      <c r="AB108" s="11"/>
      <c r="AC108" s="11"/>
      <c r="AD108" s="11">
        <v>1</v>
      </c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1233</v>
      </c>
      <c r="F109" s="8" t="s">
        <v>42</v>
      </c>
      <c r="G109" s="9">
        <v>0.50138888888888888</v>
      </c>
      <c r="H109" s="9">
        <v>0.5014467592592593</v>
      </c>
      <c r="I109" s="10">
        <f t="shared" si="9"/>
        <v>5.7870370370416424E-5</v>
      </c>
      <c r="J109" s="11">
        <v>4</v>
      </c>
      <c r="K109" s="11">
        <v>1.79</v>
      </c>
      <c r="L109" s="16">
        <f t="shared" ref="L109:L167" si="10">IFERROR(((K109/(J109*I109)/24)),"0")</f>
        <v>322.19999999974362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>
        <v>2</v>
      </c>
      <c r="W109" s="12"/>
      <c r="X109" s="11"/>
      <c r="Y109" s="11"/>
      <c r="Z109" s="11"/>
      <c r="AA109" s="11"/>
      <c r="AB109" s="11"/>
      <c r="AC109" s="11"/>
      <c r="AD109" s="11">
        <v>1</v>
      </c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1234</v>
      </c>
      <c r="F110" s="8" t="s">
        <v>42</v>
      </c>
      <c r="G110" s="9">
        <v>0.50208333333333333</v>
      </c>
      <c r="H110" s="9">
        <v>0.50214120370370374</v>
      </c>
      <c r="I110" s="10">
        <f t="shared" si="9"/>
        <v>5.7870370370416424E-5</v>
      </c>
      <c r="J110" s="11">
        <v>4</v>
      </c>
      <c r="K110" s="11">
        <v>1.85</v>
      </c>
      <c r="L110" s="16">
        <f t="shared" si="10"/>
        <v>332.999999999735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>
        <v>2</v>
      </c>
      <c r="W110" s="12"/>
      <c r="X110" s="11"/>
      <c r="Y110" s="11"/>
      <c r="Z110" s="11"/>
      <c r="AA110" s="11"/>
      <c r="AB110" s="11"/>
      <c r="AC110" s="11"/>
      <c r="AD110" s="11">
        <v>1</v>
      </c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1235</v>
      </c>
      <c r="F111" s="8" t="s">
        <v>42</v>
      </c>
      <c r="G111" s="9">
        <v>0.50277777777777777</v>
      </c>
      <c r="H111" s="9">
        <v>0.50283564814814818</v>
      </c>
      <c r="I111" s="10">
        <f t="shared" si="9"/>
        <v>5.7870370370416424E-5</v>
      </c>
      <c r="J111" s="11">
        <v>4</v>
      </c>
      <c r="K111" s="11">
        <v>1.8</v>
      </c>
      <c r="L111" s="16">
        <f t="shared" si="10"/>
        <v>323.99999999974216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>
        <v>2</v>
      </c>
      <c r="W111" s="12"/>
      <c r="X111" s="11"/>
      <c r="Y111" s="11"/>
      <c r="Z111" s="11"/>
      <c r="AA111" s="11"/>
      <c r="AB111" s="11"/>
      <c r="AC111" s="11"/>
      <c r="AD111" s="11">
        <v>1</v>
      </c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1236</v>
      </c>
      <c r="F112" s="8" t="s">
        <v>42</v>
      </c>
      <c r="G112" s="9">
        <v>0.50347222222222221</v>
      </c>
      <c r="H112" s="9">
        <v>0.50353009259259263</v>
      </c>
      <c r="I112" s="10">
        <f t="shared" si="9"/>
        <v>5.7870370370416424E-5</v>
      </c>
      <c r="J112" s="11">
        <v>4</v>
      </c>
      <c r="K112" s="11">
        <v>1.76</v>
      </c>
      <c r="L112" s="16">
        <f t="shared" si="10"/>
        <v>316.79999999974785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>
        <v>2</v>
      </c>
      <c r="W112" s="12"/>
      <c r="X112" s="11"/>
      <c r="Y112" s="11"/>
      <c r="Z112" s="11"/>
      <c r="AA112" s="11"/>
      <c r="AB112" s="11"/>
      <c r="AC112" s="11"/>
      <c r="AD112" s="11">
        <v>1</v>
      </c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9" t="s">
        <v>1237</v>
      </c>
      <c r="F113" s="8" t="s">
        <v>42</v>
      </c>
      <c r="G113" s="9">
        <v>0.50416666666666665</v>
      </c>
      <c r="H113" s="9">
        <v>0.50422453703703707</v>
      </c>
      <c r="I113" s="10">
        <f t="shared" si="9"/>
        <v>5.7870370370416424E-5</v>
      </c>
      <c r="J113" s="11">
        <v>4</v>
      </c>
      <c r="K113" s="11">
        <v>1.95</v>
      </c>
      <c r="L113" s="16">
        <f t="shared" si="10"/>
        <v>350.99999999972061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>
        <v>2</v>
      </c>
      <c r="W113" s="12"/>
      <c r="X113" s="11"/>
      <c r="Y113" s="11"/>
      <c r="Z113" s="11"/>
      <c r="AA113" s="11"/>
      <c r="AB113" s="11"/>
      <c r="AC113" s="11"/>
      <c r="AD113" s="11">
        <v>1</v>
      </c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 t="s">
        <v>1238</v>
      </c>
      <c r="F114" s="8" t="s">
        <v>42</v>
      </c>
      <c r="G114" s="9">
        <v>0.50972222222222219</v>
      </c>
      <c r="H114" s="9">
        <v>0.51388888888888884</v>
      </c>
      <c r="I114" s="10">
        <f t="shared" si="9"/>
        <v>4.1666666666666519E-3</v>
      </c>
      <c r="J114" s="11">
        <v>5</v>
      </c>
      <c r="K114" s="11">
        <v>56.39</v>
      </c>
      <c r="L114" s="16">
        <f t="shared" si="10"/>
        <v>112.78000000000041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>
        <v>2</v>
      </c>
      <c r="X114" s="11"/>
      <c r="Y114" s="11"/>
      <c r="Z114" s="11"/>
      <c r="AA114" s="11"/>
      <c r="AB114" s="11"/>
      <c r="AC114" s="11"/>
      <c r="AD114" s="11">
        <v>6</v>
      </c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9" t="s">
        <v>1239</v>
      </c>
      <c r="F115" s="8" t="s">
        <v>42</v>
      </c>
      <c r="G115" s="9">
        <v>0.51597222222222228</v>
      </c>
      <c r="H115" s="9">
        <v>0.51875000000000004</v>
      </c>
      <c r="I115" s="10">
        <f t="shared" si="9"/>
        <v>2.7777777777777679E-3</v>
      </c>
      <c r="J115" s="11">
        <v>5</v>
      </c>
      <c r="K115" s="11">
        <v>47.41</v>
      </c>
      <c r="L115" s="16">
        <f t="shared" si="10"/>
        <v>142.2300000000005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>
        <v>2</v>
      </c>
      <c r="X115" s="11"/>
      <c r="Y115" s="11"/>
      <c r="Z115" s="11"/>
      <c r="AA115" s="11"/>
      <c r="AB115" s="11"/>
      <c r="AC115" s="11"/>
      <c r="AD115" s="11">
        <v>4</v>
      </c>
      <c r="AE115" s="11"/>
      <c r="AF115" s="11"/>
      <c r="AG115" s="11"/>
      <c r="AH115" s="11"/>
      <c r="AI115" s="11"/>
      <c r="AJ115" s="11"/>
      <c r="AK115" s="11"/>
      <c r="AL115" s="14"/>
    </row>
    <row r="116" spans="2:38" ht="25.05" customHeight="1">
      <c r="B116" s="13"/>
      <c r="C116" s="29"/>
      <c r="D116" s="30"/>
      <c r="E116" s="19" t="s">
        <v>1240</v>
      </c>
      <c r="F116" s="8" t="s">
        <v>42</v>
      </c>
      <c r="G116" s="9">
        <v>0.58263888888888893</v>
      </c>
      <c r="H116" s="9">
        <v>0.5854166666666667</v>
      </c>
      <c r="I116" s="10">
        <f t="shared" si="9"/>
        <v>2.7777777777777679E-3</v>
      </c>
      <c r="J116" s="11">
        <v>5</v>
      </c>
      <c r="K116" s="11">
        <v>51.67</v>
      </c>
      <c r="L116" s="16">
        <f t="shared" si="10"/>
        <v>155.01000000000056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2</v>
      </c>
      <c r="X116" s="11"/>
      <c r="Y116" s="11"/>
      <c r="Z116" s="11"/>
      <c r="AA116" s="11"/>
      <c r="AB116" s="11"/>
      <c r="AC116" s="11">
        <v>4</v>
      </c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2:38" ht="25.05" customHeight="1">
      <c r="B117" s="13"/>
      <c r="C117" s="29"/>
      <c r="D117" s="30"/>
      <c r="E117" s="19" t="s">
        <v>1241</v>
      </c>
      <c r="F117" s="8" t="s">
        <v>42</v>
      </c>
      <c r="G117" s="9">
        <v>0.59027777777777779</v>
      </c>
      <c r="H117" s="9">
        <v>0.59305555555555556</v>
      </c>
      <c r="I117" s="10">
        <f t="shared" si="9"/>
        <v>2.7777777777777679E-3</v>
      </c>
      <c r="J117" s="11">
        <v>5</v>
      </c>
      <c r="K117" s="11">
        <v>51.62</v>
      </c>
      <c r="L117" s="16">
        <f t="shared" si="10"/>
        <v>154.86000000000055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>
        <v>2</v>
      </c>
      <c r="X117" s="11"/>
      <c r="Y117" s="11"/>
      <c r="Z117" s="11"/>
      <c r="AA117" s="11"/>
      <c r="AB117" s="11"/>
      <c r="AC117" s="11">
        <v>4</v>
      </c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2:38" ht="25.05" customHeight="1">
      <c r="B118" s="13"/>
      <c r="C118" s="29"/>
      <c r="D118" s="30"/>
      <c r="E118" s="19" t="s">
        <v>1242</v>
      </c>
      <c r="F118" s="8" t="s">
        <v>42</v>
      </c>
      <c r="G118" s="9">
        <v>0.59722222222222221</v>
      </c>
      <c r="H118" s="9">
        <v>0.6</v>
      </c>
      <c r="I118" s="10">
        <f t="shared" si="9"/>
        <v>2.7777777777777679E-3</v>
      </c>
      <c r="J118" s="11">
        <v>5</v>
      </c>
      <c r="K118" s="11">
        <v>53.8</v>
      </c>
      <c r="L118" s="16">
        <f t="shared" si="10"/>
        <v>161.40000000000057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>
        <v>2</v>
      </c>
      <c r="X118" s="11"/>
      <c r="Y118" s="11"/>
      <c r="Z118" s="11"/>
      <c r="AA118" s="11"/>
      <c r="AB118" s="11"/>
      <c r="AC118" s="11">
        <v>4</v>
      </c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2:38" ht="25.05" customHeight="1">
      <c r="B119" s="13"/>
      <c r="C119" s="29"/>
      <c r="D119" s="30"/>
      <c r="E119" s="19" t="s">
        <v>1243</v>
      </c>
      <c r="F119" s="8" t="s">
        <v>42</v>
      </c>
      <c r="G119" s="9">
        <v>0.60416666666666663</v>
      </c>
      <c r="H119" s="9">
        <v>0.6069444444444444</v>
      </c>
      <c r="I119" s="10">
        <f t="shared" si="9"/>
        <v>2.7777777777777679E-3</v>
      </c>
      <c r="J119" s="11">
        <v>5</v>
      </c>
      <c r="K119" s="11">
        <v>47.61</v>
      </c>
      <c r="L119" s="16">
        <f t="shared" si="10"/>
        <v>142.83000000000052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>
        <v>2</v>
      </c>
      <c r="X119" s="11"/>
      <c r="Y119" s="11"/>
      <c r="Z119" s="11"/>
      <c r="AA119" s="11"/>
      <c r="AB119" s="11"/>
      <c r="AC119" s="11">
        <v>4</v>
      </c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/>
      <c r="E120" s="19" t="s">
        <v>1244</v>
      </c>
      <c r="F120" s="8" t="s">
        <v>42</v>
      </c>
      <c r="G120" s="9">
        <v>0.61041666666666672</v>
      </c>
      <c r="H120" s="9">
        <v>0.61319444444444449</v>
      </c>
      <c r="I120" s="10">
        <f t="shared" si="9"/>
        <v>2.7777777777777679E-3</v>
      </c>
      <c r="J120" s="11">
        <v>5</v>
      </c>
      <c r="K120" s="11">
        <v>46.94</v>
      </c>
      <c r="L120" s="16">
        <f t="shared" si="10"/>
        <v>140.82000000000048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>
        <v>2</v>
      </c>
      <c r="X120" s="11"/>
      <c r="Y120" s="11"/>
      <c r="Z120" s="11"/>
      <c r="AA120" s="11"/>
      <c r="AB120" s="11"/>
      <c r="AC120" s="11">
        <v>4</v>
      </c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 t="s">
        <v>1245</v>
      </c>
      <c r="F121" s="8" t="s">
        <v>42</v>
      </c>
      <c r="G121" s="9">
        <v>0.61736111111111114</v>
      </c>
      <c r="H121" s="9">
        <v>0.62083333333333335</v>
      </c>
      <c r="I121" s="10">
        <f t="shared" si="9"/>
        <v>3.4722222222222099E-3</v>
      </c>
      <c r="J121" s="11">
        <v>5</v>
      </c>
      <c r="K121" s="11">
        <v>51.58</v>
      </c>
      <c r="L121" s="16">
        <f t="shared" si="10"/>
        <v>123.79200000000043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>
        <v>2</v>
      </c>
      <c r="X121" s="11"/>
      <c r="Y121" s="11"/>
      <c r="Z121" s="11"/>
      <c r="AA121" s="11"/>
      <c r="AB121" s="11"/>
      <c r="AC121" s="11">
        <v>5</v>
      </c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30"/>
      <c r="E122" s="19" t="s">
        <v>1246</v>
      </c>
      <c r="F122" s="8" t="s">
        <v>42</v>
      </c>
      <c r="G122" s="9">
        <v>0.625</v>
      </c>
      <c r="H122" s="9">
        <v>0.62777777777777777</v>
      </c>
      <c r="I122" s="10">
        <f t="shared" si="9"/>
        <v>2.7777777777777679E-3</v>
      </c>
      <c r="J122" s="11">
        <v>5</v>
      </c>
      <c r="K122" s="11">
        <v>50.8</v>
      </c>
      <c r="L122" s="16">
        <f t="shared" si="10"/>
        <v>152.40000000000052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/>
      <c r="W122" s="12">
        <v>2</v>
      </c>
      <c r="X122" s="11"/>
      <c r="Y122" s="11"/>
      <c r="Z122" s="11"/>
      <c r="AA122" s="11"/>
      <c r="AB122" s="11"/>
      <c r="AC122" s="11">
        <v>4</v>
      </c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/>
      <c r="E123" s="19" t="s">
        <v>1247</v>
      </c>
      <c r="F123" s="8" t="s">
        <v>42</v>
      </c>
      <c r="G123" s="9">
        <v>0.63055555555555554</v>
      </c>
      <c r="H123" s="9">
        <v>0.63402777777777775</v>
      </c>
      <c r="I123" s="10">
        <f t="shared" si="9"/>
        <v>3.4722222222222099E-3</v>
      </c>
      <c r="J123" s="11">
        <v>5</v>
      </c>
      <c r="K123" s="11">
        <v>49.65</v>
      </c>
      <c r="L123" s="16">
        <f t="shared" si="10"/>
        <v>119.16000000000042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/>
      <c r="W123" s="12">
        <v>2</v>
      </c>
      <c r="X123" s="11"/>
      <c r="Y123" s="11"/>
      <c r="Z123" s="11"/>
      <c r="AA123" s="11"/>
      <c r="AB123" s="11"/>
      <c r="AC123" s="11">
        <v>5</v>
      </c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2:38" ht="25.05" customHeight="1">
      <c r="B124" s="13"/>
      <c r="C124" s="29"/>
      <c r="D124" s="30"/>
      <c r="E124" s="19" t="s">
        <v>1248</v>
      </c>
      <c r="F124" s="8" t="s">
        <v>42</v>
      </c>
      <c r="G124" s="9">
        <v>0.63749999999999996</v>
      </c>
      <c r="H124" s="9">
        <v>0.64027777777777772</v>
      </c>
      <c r="I124" s="10">
        <f t="shared" si="9"/>
        <v>2.7777777777777679E-3</v>
      </c>
      <c r="J124" s="11">
        <v>5</v>
      </c>
      <c r="K124" s="11">
        <v>49</v>
      </c>
      <c r="L124" s="16">
        <f t="shared" si="10"/>
        <v>147.00000000000054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/>
      <c r="W124" s="12">
        <v>2</v>
      </c>
      <c r="X124" s="11"/>
      <c r="Y124" s="11"/>
      <c r="Z124" s="11"/>
      <c r="AA124" s="11"/>
      <c r="AB124" s="11"/>
      <c r="AC124" s="11">
        <v>4</v>
      </c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/>
      <c r="E125" s="19" t="s">
        <v>1249</v>
      </c>
      <c r="F125" s="8" t="s">
        <v>42</v>
      </c>
      <c r="G125" s="9">
        <v>0.64375000000000004</v>
      </c>
      <c r="H125" s="9">
        <v>0.6479166666666667</v>
      </c>
      <c r="I125" s="10">
        <f t="shared" si="9"/>
        <v>4.1666666666666519E-3</v>
      </c>
      <c r="J125" s="11">
        <v>5</v>
      </c>
      <c r="K125" s="11">
        <v>49.9</v>
      </c>
      <c r="L125" s="16">
        <f t="shared" si="10"/>
        <v>99.800000000000352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>
        <v>2</v>
      </c>
      <c r="X125" s="11"/>
      <c r="Y125" s="11"/>
      <c r="Z125" s="11"/>
      <c r="AA125" s="11"/>
      <c r="AB125" s="11"/>
      <c r="AC125" s="11">
        <v>6</v>
      </c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19" t="s">
        <v>1250</v>
      </c>
      <c r="F126" s="8" t="s">
        <v>42</v>
      </c>
      <c r="G126" s="9">
        <v>0.65138888888888891</v>
      </c>
      <c r="H126" s="9">
        <v>0.65416666666666667</v>
      </c>
      <c r="I126" s="10">
        <f t="shared" si="9"/>
        <v>2.7777777777777679E-3</v>
      </c>
      <c r="J126" s="11">
        <v>5</v>
      </c>
      <c r="K126" s="11">
        <v>51.58</v>
      </c>
      <c r="L126" s="16">
        <f t="shared" si="10"/>
        <v>154.74000000000055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>
        <v>2</v>
      </c>
      <c r="X126" s="11"/>
      <c r="Y126" s="11"/>
      <c r="Z126" s="11"/>
      <c r="AA126" s="11"/>
      <c r="AB126" s="11"/>
      <c r="AC126" s="11">
        <v>4</v>
      </c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0"/>
      <c r="E127" s="19" t="s">
        <v>1251</v>
      </c>
      <c r="F127" s="8" t="s">
        <v>42</v>
      </c>
      <c r="G127" s="9">
        <v>0.65763888888888888</v>
      </c>
      <c r="H127" s="9">
        <v>0.66041666666666665</v>
      </c>
      <c r="I127" s="10">
        <f t="shared" si="9"/>
        <v>2.7777777777777679E-3</v>
      </c>
      <c r="J127" s="11">
        <v>5</v>
      </c>
      <c r="K127" s="11">
        <v>49.38</v>
      </c>
      <c r="L127" s="16">
        <f t="shared" si="10"/>
        <v>148.14000000000053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/>
      <c r="W127" s="12">
        <v>2</v>
      </c>
      <c r="X127" s="11"/>
      <c r="Y127" s="11"/>
      <c r="Z127" s="11"/>
      <c r="AA127" s="11"/>
      <c r="AB127" s="11"/>
      <c r="AC127" s="11">
        <v>4</v>
      </c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0"/>
      <c r="E128" s="19" t="s">
        <v>1252</v>
      </c>
      <c r="F128" s="8" t="s">
        <v>42</v>
      </c>
      <c r="G128" s="9">
        <v>0.66388888888888886</v>
      </c>
      <c r="H128" s="9">
        <v>0.66666666666666663</v>
      </c>
      <c r="I128" s="10">
        <f t="shared" si="9"/>
        <v>2.7777777777777679E-3</v>
      </c>
      <c r="J128" s="11">
        <v>5</v>
      </c>
      <c r="K128" s="11">
        <v>50.88</v>
      </c>
      <c r="L128" s="16">
        <f t="shared" si="10"/>
        <v>152.64000000000055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/>
      <c r="W128" s="12">
        <v>2</v>
      </c>
      <c r="X128" s="11"/>
      <c r="Y128" s="11"/>
      <c r="Z128" s="11"/>
      <c r="AA128" s="11"/>
      <c r="AB128" s="11"/>
      <c r="AC128" s="11">
        <v>4</v>
      </c>
      <c r="AD128" s="11"/>
      <c r="AE128" s="11"/>
      <c r="AF128" s="11"/>
      <c r="AG128" s="11"/>
      <c r="AH128" s="11"/>
      <c r="AI128" s="11"/>
      <c r="AJ128" s="11"/>
      <c r="AK128" s="11"/>
      <c r="AL128" s="14"/>
    </row>
    <row r="129" spans="2:38" ht="25.05" customHeight="1">
      <c r="B129" s="13"/>
      <c r="C129" s="29"/>
      <c r="D129" s="30"/>
      <c r="E129" s="19" t="s">
        <v>1253</v>
      </c>
      <c r="F129" s="8" t="s">
        <v>42</v>
      </c>
      <c r="G129" s="9">
        <v>0.67013888888888884</v>
      </c>
      <c r="H129" s="9">
        <v>0.67291666666666672</v>
      </c>
      <c r="I129" s="10">
        <f t="shared" si="9"/>
        <v>2.7777777777778789E-3</v>
      </c>
      <c r="J129" s="11">
        <v>5</v>
      </c>
      <c r="K129" s="11">
        <v>46.1</v>
      </c>
      <c r="L129" s="16">
        <f t="shared" si="10"/>
        <v>138.29999999999498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/>
      <c r="W129" s="12">
        <v>2</v>
      </c>
      <c r="X129" s="11"/>
      <c r="Y129" s="11"/>
      <c r="Z129" s="11"/>
      <c r="AA129" s="11"/>
      <c r="AB129" s="11"/>
      <c r="AC129" s="11">
        <v>4</v>
      </c>
      <c r="AD129" s="11"/>
      <c r="AE129" s="11"/>
      <c r="AF129" s="11"/>
      <c r="AG129" s="11"/>
      <c r="AH129" s="11"/>
      <c r="AI129" s="11"/>
      <c r="AJ129" s="11"/>
      <c r="AK129" s="11"/>
      <c r="AL129" s="14"/>
    </row>
    <row r="130" spans="2:38" ht="25.05" customHeight="1">
      <c r="B130" s="13"/>
      <c r="C130" s="29"/>
      <c r="D130" s="30"/>
      <c r="E130" s="19" t="s">
        <v>531</v>
      </c>
      <c r="F130" s="8" t="s">
        <v>42</v>
      </c>
      <c r="G130" s="9">
        <v>0.57986111111111116</v>
      </c>
      <c r="H130" s="9">
        <v>0.58680555555555558</v>
      </c>
      <c r="I130" s="10">
        <f t="shared" si="9"/>
        <v>6.9444444444444198E-3</v>
      </c>
      <c r="J130" s="11">
        <v>8</v>
      </c>
      <c r="K130" s="11">
        <v>121</v>
      </c>
      <c r="L130" s="16">
        <f t="shared" si="10"/>
        <v>90.750000000000327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>
        <v>4</v>
      </c>
      <c r="W130" s="12"/>
      <c r="X130" s="11"/>
      <c r="Y130" s="11"/>
      <c r="Z130" s="11"/>
      <c r="AA130" s="11"/>
      <c r="AB130" s="11">
        <v>10</v>
      </c>
      <c r="AC130" s="11"/>
      <c r="AD130" s="11"/>
      <c r="AE130" s="11"/>
      <c r="AF130" s="11"/>
      <c r="AG130" s="11"/>
      <c r="AH130" s="11"/>
      <c r="AI130" s="11"/>
      <c r="AJ130" s="11"/>
      <c r="AK130" s="11"/>
      <c r="AL130" s="14"/>
    </row>
    <row r="131" spans="2:38" ht="25.05" customHeight="1">
      <c r="B131" s="13"/>
      <c r="C131" s="29"/>
      <c r="D131" s="30"/>
      <c r="E131" s="19" t="s">
        <v>532</v>
      </c>
      <c r="F131" s="8" t="s">
        <v>42</v>
      </c>
      <c r="G131" s="9">
        <v>0.59166666666666667</v>
      </c>
      <c r="H131" s="9">
        <v>0.59791666666666665</v>
      </c>
      <c r="I131" s="10">
        <f t="shared" si="9"/>
        <v>6.2499999999999778E-3</v>
      </c>
      <c r="J131" s="11">
        <v>8</v>
      </c>
      <c r="K131" s="11">
        <v>122.7</v>
      </c>
      <c r="L131" s="16">
        <f t="shared" si="10"/>
        <v>102.25000000000036</v>
      </c>
      <c r="M131" s="11"/>
      <c r="N131" s="11"/>
      <c r="O131" s="11"/>
      <c r="P131" s="11"/>
      <c r="Q131" s="11"/>
      <c r="R131" s="12"/>
      <c r="S131" s="12"/>
      <c r="T131" s="11"/>
      <c r="U131" s="11"/>
      <c r="V131" s="12">
        <v>4</v>
      </c>
      <c r="W131" s="12"/>
      <c r="X131" s="11"/>
      <c r="Y131" s="11"/>
      <c r="Z131" s="11"/>
      <c r="AA131" s="11"/>
      <c r="AB131" s="11">
        <v>9</v>
      </c>
      <c r="AC131" s="11"/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spans="2:38" ht="25.05" customHeight="1">
      <c r="B132" s="13"/>
      <c r="C132" s="29"/>
      <c r="D132" s="30"/>
      <c r="E132" s="19" t="s">
        <v>533</v>
      </c>
      <c r="F132" s="8" t="s">
        <v>42</v>
      </c>
      <c r="G132" s="9">
        <v>0.60069444444444442</v>
      </c>
      <c r="H132" s="9">
        <v>0.60624999999999996</v>
      </c>
      <c r="I132" s="10">
        <f t="shared" si="9"/>
        <v>5.5555555555555358E-3</v>
      </c>
      <c r="J132" s="11">
        <v>8</v>
      </c>
      <c r="K132" s="11">
        <v>125.7</v>
      </c>
      <c r="L132" s="16">
        <f t="shared" si="10"/>
        <v>117.84375000000041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>
        <v>4</v>
      </c>
      <c r="W132" s="12"/>
      <c r="X132" s="11"/>
      <c r="Y132" s="11"/>
      <c r="Z132" s="11"/>
      <c r="AA132" s="11"/>
      <c r="AB132" s="11">
        <v>8</v>
      </c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spans="2:38" ht="25.05" customHeight="1">
      <c r="B133" s="13"/>
      <c r="C133" s="29"/>
      <c r="D133" s="30"/>
      <c r="E133" s="19" t="s">
        <v>534</v>
      </c>
      <c r="F133" s="8" t="s">
        <v>42</v>
      </c>
      <c r="G133" s="9">
        <v>0.60902777777777772</v>
      </c>
      <c r="H133" s="9">
        <v>0.61388888888888893</v>
      </c>
      <c r="I133" s="10">
        <f t="shared" si="9"/>
        <v>4.8611111111112049E-3</v>
      </c>
      <c r="J133" s="11">
        <v>8</v>
      </c>
      <c r="K133" s="11">
        <v>119.89</v>
      </c>
      <c r="L133" s="16">
        <f t="shared" si="10"/>
        <v>128.45357142856895</v>
      </c>
      <c r="M133" s="11"/>
      <c r="N133" s="11"/>
      <c r="O133" s="11"/>
      <c r="P133" s="11"/>
      <c r="Q133" s="11"/>
      <c r="R133" s="12"/>
      <c r="S133" s="12"/>
      <c r="T133" s="11"/>
      <c r="U133" s="11"/>
      <c r="V133" s="12">
        <v>4</v>
      </c>
      <c r="W133" s="12"/>
      <c r="X133" s="11"/>
      <c r="Y133" s="11"/>
      <c r="Z133" s="11"/>
      <c r="AA133" s="11"/>
      <c r="AB133" s="11">
        <v>7</v>
      </c>
      <c r="AC133" s="11"/>
      <c r="AD133" s="11"/>
      <c r="AE133" s="11"/>
      <c r="AF133" s="11"/>
      <c r="AG133" s="11"/>
      <c r="AH133" s="11"/>
      <c r="AI133" s="11"/>
      <c r="AJ133" s="11"/>
      <c r="AK133" s="11"/>
      <c r="AL133" s="14"/>
    </row>
    <row r="134" spans="2:38" ht="25.05" customHeight="1">
      <c r="B134" s="13"/>
      <c r="C134" s="29"/>
      <c r="D134" s="30"/>
      <c r="E134" s="19" t="s">
        <v>535</v>
      </c>
      <c r="F134" s="8" t="s">
        <v>42</v>
      </c>
      <c r="G134" s="9">
        <v>0.61944444444444446</v>
      </c>
      <c r="H134" s="9">
        <v>0.625</v>
      </c>
      <c r="I134" s="10">
        <f t="shared" si="9"/>
        <v>5.5555555555555358E-3</v>
      </c>
      <c r="J134" s="11">
        <v>8</v>
      </c>
      <c r="K134" s="11">
        <v>121.19</v>
      </c>
      <c r="L134" s="16">
        <f t="shared" si="10"/>
        <v>113.61562500000041</v>
      </c>
      <c r="M134" s="11"/>
      <c r="N134" s="11"/>
      <c r="O134" s="11"/>
      <c r="P134" s="11"/>
      <c r="Q134" s="11"/>
      <c r="R134" s="12"/>
      <c r="S134" s="12"/>
      <c r="T134" s="11"/>
      <c r="U134" s="11"/>
      <c r="V134" s="12">
        <v>4</v>
      </c>
      <c r="W134" s="12"/>
      <c r="X134" s="11"/>
      <c r="Y134" s="11"/>
      <c r="Z134" s="11"/>
      <c r="AA134" s="11"/>
      <c r="AB134" s="11">
        <v>8</v>
      </c>
      <c r="AC134" s="11"/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spans="2:38" ht="25.05" customHeight="1">
      <c r="B135" s="13"/>
      <c r="C135" s="29"/>
      <c r="D135" s="30"/>
      <c r="E135" s="19" t="s">
        <v>536</v>
      </c>
      <c r="F135" s="8" t="s">
        <v>42</v>
      </c>
      <c r="G135" s="9">
        <v>0.62916666666666665</v>
      </c>
      <c r="H135" s="9">
        <v>0.63472222222222219</v>
      </c>
      <c r="I135" s="10">
        <f t="shared" si="9"/>
        <v>5.5555555555555358E-3</v>
      </c>
      <c r="J135" s="11">
        <v>8</v>
      </c>
      <c r="K135" s="11">
        <v>121.08</v>
      </c>
      <c r="L135" s="16">
        <f t="shared" si="10"/>
        <v>113.5125000000004</v>
      </c>
      <c r="M135" s="11"/>
      <c r="N135" s="11"/>
      <c r="O135" s="11"/>
      <c r="P135" s="11"/>
      <c r="Q135" s="11"/>
      <c r="R135" s="12"/>
      <c r="S135" s="12"/>
      <c r="T135" s="11"/>
      <c r="U135" s="11"/>
      <c r="V135" s="12">
        <v>4</v>
      </c>
      <c r="W135" s="12"/>
      <c r="X135" s="11"/>
      <c r="Y135" s="11"/>
      <c r="Z135" s="11"/>
      <c r="AA135" s="11"/>
      <c r="AB135" s="11">
        <v>8</v>
      </c>
      <c r="AC135" s="11"/>
      <c r="AD135" s="11"/>
      <c r="AE135" s="11"/>
      <c r="AF135" s="11"/>
      <c r="AG135" s="11"/>
      <c r="AH135" s="11"/>
      <c r="AI135" s="11"/>
      <c r="AJ135" s="11"/>
      <c r="AK135" s="11"/>
      <c r="AL135" s="14"/>
    </row>
    <row r="136" spans="2:38" ht="25.05" customHeight="1">
      <c r="B136" s="13"/>
      <c r="C136" s="29"/>
      <c r="D136" s="30"/>
      <c r="E136" s="19" t="s">
        <v>537</v>
      </c>
      <c r="F136" s="8" t="s">
        <v>42</v>
      </c>
      <c r="G136" s="9">
        <v>0.64027777777777772</v>
      </c>
      <c r="H136" s="9">
        <v>0.64583333333333337</v>
      </c>
      <c r="I136" s="10">
        <f t="shared" si="9"/>
        <v>5.5555555555556468E-3</v>
      </c>
      <c r="J136" s="11">
        <v>8</v>
      </c>
      <c r="K136" s="11">
        <v>121.41</v>
      </c>
      <c r="L136" s="16">
        <f t="shared" si="10"/>
        <v>113.82187499999812</v>
      </c>
      <c r="M136" s="11"/>
      <c r="N136" s="11"/>
      <c r="O136" s="11"/>
      <c r="P136" s="11"/>
      <c r="Q136" s="11"/>
      <c r="R136" s="12"/>
      <c r="S136" s="12"/>
      <c r="T136" s="11"/>
      <c r="U136" s="11"/>
      <c r="V136" s="12">
        <v>4</v>
      </c>
      <c r="W136" s="12"/>
      <c r="X136" s="11"/>
      <c r="Y136" s="11"/>
      <c r="Z136" s="11"/>
      <c r="AA136" s="11"/>
      <c r="AB136" s="11">
        <v>8</v>
      </c>
      <c r="AC136" s="11"/>
      <c r="AD136" s="11"/>
      <c r="AE136" s="11"/>
      <c r="AF136" s="11"/>
      <c r="AG136" s="11"/>
      <c r="AH136" s="11"/>
      <c r="AI136" s="11"/>
      <c r="AJ136" s="11"/>
      <c r="AK136" s="11"/>
      <c r="AL136" s="14"/>
    </row>
    <row r="137" spans="2:38" ht="25.05" customHeight="1">
      <c r="B137" s="13"/>
      <c r="C137" s="29"/>
      <c r="D137" s="30"/>
      <c r="E137" s="19" t="s">
        <v>538</v>
      </c>
      <c r="F137" s="8" t="s">
        <v>42</v>
      </c>
      <c r="G137" s="9">
        <v>0.6479166666666667</v>
      </c>
      <c r="H137" s="9">
        <v>0.65347222222222223</v>
      </c>
      <c r="I137" s="10">
        <f t="shared" si="9"/>
        <v>5.5555555555555358E-3</v>
      </c>
      <c r="J137" s="11">
        <v>8</v>
      </c>
      <c r="K137" s="11">
        <v>123.89</v>
      </c>
      <c r="L137" s="16">
        <f t="shared" si="10"/>
        <v>116.14687500000042</v>
      </c>
      <c r="M137" s="11"/>
      <c r="N137" s="11"/>
      <c r="O137" s="11"/>
      <c r="P137" s="11"/>
      <c r="Q137" s="11"/>
      <c r="R137" s="12"/>
      <c r="S137" s="12"/>
      <c r="T137" s="11"/>
      <c r="U137" s="11"/>
      <c r="V137" s="12">
        <v>4</v>
      </c>
      <c r="W137" s="12"/>
      <c r="X137" s="11"/>
      <c r="Y137" s="11"/>
      <c r="Z137" s="11"/>
      <c r="AA137" s="11"/>
      <c r="AB137" s="11">
        <v>8</v>
      </c>
      <c r="AC137" s="11"/>
      <c r="AD137" s="11"/>
      <c r="AE137" s="11"/>
      <c r="AF137" s="11"/>
      <c r="AG137" s="11"/>
      <c r="AH137" s="11"/>
      <c r="AI137" s="11"/>
      <c r="AJ137" s="11"/>
      <c r="AK137" s="11"/>
      <c r="AL137" s="14"/>
    </row>
    <row r="138" spans="2:38" ht="25.05" customHeight="1">
      <c r="B138" s="13"/>
      <c r="C138" s="29"/>
      <c r="D138" s="30"/>
      <c r="E138" s="19"/>
      <c r="F138" s="8" t="s">
        <v>42</v>
      </c>
      <c r="G138" s="9"/>
      <c r="H138" s="9"/>
      <c r="I138" s="10">
        <f t="shared" si="9"/>
        <v>0</v>
      </c>
      <c r="J138" s="11"/>
      <c r="K138" s="11"/>
      <c r="L138" s="16" t="str">
        <f t="shared" si="10"/>
        <v>0</v>
      </c>
      <c r="M138" s="11"/>
      <c r="N138" s="11"/>
      <c r="O138" s="11"/>
      <c r="P138" s="11"/>
      <c r="Q138" s="11"/>
      <c r="R138" s="12"/>
      <c r="S138" s="12"/>
      <c r="T138" s="11"/>
      <c r="U138" s="11"/>
      <c r="V138" s="12"/>
      <c r="W138" s="12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4"/>
    </row>
    <row r="139" spans="2:38" ht="25.05" customHeight="1">
      <c r="B139" s="13"/>
      <c r="C139" s="29"/>
      <c r="D139" s="30" t="s">
        <v>1254</v>
      </c>
      <c r="E139" s="19" t="s">
        <v>1255</v>
      </c>
      <c r="F139" s="8" t="s">
        <v>42</v>
      </c>
      <c r="G139" s="9">
        <v>0.35416666666666669</v>
      </c>
      <c r="H139" s="9">
        <v>0.38611111111111113</v>
      </c>
      <c r="I139" s="10">
        <f t="shared" si="9"/>
        <v>3.1944444444444442E-2</v>
      </c>
      <c r="J139" s="11">
        <v>5</v>
      </c>
      <c r="K139" s="11">
        <v>68.510000000000005</v>
      </c>
      <c r="L139" s="16">
        <f t="shared" si="10"/>
        <v>17.872173913043479</v>
      </c>
      <c r="M139" s="11"/>
      <c r="N139" s="11"/>
      <c r="O139" s="11"/>
      <c r="P139" s="11"/>
      <c r="Q139" s="11"/>
      <c r="R139" s="12"/>
      <c r="S139" s="12"/>
      <c r="T139" s="11"/>
      <c r="U139" s="11"/>
      <c r="V139" s="12"/>
      <c r="W139" s="12">
        <v>2</v>
      </c>
      <c r="X139" s="11"/>
      <c r="Y139" s="11"/>
      <c r="Z139" s="11"/>
      <c r="AA139" s="11"/>
      <c r="AB139" s="11"/>
      <c r="AC139" s="11"/>
      <c r="AD139" s="11"/>
      <c r="AE139" s="11"/>
      <c r="AF139" s="11"/>
      <c r="AG139" s="11">
        <v>11.5</v>
      </c>
      <c r="AH139" s="11">
        <v>11.5</v>
      </c>
      <c r="AI139" s="11">
        <v>11.5</v>
      </c>
      <c r="AJ139" s="11">
        <v>11.5</v>
      </c>
      <c r="AK139" s="11"/>
      <c r="AL139" s="14"/>
    </row>
    <row r="140" spans="2:38" ht="25.05" customHeight="1">
      <c r="B140" s="13"/>
      <c r="C140" s="29"/>
      <c r="D140" s="30"/>
      <c r="E140" s="19" t="s">
        <v>1256</v>
      </c>
      <c r="F140" s="8" t="s">
        <v>42</v>
      </c>
      <c r="G140" s="9">
        <v>0.39513888888888887</v>
      </c>
      <c r="H140" s="9">
        <v>0.42222222222222222</v>
      </c>
      <c r="I140" s="10">
        <f t="shared" si="9"/>
        <v>2.7083333333333348E-2</v>
      </c>
      <c r="J140" s="11">
        <v>5</v>
      </c>
      <c r="K140" s="11">
        <v>67.7</v>
      </c>
      <c r="L140" s="16">
        <f t="shared" si="10"/>
        <v>20.830769230769221</v>
      </c>
      <c r="M140" s="11"/>
      <c r="N140" s="11"/>
      <c r="O140" s="11"/>
      <c r="P140" s="11"/>
      <c r="Q140" s="11"/>
      <c r="R140" s="12"/>
      <c r="S140" s="12"/>
      <c r="T140" s="11"/>
      <c r="U140" s="11"/>
      <c r="V140" s="12"/>
      <c r="W140" s="12">
        <v>2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>
        <v>9.75</v>
      </c>
      <c r="AH140" s="11">
        <v>9.75</v>
      </c>
      <c r="AI140" s="11">
        <v>9.75</v>
      </c>
      <c r="AJ140" s="11">
        <v>9.75</v>
      </c>
      <c r="AK140" s="11"/>
      <c r="AL140" s="14"/>
    </row>
    <row r="141" spans="2:38" ht="25.05" customHeight="1">
      <c r="B141" s="13"/>
      <c r="C141" s="29"/>
      <c r="D141" s="30"/>
      <c r="E141" s="19"/>
      <c r="F141" s="8" t="s">
        <v>42</v>
      </c>
      <c r="G141" s="9"/>
      <c r="H141" s="9"/>
      <c r="I141" s="10">
        <f t="shared" si="9"/>
        <v>0</v>
      </c>
      <c r="J141" s="11"/>
      <c r="K141" s="11"/>
      <c r="L141" s="16" t="str">
        <f t="shared" si="10"/>
        <v>0</v>
      </c>
      <c r="M141" s="11"/>
      <c r="N141" s="11"/>
      <c r="O141" s="11"/>
      <c r="P141" s="11"/>
      <c r="Q141" s="11"/>
      <c r="R141" s="12"/>
      <c r="S141" s="12"/>
      <c r="T141" s="11"/>
      <c r="U141" s="11"/>
      <c r="V141" s="12"/>
      <c r="W141" s="12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4"/>
    </row>
    <row r="142" spans="2:38" ht="25.05" customHeight="1">
      <c r="B142" s="13"/>
      <c r="C142" s="29"/>
      <c r="D142" s="30" t="s">
        <v>1013</v>
      </c>
      <c r="E142" s="19" t="s">
        <v>1090</v>
      </c>
      <c r="F142" s="8" t="s">
        <v>42</v>
      </c>
      <c r="G142" s="9">
        <v>0.48958333333333331</v>
      </c>
      <c r="H142" s="9">
        <v>0.49652777777777779</v>
      </c>
      <c r="I142" s="10">
        <f t="shared" si="9"/>
        <v>6.9444444444444753E-3</v>
      </c>
      <c r="J142" s="11">
        <v>1</v>
      </c>
      <c r="K142" s="11">
        <f>0.09*520</f>
        <v>46.8</v>
      </c>
      <c r="L142" s="16">
        <f t="shared" si="10"/>
        <v>280.79999999999876</v>
      </c>
      <c r="M142" s="11"/>
      <c r="N142" s="11"/>
      <c r="O142" s="11"/>
      <c r="P142" s="11"/>
      <c r="Q142" s="11"/>
      <c r="R142" s="12"/>
      <c r="S142" s="12"/>
      <c r="T142" s="11"/>
      <c r="U142" s="11"/>
      <c r="V142" s="12">
        <v>10</v>
      </c>
      <c r="W142" s="12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4"/>
    </row>
    <row r="143" spans="2:38" ht="25.05" customHeight="1">
      <c r="B143" s="13"/>
      <c r="C143" s="29"/>
      <c r="D143" s="30"/>
      <c r="E143" s="19" t="s">
        <v>1091</v>
      </c>
      <c r="F143" s="8" t="s">
        <v>42</v>
      </c>
      <c r="G143" s="9">
        <v>0.5</v>
      </c>
      <c r="H143" s="9">
        <v>0.50694444444444442</v>
      </c>
      <c r="I143" s="10">
        <f t="shared" si="9"/>
        <v>6.9444444444444198E-3</v>
      </c>
      <c r="J143" s="11">
        <v>1</v>
      </c>
      <c r="K143" s="11">
        <f t="shared" ref="K143:K166" si="11">0.09*520</f>
        <v>46.8</v>
      </c>
      <c r="L143" s="16">
        <f t="shared" si="10"/>
        <v>280.80000000000098</v>
      </c>
      <c r="M143" s="11"/>
      <c r="N143" s="11"/>
      <c r="O143" s="11"/>
      <c r="P143" s="11"/>
      <c r="Q143" s="11"/>
      <c r="R143" s="12"/>
      <c r="S143" s="12"/>
      <c r="T143" s="11"/>
      <c r="U143" s="11"/>
      <c r="V143" s="12">
        <v>10</v>
      </c>
      <c r="W143" s="12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4"/>
    </row>
    <row r="144" spans="2:38" ht="25.05" customHeight="1">
      <c r="B144" s="13"/>
      <c r="C144" s="29"/>
      <c r="D144" s="30"/>
      <c r="E144" s="19" t="s">
        <v>1092</v>
      </c>
      <c r="F144" s="8" t="s">
        <v>42</v>
      </c>
      <c r="G144" s="9">
        <v>0.51388888888888884</v>
      </c>
      <c r="H144" s="9">
        <v>0.52083333333333337</v>
      </c>
      <c r="I144" s="10">
        <f t="shared" si="9"/>
        <v>6.9444444444445308E-3</v>
      </c>
      <c r="J144" s="11">
        <v>1</v>
      </c>
      <c r="K144" s="11">
        <f t="shared" si="11"/>
        <v>46.8</v>
      </c>
      <c r="L144" s="16">
        <f t="shared" si="10"/>
        <v>280.79999999999649</v>
      </c>
      <c r="M144" s="11"/>
      <c r="N144" s="11"/>
      <c r="O144" s="11"/>
      <c r="P144" s="11"/>
      <c r="Q144" s="11"/>
      <c r="R144" s="12"/>
      <c r="S144" s="12"/>
      <c r="T144" s="11"/>
      <c r="U144" s="11"/>
      <c r="V144" s="12">
        <v>10</v>
      </c>
      <c r="W144" s="12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4"/>
    </row>
    <row r="145" spans="2:38" ht="25.05" customHeight="1">
      <c r="B145" s="13"/>
      <c r="C145" s="29"/>
      <c r="D145" s="30"/>
      <c r="E145" s="19" t="s">
        <v>1093</v>
      </c>
      <c r="F145" s="8" t="s">
        <v>42</v>
      </c>
      <c r="G145" s="9">
        <v>0.66111111111111109</v>
      </c>
      <c r="H145" s="9">
        <v>0.66805555555555551</v>
      </c>
      <c r="I145" s="10">
        <f t="shared" si="9"/>
        <v>6.9444444444444198E-3</v>
      </c>
      <c r="J145" s="11">
        <v>1</v>
      </c>
      <c r="K145" s="11">
        <f t="shared" si="11"/>
        <v>46.8</v>
      </c>
      <c r="L145" s="16">
        <f t="shared" si="10"/>
        <v>280.80000000000098</v>
      </c>
      <c r="M145" s="11"/>
      <c r="N145" s="11"/>
      <c r="O145" s="11"/>
      <c r="P145" s="11"/>
      <c r="Q145" s="11"/>
      <c r="R145" s="12"/>
      <c r="S145" s="12"/>
      <c r="T145" s="11"/>
      <c r="U145" s="11"/>
      <c r="V145" s="12"/>
      <c r="W145" s="12">
        <v>10</v>
      </c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4"/>
    </row>
    <row r="146" spans="2:38" ht="25.05" customHeight="1">
      <c r="B146" s="13"/>
      <c r="C146" s="29"/>
      <c r="D146" s="30"/>
      <c r="E146" s="19" t="s">
        <v>1094</v>
      </c>
      <c r="F146" s="8" t="s">
        <v>42</v>
      </c>
      <c r="G146" s="9">
        <v>0.66666666666666663</v>
      </c>
      <c r="H146" s="9">
        <v>0.67361111111111116</v>
      </c>
      <c r="I146" s="10">
        <f t="shared" si="9"/>
        <v>6.9444444444445308E-3</v>
      </c>
      <c r="J146" s="11">
        <v>1</v>
      </c>
      <c r="K146" s="11">
        <f t="shared" si="11"/>
        <v>46.8</v>
      </c>
      <c r="L146" s="16">
        <f t="shared" si="10"/>
        <v>280.79999999999649</v>
      </c>
      <c r="M146" s="11"/>
      <c r="N146" s="11"/>
      <c r="O146" s="11"/>
      <c r="P146" s="11"/>
      <c r="Q146" s="11"/>
      <c r="R146" s="12"/>
      <c r="S146" s="12"/>
      <c r="T146" s="11"/>
      <c r="U146" s="11"/>
      <c r="V146" s="12">
        <v>10</v>
      </c>
      <c r="W146" s="12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4"/>
    </row>
    <row r="147" spans="2:38" ht="25.05" customHeight="1">
      <c r="B147" s="13"/>
      <c r="C147" s="29"/>
      <c r="D147" s="30"/>
      <c r="E147" s="19" t="s">
        <v>1095</v>
      </c>
      <c r="F147" s="8" t="s">
        <v>42</v>
      </c>
      <c r="G147" s="9">
        <v>0.67361111111111116</v>
      </c>
      <c r="H147" s="9">
        <v>0.68055555555555558</v>
      </c>
      <c r="I147" s="10">
        <f t="shared" si="9"/>
        <v>6.9444444444444198E-3</v>
      </c>
      <c r="J147" s="11">
        <v>1</v>
      </c>
      <c r="K147" s="11">
        <f t="shared" si="11"/>
        <v>46.8</v>
      </c>
      <c r="L147" s="16">
        <f t="shared" si="10"/>
        <v>280.80000000000098</v>
      </c>
      <c r="M147" s="11"/>
      <c r="N147" s="11"/>
      <c r="O147" s="11"/>
      <c r="P147" s="11"/>
      <c r="Q147" s="11"/>
      <c r="R147" s="12"/>
      <c r="S147" s="12"/>
      <c r="T147" s="11"/>
      <c r="U147" s="11"/>
      <c r="V147" s="12">
        <v>10</v>
      </c>
      <c r="W147" s="12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4"/>
    </row>
    <row r="148" spans="2:38" ht="25.05" customHeight="1">
      <c r="B148" s="13"/>
      <c r="C148" s="29"/>
      <c r="D148" s="30"/>
      <c r="E148" s="19" t="s">
        <v>1096</v>
      </c>
      <c r="F148" s="8" t="s">
        <v>42</v>
      </c>
      <c r="G148" s="9">
        <v>0.67986111111111114</v>
      </c>
      <c r="H148" s="9">
        <v>0.68680555555555556</v>
      </c>
      <c r="I148" s="10">
        <f t="shared" si="9"/>
        <v>6.9444444444444198E-3</v>
      </c>
      <c r="J148" s="11">
        <v>1</v>
      </c>
      <c r="K148" s="11">
        <f t="shared" si="11"/>
        <v>46.8</v>
      </c>
      <c r="L148" s="16">
        <f t="shared" si="10"/>
        <v>280.80000000000098</v>
      </c>
      <c r="M148" s="11"/>
      <c r="N148" s="11"/>
      <c r="O148" s="11"/>
      <c r="P148" s="11"/>
      <c r="Q148" s="11"/>
      <c r="R148" s="12"/>
      <c r="S148" s="12"/>
      <c r="T148" s="11"/>
      <c r="U148" s="11"/>
      <c r="V148" s="12"/>
      <c r="W148" s="12">
        <v>10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4"/>
    </row>
    <row r="149" spans="2:38" ht="25.05" customHeight="1">
      <c r="B149" s="13"/>
      <c r="C149" s="29"/>
      <c r="D149" s="30"/>
      <c r="E149" s="19" t="s">
        <v>1097</v>
      </c>
      <c r="F149" s="8" t="s">
        <v>42</v>
      </c>
      <c r="G149" s="9">
        <v>0.68194444444444446</v>
      </c>
      <c r="H149" s="9">
        <v>0.68888888888888888</v>
      </c>
      <c r="I149" s="10">
        <f t="shared" si="9"/>
        <v>6.9444444444444198E-3</v>
      </c>
      <c r="J149" s="11">
        <v>1</v>
      </c>
      <c r="K149" s="11">
        <f t="shared" si="11"/>
        <v>46.8</v>
      </c>
      <c r="L149" s="16">
        <f t="shared" si="10"/>
        <v>280.80000000000098</v>
      </c>
      <c r="M149" s="11"/>
      <c r="N149" s="11"/>
      <c r="O149" s="11"/>
      <c r="P149" s="11"/>
      <c r="Q149" s="11"/>
      <c r="R149" s="12"/>
      <c r="S149" s="12"/>
      <c r="T149" s="11"/>
      <c r="U149" s="11"/>
      <c r="V149" s="12">
        <v>10</v>
      </c>
      <c r="W149" s="12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4"/>
    </row>
    <row r="150" spans="2:38" ht="25.05" customHeight="1">
      <c r="B150" s="13"/>
      <c r="C150" s="29"/>
      <c r="D150" s="30"/>
      <c r="E150" s="19" t="s">
        <v>1098</v>
      </c>
      <c r="F150" s="8" t="s">
        <v>42</v>
      </c>
      <c r="G150" s="9">
        <v>0.69166666666666665</v>
      </c>
      <c r="H150" s="9">
        <v>0.69861111111111107</v>
      </c>
      <c r="I150" s="10">
        <f t="shared" si="9"/>
        <v>6.9444444444444198E-3</v>
      </c>
      <c r="J150" s="11">
        <v>1</v>
      </c>
      <c r="K150" s="11">
        <f t="shared" si="11"/>
        <v>46.8</v>
      </c>
      <c r="L150" s="16">
        <f t="shared" si="10"/>
        <v>280.80000000000098</v>
      </c>
      <c r="M150" s="11"/>
      <c r="N150" s="11"/>
      <c r="O150" s="11"/>
      <c r="P150" s="11"/>
      <c r="Q150" s="11"/>
      <c r="R150" s="12"/>
      <c r="S150" s="12"/>
      <c r="T150" s="11"/>
      <c r="U150" s="11"/>
      <c r="V150" s="12"/>
      <c r="W150" s="12">
        <v>10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4"/>
    </row>
    <row r="151" spans="2:38" ht="25.05" customHeight="1">
      <c r="B151" s="13"/>
      <c r="C151" s="29"/>
      <c r="D151" s="30"/>
      <c r="E151" s="19" t="s">
        <v>1099</v>
      </c>
      <c r="F151" s="8" t="s">
        <v>42</v>
      </c>
      <c r="G151" s="9">
        <v>0.69166666666666665</v>
      </c>
      <c r="H151" s="9">
        <v>0.69861111111111107</v>
      </c>
      <c r="I151" s="10">
        <f t="shared" si="9"/>
        <v>6.9444444444444198E-3</v>
      </c>
      <c r="J151" s="11">
        <v>1</v>
      </c>
      <c r="K151" s="11">
        <f t="shared" si="11"/>
        <v>46.8</v>
      </c>
      <c r="L151" s="16">
        <f t="shared" si="10"/>
        <v>280.80000000000098</v>
      </c>
      <c r="M151" s="11"/>
      <c r="N151" s="11"/>
      <c r="O151" s="11"/>
      <c r="P151" s="11"/>
      <c r="Q151" s="11"/>
      <c r="R151" s="12"/>
      <c r="S151" s="12"/>
      <c r="T151" s="11"/>
      <c r="U151" s="11"/>
      <c r="V151" s="12">
        <v>10</v>
      </c>
      <c r="W151" s="12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4"/>
    </row>
    <row r="152" spans="2:38" ht="25.05" customHeight="1">
      <c r="B152" s="13"/>
      <c r="C152" s="29"/>
      <c r="D152" s="30"/>
      <c r="E152" s="19" t="s">
        <v>1100</v>
      </c>
      <c r="F152" s="8" t="s">
        <v>42</v>
      </c>
      <c r="G152" s="9">
        <v>0.70138888888888884</v>
      </c>
      <c r="H152" s="9">
        <v>0.70833333333333337</v>
      </c>
      <c r="I152" s="10">
        <f t="shared" si="9"/>
        <v>6.9444444444445308E-3</v>
      </c>
      <c r="J152" s="11">
        <v>1</v>
      </c>
      <c r="K152" s="11">
        <f t="shared" si="11"/>
        <v>46.8</v>
      </c>
      <c r="L152" s="16">
        <f t="shared" si="10"/>
        <v>280.79999999999649</v>
      </c>
      <c r="M152" s="11"/>
      <c r="N152" s="11"/>
      <c r="O152" s="11"/>
      <c r="P152" s="11"/>
      <c r="Q152" s="11"/>
      <c r="R152" s="12"/>
      <c r="S152" s="12"/>
      <c r="T152" s="11"/>
      <c r="U152" s="11"/>
      <c r="V152" s="12"/>
      <c r="W152" s="12">
        <v>10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4"/>
    </row>
    <row r="153" spans="2:38" ht="25.05" customHeight="1">
      <c r="B153" s="13"/>
      <c r="C153" s="29"/>
      <c r="D153" s="30"/>
      <c r="E153" s="19" t="s">
        <v>1101</v>
      </c>
      <c r="F153" s="8" t="s">
        <v>42</v>
      </c>
      <c r="G153" s="9">
        <v>0.70208333333333328</v>
      </c>
      <c r="H153" s="9">
        <v>0.70902777777777781</v>
      </c>
      <c r="I153" s="10">
        <f t="shared" si="9"/>
        <v>6.9444444444445308E-3</v>
      </c>
      <c r="J153" s="11">
        <v>1</v>
      </c>
      <c r="K153" s="11">
        <f t="shared" si="11"/>
        <v>46.8</v>
      </c>
      <c r="L153" s="16">
        <f t="shared" si="10"/>
        <v>280.79999999999649</v>
      </c>
      <c r="M153" s="11"/>
      <c r="N153" s="11"/>
      <c r="O153" s="11"/>
      <c r="P153" s="11"/>
      <c r="Q153" s="11"/>
      <c r="R153" s="12"/>
      <c r="S153" s="12"/>
      <c r="T153" s="11"/>
      <c r="U153" s="11"/>
      <c r="V153" s="12">
        <v>10</v>
      </c>
      <c r="W153" s="12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4"/>
    </row>
    <row r="154" spans="2:38" ht="25.05" customHeight="1">
      <c r="B154" s="13"/>
      <c r="C154" s="29"/>
      <c r="D154" s="6"/>
      <c r="E154" s="19" t="s">
        <v>1102</v>
      </c>
      <c r="F154" s="8" t="s">
        <v>42</v>
      </c>
      <c r="G154" s="9">
        <v>0.7104166666666667</v>
      </c>
      <c r="H154" s="9">
        <v>0.71736111111111112</v>
      </c>
      <c r="I154" s="10">
        <f t="shared" si="9"/>
        <v>6.9444444444444198E-3</v>
      </c>
      <c r="J154" s="11">
        <v>1</v>
      </c>
      <c r="K154" s="11">
        <f t="shared" si="11"/>
        <v>46.8</v>
      </c>
      <c r="L154" s="16">
        <f t="shared" si="10"/>
        <v>280.80000000000098</v>
      </c>
      <c r="M154" s="11"/>
      <c r="N154" s="11"/>
      <c r="O154" s="11"/>
      <c r="P154" s="11"/>
      <c r="Q154" s="11"/>
      <c r="R154" s="12"/>
      <c r="S154" s="12"/>
      <c r="T154" s="11"/>
      <c r="U154" s="11"/>
      <c r="V154" s="12">
        <v>10</v>
      </c>
      <c r="W154" s="12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4"/>
    </row>
    <row r="155" spans="2:38" ht="25.05" customHeight="1">
      <c r="B155" s="13"/>
      <c r="C155" s="29"/>
      <c r="D155" s="127"/>
      <c r="E155" s="19" t="s">
        <v>1103</v>
      </c>
      <c r="F155" s="8" t="s">
        <v>42</v>
      </c>
      <c r="G155" s="9">
        <v>0.7104166666666667</v>
      </c>
      <c r="H155" s="9">
        <v>0.71736111111111112</v>
      </c>
      <c r="I155" s="10">
        <f t="shared" si="9"/>
        <v>6.9444444444444198E-3</v>
      </c>
      <c r="J155" s="11">
        <v>1</v>
      </c>
      <c r="K155" s="11">
        <f t="shared" si="11"/>
        <v>46.8</v>
      </c>
      <c r="L155" s="16">
        <f t="shared" si="10"/>
        <v>280.80000000000098</v>
      </c>
      <c r="M155" s="11"/>
      <c r="N155" s="11"/>
      <c r="O155" s="11"/>
      <c r="P155" s="11"/>
      <c r="Q155" s="11"/>
      <c r="R155" s="12"/>
      <c r="S155" s="12"/>
      <c r="T155" s="11"/>
      <c r="U155" s="11"/>
      <c r="V155" s="12"/>
      <c r="W155" s="12">
        <v>10</v>
      </c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4"/>
    </row>
    <row r="156" spans="2:38" ht="25.05" customHeight="1">
      <c r="B156" s="13"/>
      <c r="C156" s="29"/>
      <c r="D156" s="30"/>
      <c r="E156" s="19" t="s">
        <v>1104</v>
      </c>
      <c r="F156" s="8" t="s">
        <v>42</v>
      </c>
      <c r="G156" s="9">
        <v>0.72222222222222221</v>
      </c>
      <c r="H156" s="9">
        <v>0.72916666666666663</v>
      </c>
      <c r="I156" s="10">
        <f t="shared" si="9"/>
        <v>6.9444444444444198E-3</v>
      </c>
      <c r="J156" s="11">
        <v>1</v>
      </c>
      <c r="K156" s="11">
        <f t="shared" si="11"/>
        <v>46.8</v>
      </c>
      <c r="L156" s="16">
        <f t="shared" si="10"/>
        <v>280.80000000000098</v>
      </c>
      <c r="M156" s="11"/>
      <c r="N156" s="11"/>
      <c r="O156" s="11"/>
      <c r="P156" s="11"/>
      <c r="Q156" s="11"/>
      <c r="R156" s="12"/>
      <c r="S156" s="12"/>
      <c r="T156" s="11"/>
      <c r="U156" s="11"/>
      <c r="V156" s="12">
        <v>10</v>
      </c>
      <c r="W156" s="12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4"/>
    </row>
    <row r="157" spans="2:38" ht="25.05" customHeight="1">
      <c r="B157" s="13"/>
      <c r="C157" s="29"/>
      <c r="D157" s="30"/>
      <c r="E157" s="19" t="s">
        <v>1257</v>
      </c>
      <c r="F157" s="8" t="s">
        <v>42</v>
      </c>
      <c r="G157" s="9">
        <v>0.72430555555555554</v>
      </c>
      <c r="H157" s="9">
        <v>0.73124999999999996</v>
      </c>
      <c r="I157" s="10">
        <f t="shared" si="9"/>
        <v>6.9444444444444198E-3</v>
      </c>
      <c r="J157" s="11">
        <v>1</v>
      </c>
      <c r="K157" s="11">
        <f t="shared" si="11"/>
        <v>46.8</v>
      </c>
      <c r="L157" s="16">
        <f t="shared" si="10"/>
        <v>280.80000000000098</v>
      </c>
      <c r="M157" s="11"/>
      <c r="N157" s="11"/>
      <c r="O157" s="11"/>
      <c r="P157" s="11"/>
      <c r="Q157" s="11"/>
      <c r="R157" s="12"/>
      <c r="S157" s="12"/>
      <c r="T157" s="11"/>
      <c r="U157" s="11"/>
      <c r="V157" s="12"/>
      <c r="W157" s="12">
        <v>10</v>
      </c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4"/>
    </row>
    <row r="158" spans="2:38" ht="25.05" customHeight="1">
      <c r="B158" s="13"/>
      <c r="C158" s="29"/>
      <c r="D158" s="30"/>
      <c r="E158" s="19" t="s">
        <v>1258</v>
      </c>
      <c r="F158" s="8" t="s">
        <v>42</v>
      </c>
      <c r="G158" s="9">
        <v>0.72916666666666663</v>
      </c>
      <c r="H158" s="9">
        <v>0.73611111111111116</v>
      </c>
      <c r="I158" s="10">
        <f t="shared" si="9"/>
        <v>6.9444444444445308E-3</v>
      </c>
      <c r="J158" s="11">
        <v>1</v>
      </c>
      <c r="K158" s="11">
        <f t="shared" si="11"/>
        <v>46.8</v>
      </c>
      <c r="L158" s="16">
        <f t="shared" si="10"/>
        <v>280.79999999999649</v>
      </c>
      <c r="M158" s="11"/>
      <c r="N158" s="11"/>
      <c r="O158" s="11"/>
      <c r="P158" s="11"/>
      <c r="Q158" s="11"/>
      <c r="R158" s="12"/>
      <c r="S158" s="12"/>
      <c r="T158" s="11"/>
      <c r="U158" s="11"/>
      <c r="V158" s="12">
        <v>10</v>
      </c>
      <c r="W158" s="12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4"/>
    </row>
    <row r="159" spans="2:38" ht="25.05" customHeight="1">
      <c r="B159" s="13"/>
      <c r="C159" s="29"/>
      <c r="D159" s="30"/>
      <c r="E159" s="19" t="s">
        <v>1259</v>
      </c>
      <c r="F159" s="8" t="s">
        <v>42</v>
      </c>
      <c r="G159" s="9">
        <v>0.73472222222222228</v>
      </c>
      <c r="H159" s="9">
        <v>0.7416666666666667</v>
      </c>
      <c r="I159" s="10">
        <f t="shared" si="9"/>
        <v>6.9444444444444198E-3</v>
      </c>
      <c r="J159" s="11">
        <v>1</v>
      </c>
      <c r="K159" s="11">
        <f t="shared" si="11"/>
        <v>46.8</v>
      </c>
      <c r="L159" s="16">
        <f t="shared" si="10"/>
        <v>280.80000000000098</v>
      </c>
      <c r="M159" s="11"/>
      <c r="N159" s="11"/>
      <c r="O159" s="11"/>
      <c r="P159" s="11"/>
      <c r="Q159" s="11"/>
      <c r="R159" s="12"/>
      <c r="S159" s="12"/>
      <c r="T159" s="11"/>
      <c r="U159" s="11"/>
      <c r="V159" s="12"/>
      <c r="W159" s="12">
        <v>10</v>
      </c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4"/>
    </row>
    <row r="160" spans="2:38" ht="25.05" customHeight="1">
      <c r="B160" s="13"/>
      <c r="C160" s="29"/>
      <c r="D160" s="30"/>
      <c r="E160" s="19" t="s">
        <v>1260</v>
      </c>
      <c r="F160" s="8" t="s">
        <v>42</v>
      </c>
      <c r="G160" s="9">
        <v>0.73958333333333337</v>
      </c>
      <c r="H160" s="9">
        <v>0.74652777777777779</v>
      </c>
      <c r="I160" s="10">
        <f t="shared" si="9"/>
        <v>6.9444444444444198E-3</v>
      </c>
      <c r="J160" s="11">
        <v>1</v>
      </c>
      <c r="K160" s="11">
        <f t="shared" si="11"/>
        <v>46.8</v>
      </c>
      <c r="L160" s="16">
        <f t="shared" si="10"/>
        <v>280.80000000000098</v>
      </c>
      <c r="M160" s="11"/>
      <c r="N160" s="11"/>
      <c r="O160" s="11"/>
      <c r="P160" s="11"/>
      <c r="Q160" s="11"/>
      <c r="R160" s="12"/>
      <c r="S160" s="12"/>
      <c r="T160" s="11"/>
      <c r="U160" s="11"/>
      <c r="V160" s="12">
        <v>10</v>
      </c>
      <c r="W160" s="12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4"/>
    </row>
    <row r="161" spans="1:38" ht="25.05" customHeight="1">
      <c r="B161" s="13"/>
      <c r="C161" s="29"/>
      <c r="D161" s="30"/>
      <c r="E161" s="19" t="s">
        <v>1261</v>
      </c>
      <c r="F161" s="8" t="s">
        <v>42</v>
      </c>
      <c r="G161" s="9">
        <v>0.74236111111111114</v>
      </c>
      <c r="H161" s="9">
        <v>0.74930555555555556</v>
      </c>
      <c r="I161" s="10">
        <f t="shared" si="9"/>
        <v>6.9444444444444198E-3</v>
      </c>
      <c r="J161" s="11">
        <v>1</v>
      </c>
      <c r="K161" s="11">
        <f t="shared" si="11"/>
        <v>46.8</v>
      </c>
      <c r="L161" s="16">
        <f t="shared" si="10"/>
        <v>280.80000000000098</v>
      </c>
      <c r="M161" s="11"/>
      <c r="N161" s="11"/>
      <c r="O161" s="11"/>
      <c r="P161" s="11"/>
      <c r="Q161" s="11"/>
      <c r="R161" s="12"/>
      <c r="S161" s="12"/>
      <c r="T161" s="11"/>
      <c r="U161" s="11"/>
      <c r="V161" s="12"/>
      <c r="W161" s="12">
        <v>10</v>
      </c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4"/>
    </row>
    <row r="162" spans="1:38" ht="25.05" customHeight="1">
      <c r="B162" s="13"/>
      <c r="C162" s="29"/>
      <c r="D162" s="30"/>
      <c r="E162" s="19" t="s">
        <v>1262</v>
      </c>
      <c r="F162" s="8" t="s">
        <v>42</v>
      </c>
      <c r="G162" s="9">
        <v>0.74861111111111112</v>
      </c>
      <c r="H162" s="9">
        <v>0.75555555555555554</v>
      </c>
      <c r="I162" s="10">
        <f t="shared" si="9"/>
        <v>6.9444444444444198E-3</v>
      </c>
      <c r="J162" s="11">
        <v>1</v>
      </c>
      <c r="K162" s="11">
        <f t="shared" si="11"/>
        <v>46.8</v>
      </c>
      <c r="L162" s="16">
        <f t="shared" si="10"/>
        <v>280.80000000000098</v>
      </c>
      <c r="M162" s="11"/>
      <c r="N162" s="11"/>
      <c r="O162" s="11"/>
      <c r="P162" s="11"/>
      <c r="Q162" s="11"/>
      <c r="R162" s="12"/>
      <c r="S162" s="12"/>
      <c r="T162" s="11"/>
      <c r="U162" s="11"/>
      <c r="V162" s="12">
        <v>10</v>
      </c>
      <c r="W162" s="12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4"/>
    </row>
    <row r="163" spans="1:38" ht="25.05" customHeight="1">
      <c r="B163" s="13"/>
      <c r="C163" s="29"/>
      <c r="D163" s="30"/>
      <c r="E163" s="19" t="s">
        <v>1263</v>
      </c>
      <c r="F163" s="8" t="s">
        <v>42</v>
      </c>
      <c r="G163" s="9">
        <v>0.75555555555555554</v>
      </c>
      <c r="H163" s="9">
        <v>0.76249999999999996</v>
      </c>
      <c r="I163" s="10">
        <f t="shared" si="9"/>
        <v>6.9444444444444198E-3</v>
      </c>
      <c r="J163" s="11">
        <v>1</v>
      </c>
      <c r="K163" s="11">
        <f t="shared" si="11"/>
        <v>46.8</v>
      </c>
      <c r="L163" s="16">
        <f t="shared" si="10"/>
        <v>280.80000000000098</v>
      </c>
      <c r="M163" s="11"/>
      <c r="N163" s="11"/>
      <c r="O163" s="11"/>
      <c r="P163" s="11"/>
      <c r="Q163" s="11"/>
      <c r="R163" s="12"/>
      <c r="S163" s="12"/>
      <c r="T163" s="11"/>
      <c r="U163" s="11"/>
      <c r="V163" s="12"/>
      <c r="W163" s="12">
        <v>10</v>
      </c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4"/>
    </row>
    <row r="164" spans="1:38" ht="25.05" customHeight="1">
      <c r="B164" s="13"/>
      <c r="C164" s="29"/>
      <c r="D164" s="30"/>
      <c r="E164" s="19" t="s">
        <v>1264</v>
      </c>
      <c r="F164" s="8" t="s">
        <v>42</v>
      </c>
      <c r="G164" s="9">
        <v>0.75972222222222219</v>
      </c>
      <c r="H164" s="9">
        <v>0.76666666666666672</v>
      </c>
      <c r="I164" s="10">
        <f t="shared" si="9"/>
        <v>6.9444444444445308E-3</v>
      </c>
      <c r="J164" s="11">
        <v>1</v>
      </c>
      <c r="K164" s="11">
        <f t="shared" si="11"/>
        <v>46.8</v>
      </c>
      <c r="L164" s="16">
        <f t="shared" si="10"/>
        <v>280.79999999999649</v>
      </c>
      <c r="M164" s="11"/>
      <c r="N164" s="11"/>
      <c r="O164" s="11"/>
      <c r="P164" s="11"/>
      <c r="Q164" s="11"/>
      <c r="R164" s="12"/>
      <c r="S164" s="12"/>
      <c r="T164" s="11"/>
      <c r="U164" s="11"/>
      <c r="V164" s="12">
        <v>10</v>
      </c>
      <c r="W164" s="12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4"/>
    </row>
    <row r="165" spans="1:38" ht="25.05" customHeight="1">
      <c r="B165" s="13"/>
      <c r="C165" s="29"/>
      <c r="D165" s="30"/>
      <c r="E165" s="19" t="s">
        <v>1265</v>
      </c>
      <c r="F165" s="8" t="s">
        <v>42</v>
      </c>
      <c r="G165" s="9">
        <v>0.76527777777777772</v>
      </c>
      <c r="H165" s="9">
        <v>0.77222222222222225</v>
      </c>
      <c r="I165" s="10">
        <f t="shared" si="9"/>
        <v>6.9444444444445308E-3</v>
      </c>
      <c r="J165" s="11">
        <v>1</v>
      </c>
      <c r="K165" s="11">
        <f t="shared" si="11"/>
        <v>46.8</v>
      </c>
      <c r="L165" s="16">
        <f t="shared" si="10"/>
        <v>280.79999999999649</v>
      </c>
      <c r="M165" s="11"/>
      <c r="N165" s="11"/>
      <c r="O165" s="11"/>
      <c r="P165" s="11"/>
      <c r="Q165" s="11"/>
      <c r="R165" s="12"/>
      <c r="S165" s="12"/>
      <c r="T165" s="11"/>
      <c r="U165" s="11"/>
      <c r="V165" s="12"/>
      <c r="W165" s="12">
        <v>10</v>
      </c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4"/>
    </row>
    <row r="166" spans="1:38" ht="25.05" customHeight="1">
      <c r="B166" s="13"/>
      <c r="C166" s="29"/>
      <c r="D166" s="30"/>
      <c r="E166" s="19" t="s">
        <v>1266</v>
      </c>
      <c r="F166" s="8" t="s">
        <v>42</v>
      </c>
      <c r="G166" s="9">
        <v>0.77500000000000002</v>
      </c>
      <c r="H166" s="9">
        <v>0.78194444444444444</v>
      </c>
      <c r="I166" s="10">
        <f t="shared" si="9"/>
        <v>6.9444444444444198E-3</v>
      </c>
      <c r="J166" s="11">
        <v>1</v>
      </c>
      <c r="K166" s="11">
        <f t="shared" si="11"/>
        <v>46.8</v>
      </c>
      <c r="L166" s="16">
        <f t="shared" si="10"/>
        <v>280.80000000000098</v>
      </c>
      <c r="M166" s="11"/>
      <c r="N166" s="11"/>
      <c r="O166" s="11"/>
      <c r="P166" s="11"/>
      <c r="Q166" s="11"/>
      <c r="R166" s="12"/>
      <c r="S166" s="12"/>
      <c r="T166" s="11"/>
      <c r="U166" s="11"/>
      <c r="V166" s="12">
        <v>10</v>
      </c>
      <c r="W166" s="12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4"/>
    </row>
    <row r="167" spans="1:38" ht="25.05" customHeight="1">
      <c r="B167" s="13"/>
      <c r="C167" s="29"/>
      <c r="D167" s="30"/>
      <c r="E167" s="19" t="s">
        <v>1267</v>
      </c>
      <c r="F167" s="8" t="s">
        <v>42</v>
      </c>
      <c r="G167" s="9">
        <v>0.77500000000000002</v>
      </c>
      <c r="H167" s="9">
        <v>0.78194444444444444</v>
      </c>
      <c r="I167" s="10">
        <f t="shared" si="9"/>
        <v>6.9444444444444198E-3</v>
      </c>
      <c r="J167" s="11">
        <v>1</v>
      </c>
      <c r="K167" s="11">
        <v>8.5500000000000007</v>
      </c>
      <c r="L167" s="16">
        <f t="shared" si="10"/>
        <v>51.300000000000182</v>
      </c>
      <c r="M167" s="11"/>
      <c r="N167" s="11"/>
      <c r="O167" s="11"/>
      <c r="P167" s="11"/>
      <c r="Q167" s="11"/>
      <c r="R167" s="12"/>
      <c r="S167" s="12"/>
      <c r="T167" s="11"/>
      <c r="U167" s="11"/>
      <c r="V167" s="12"/>
      <c r="W167" s="12">
        <v>10</v>
      </c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4"/>
    </row>
    <row r="168" spans="1:38" s="28" customFormat="1" ht="25.5" customHeight="1" thickBot="1">
      <c r="A168" s="2"/>
      <c r="B168" s="32"/>
      <c r="C168" s="33"/>
      <c r="D168" s="34"/>
      <c r="E168" s="35"/>
      <c r="F168" s="35"/>
      <c r="G168" s="36"/>
      <c r="H168" s="36"/>
      <c r="I168" s="37"/>
      <c r="J168" s="38"/>
      <c r="K168" s="38">
        <f t="shared" ref="K168:AL168" si="12">SUM(K32:K167)</f>
        <v>6306.6200000000063</v>
      </c>
      <c r="L168" s="39">
        <f t="shared" si="12"/>
        <v>91675.291812824187</v>
      </c>
      <c r="M168" s="38">
        <f t="shared" si="12"/>
        <v>0</v>
      </c>
      <c r="N168" s="38">
        <f t="shared" si="12"/>
        <v>0</v>
      </c>
      <c r="O168" s="38">
        <f t="shared" si="12"/>
        <v>0</v>
      </c>
      <c r="P168" s="38">
        <f t="shared" si="12"/>
        <v>0</v>
      </c>
      <c r="Q168" s="38">
        <f t="shared" si="12"/>
        <v>0</v>
      </c>
      <c r="R168" s="38">
        <f t="shared" si="12"/>
        <v>0</v>
      </c>
      <c r="S168" s="38">
        <f t="shared" si="12"/>
        <v>0</v>
      </c>
      <c r="T168" s="38">
        <f t="shared" si="12"/>
        <v>0</v>
      </c>
      <c r="U168" s="38">
        <f t="shared" si="12"/>
        <v>0</v>
      </c>
      <c r="V168" s="38">
        <f t="shared" si="12"/>
        <v>280</v>
      </c>
      <c r="W168" s="38">
        <f t="shared" si="12"/>
        <v>188</v>
      </c>
      <c r="X168" s="38">
        <f t="shared" si="12"/>
        <v>90</v>
      </c>
      <c r="Y168" s="38">
        <f t="shared" si="12"/>
        <v>90</v>
      </c>
      <c r="Z168" s="38">
        <f t="shared" si="12"/>
        <v>90</v>
      </c>
      <c r="AA168" s="38">
        <f t="shared" si="12"/>
        <v>90</v>
      </c>
      <c r="AB168" s="38">
        <f t="shared" si="12"/>
        <v>184</v>
      </c>
      <c r="AC168" s="38">
        <f t="shared" si="12"/>
        <v>214</v>
      </c>
      <c r="AD168" s="38">
        <f t="shared" si="12"/>
        <v>184</v>
      </c>
      <c r="AE168" s="38">
        <f t="shared" si="12"/>
        <v>0</v>
      </c>
      <c r="AF168" s="38">
        <f t="shared" si="12"/>
        <v>0</v>
      </c>
      <c r="AG168" s="38">
        <f t="shared" si="12"/>
        <v>21.25</v>
      </c>
      <c r="AH168" s="38">
        <f t="shared" si="12"/>
        <v>21.25</v>
      </c>
      <c r="AI168" s="38">
        <f t="shared" si="12"/>
        <v>21.25</v>
      </c>
      <c r="AJ168" s="38">
        <f t="shared" si="12"/>
        <v>21.25</v>
      </c>
      <c r="AK168" s="38">
        <f t="shared" si="12"/>
        <v>0</v>
      </c>
      <c r="AL168" s="38">
        <f t="shared" si="12"/>
        <v>0</v>
      </c>
    </row>
    <row r="169" spans="1:38" ht="38.1" customHeight="1" thickBot="1">
      <c r="B169" s="40" t="s">
        <v>45</v>
      </c>
      <c r="C169" s="41"/>
      <c r="D169" s="41"/>
      <c r="E169" s="41"/>
      <c r="F169" s="41"/>
      <c r="G169" s="41"/>
      <c r="H169" s="41"/>
      <c r="I169" s="41"/>
      <c r="J169" s="41"/>
      <c r="K169" s="42">
        <f>K24+K31+K168</f>
        <v>11043.460000000006</v>
      </c>
      <c r="L169" s="42">
        <f>L24+L31+L168</f>
        <v>93060.599224036167</v>
      </c>
      <c r="M169" s="43">
        <f t="shared" ref="M169:AL169" si="13">(M24+M31+M168)/(480-15-30)</f>
        <v>0.18620689655172415</v>
      </c>
      <c r="N169" s="43">
        <f t="shared" si="13"/>
        <v>0</v>
      </c>
      <c r="O169" s="43">
        <f t="shared" si="13"/>
        <v>0</v>
      </c>
      <c r="P169" s="43">
        <f t="shared" si="13"/>
        <v>0.32183908045977011</v>
      </c>
      <c r="Q169" s="43">
        <f t="shared" si="13"/>
        <v>0</v>
      </c>
      <c r="R169" s="43">
        <f t="shared" si="13"/>
        <v>0.13793103448275862</v>
      </c>
      <c r="S169" s="43">
        <f t="shared" si="13"/>
        <v>2</v>
      </c>
      <c r="T169" s="43">
        <f t="shared" si="13"/>
        <v>0</v>
      </c>
      <c r="U169" s="43">
        <f t="shared" si="13"/>
        <v>0</v>
      </c>
      <c r="V169" s="43">
        <f t="shared" si="13"/>
        <v>0.64367816091954022</v>
      </c>
      <c r="W169" s="43">
        <f t="shared" si="13"/>
        <v>0.43218390804597701</v>
      </c>
      <c r="X169" s="43">
        <f t="shared" si="13"/>
        <v>0.20689655172413793</v>
      </c>
      <c r="Y169" s="43">
        <f t="shared" si="13"/>
        <v>0.20689655172413793</v>
      </c>
      <c r="Z169" s="43">
        <f t="shared" si="13"/>
        <v>0.20689655172413793</v>
      </c>
      <c r="AA169" s="43">
        <f t="shared" si="13"/>
        <v>0.20689655172413793</v>
      </c>
      <c r="AB169" s="43">
        <f t="shared" si="13"/>
        <v>0.42298850574712643</v>
      </c>
      <c r="AC169" s="43">
        <f t="shared" si="13"/>
        <v>0.49195402298850577</v>
      </c>
      <c r="AD169" s="43">
        <f t="shared" si="13"/>
        <v>0.42298850574712643</v>
      </c>
      <c r="AE169" s="43">
        <f t="shared" si="13"/>
        <v>0</v>
      </c>
      <c r="AF169" s="43">
        <f t="shared" si="13"/>
        <v>0</v>
      </c>
      <c r="AG169" s="43">
        <f t="shared" si="13"/>
        <v>4.8850574712643681E-2</v>
      </c>
      <c r="AH169" s="43">
        <f t="shared" si="13"/>
        <v>4.8850574712643681E-2</v>
      </c>
      <c r="AI169" s="43">
        <f t="shared" si="13"/>
        <v>4.8850574712643681E-2</v>
      </c>
      <c r="AJ169" s="43">
        <f t="shared" si="13"/>
        <v>4.8850574712643681E-2</v>
      </c>
      <c r="AK169" s="43">
        <f t="shared" si="13"/>
        <v>0</v>
      </c>
      <c r="AL169" s="43">
        <f t="shared" si="13"/>
        <v>0</v>
      </c>
    </row>
    <row r="170" spans="1:38" ht="25.05" customHeight="1">
      <c r="B170" s="44"/>
      <c r="C170" s="44"/>
      <c r="D170" s="44"/>
      <c r="E170" s="45"/>
      <c r="F170" s="45"/>
      <c r="G170" s="45"/>
      <c r="H170" s="45"/>
      <c r="I170" s="46"/>
      <c r="J170" s="46"/>
      <c r="K170" s="45"/>
      <c r="L170" s="47"/>
      <c r="M170" s="47"/>
      <c r="N170" s="47"/>
      <c r="O170" s="47"/>
      <c r="P170" s="47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  <c r="AI170" s="45"/>
      <c r="AJ170" s="45"/>
    </row>
    <row r="171" spans="1:38" ht="25.05" customHeight="1">
      <c r="B171" s="44"/>
      <c r="C171" s="44"/>
      <c r="D171" s="44"/>
      <c r="E171" s="45"/>
      <c r="F171" s="45"/>
      <c r="G171" s="45"/>
      <c r="H171" s="45"/>
      <c r="I171" s="48" t="s">
        <v>46</v>
      </c>
      <c r="J171" s="46"/>
      <c r="K171" s="45"/>
      <c r="L171" s="47"/>
      <c r="M171" s="47"/>
      <c r="N171" s="47"/>
      <c r="O171" s="47"/>
      <c r="P171" s="47"/>
      <c r="Q171" s="45"/>
      <c r="R171" s="45"/>
      <c r="S171" s="45"/>
      <c r="T171" s="45"/>
      <c r="U171" s="45"/>
      <c r="V171" s="45"/>
      <c r="W171" s="45"/>
      <c r="X171" s="45"/>
      <c r="Y171" s="45"/>
      <c r="Z171" s="45"/>
      <c r="AA171" s="45"/>
      <c r="AB171" s="45"/>
      <c r="AC171" s="45"/>
      <c r="AD171" s="45"/>
      <c r="AE171" s="45"/>
      <c r="AF171" s="45"/>
      <c r="AG171" s="45"/>
      <c r="AH171" s="45"/>
      <c r="AI171" s="45"/>
      <c r="AJ171" s="45"/>
    </row>
    <row r="172" spans="1:38" ht="25.05" customHeight="1">
      <c r="B172" s="44"/>
      <c r="C172" s="44"/>
      <c r="D172" s="44"/>
      <c r="E172" s="45"/>
      <c r="F172" s="45"/>
      <c r="G172" s="45"/>
      <c r="H172" s="45"/>
      <c r="I172" s="49" t="s">
        <v>47</v>
      </c>
      <c r="J172" s="9">
        <v>0</v>
      </c>
      <c r="K172" s="11">
        <v>14</v>
      </c>
      <c r="L172" s="11" t="s">
        <v>48</v>
      </c>
      <c r="M172" s="47"/>
      <c r="N172" s="14">
        <v>2</v>
      </c>
      <c r="O172" s="14"/>
      <c r="P172" s="14"/>
      <c r="Q172" s="50" t="s">
        <v>49</v>
      </c>
      <c r="R172" s="51"/>
      <c r="S172" s="45"/>
      <c r="T172" s="45"/>
      <c r="U172" s="45"/>
      <c r="V172" s="45"/>
      <c r="W172" s="45"/>
      <c r="X172" s="45"/>
      <c r="Y172" s="45"/>
      <c r="Z172" s="45"/>
      <c r="AA172" s="45"/>
      <c r="AC172" s="45"/>
      <c r="AD172" s="45"/>
      <c r="AE172" s="45"/>
      <c r="AF172" s="45"/>
      <c r="AG172" s="45"/>
      <c r="AH172" s="45"/>
    </row>
    <row r="173" spans="1:38" ht="25.05" customHeight="1">
      <c r="B173" s="44"/>
      <c r="C173" s="44"/>
      <c r="D173" s="44"/>
      <c r="E173" s="45"/>
      <c r="F173" s="45"/>
      <c r="G173" s="45"/>
      <c r="H173" s="45"/>
      <c r="I173" s="49" t="s">
        <v>50</v>
      </c>
      <c r="J173" s="9">
        <v>0</v>
      </c>
      <c r="K173" s="11">
        <v>3</v>
      </c>
      <c r="L173" s="11" t="s">
        <v>48</v>
      </c>
      <c r="M173" s="47"/>
      <c r="N173" s="14">
        <v>4</v>
      </c>
      <c r="O173" s="14"/>
      <c r="P173" s="14"/>
      <c r="Q173" s="50" t="s">
        <v>51</v>
      </c>
      <c r="R173" s="51"/>
      <c r="S173" s="45"/>
      <c r="T173" s="45"/>
      <c r="U173" s="45"/>
      <c r="V173" s="45"/>
      <c r="W173" s="45"/>
      <c r="X173" s="45"/>
      <c r="Y173" s="45"/>
      <c r="Z173" s="45"/>
      <c r="AA173" s="45"/>
      <c r="AB173" s="45"/>
      <c r="AC173" s="45"/>
      <c r="AD173" s="45"/>
      <c r="AE173" s="45"/>
      <c r="AF173" s="45"/>
      <c r="AG173" s="45"/>
      <c r="AH173" s="45"/>
    </row>
    <row r="174" spans="1:38" ht="25.05" customHeight="1">
      <c r="B174" s="44"/>
      <c r="C174" s="44"/>
      <c r="D174" s="44"/>
      <c r="E174" s="45"/>
      <c r="F174" s="45"/>
      <c r="G174" s="45"/>
      <c r="H174" s="45"/>
      <c r="I174" s="49" t="s">
        <v>52</v>
      </c>
      <c r="J174" s="9">
        <v>0</v>
      </c>
      <c r="K174" s="11">
        <v>19</v>
      </c>
      <c r="L174" s="11" t="s">
        <v>48</v>
      </c>
      <c r="M174" s="47"/>
      <c r="N174" s="14">
        <v>1</v>
      </c>
      <c r="O174" s="14"/>
      <c r="P174" s="14"/>
      <c r="Q174" s="50" t="s">
        <v>53</v>
      </c>
      <c r="R174" s="51"/>
      <c r="S174" s="45"/>
      <c r="T174" s="45"/>
      <c r="U174" s="45"/>
      <c r="V174" s="45"/>
      <c r="W174" s="45"/>
      <c r="X174" s="45"/>
      <c r="Y174" s="45"/>
      <c r="Z174" s="45"/>
      <c r="AA174" s="45"/>
      <c r="AB174" s="45"/>
      <c r="AC174" s="45"/>
      <c r="AD174" s="45"/>
      <c r="AE174" s="45"/>
      <c r="AF174" s="45"/>
      <c r="AG174" s="45"/>
      <c r="AH174" s="45"/>
    </row>
    <row r="175" spans="1:38" ht="25.05" customHeight="1">
      <c r="B175" s="44"/>
      <c r="C175" s="44"/>
      <c r="D175" s="44"/>
      <c r="E175" s="45"/>
      <c r="F175" s="45"/>
      <c r="G175" s="45"/>
      <c r="H175" s="45"/>
      <c r="I175" s="52" t="s">
        <v>54</v>
      </c>
      <c r="J175" s="53">
        <v>0</v>
      </c>
      <c r="K175" s="11">
        <v>7</v>
      </c>
      <c r="L175" s="54" t="s">
        <v>48</v>
      </c>
      <c r="M175" s="47"/>
      <c r="N175" s="14">
        <v>4</v>
      </c>
      <c r="O175" s="14"/>
      <c r="P175" s="14"/>
      <c r="Q175" s="50" t="s">
        <v>55</v>
      </c>
      <c r="R175" s="51"/>
      <c r="S175" s="45"/>
      <c r="T175" s="45"/>
      <c r="U175" s="45"/>
      <c r="V175" s="45"/>
      <c r="W175" s="45"/>
      <c r="X175" s="45"/>
      <c r="Y175" s="45"/>
      <c r="Z175" s="45"/>
      <c r="AA175" s="45"/>
      <c r="AB175" s="45"/>
      <c r="AC175" s="45"/>
      <c r="AD175" s="45"/>
      <c r="AE175" s="45"/>
      <c r="AF175" s="45"/>
      <c r="AG175" s="45"/>
      <c r="AH175" s="45"/>
    </row>
    <row r="176" spans="1:38" ht="25.05" customHeight="1">
      <c r="B176" s="44"/>
      <c r="C176" s="44"/>
      <c r="D176" s="44"/>
      <c r="E176" s="45"/>
      <c r="F176" s="45"/>
      <c r="G176" s="45"/>
      <c r="H176" s="45"/>
      <c r="I176" s="49" t="s">
        <v>56</v>
      </c>
      <c r="J176" s="9">
        <v>0</v>
      </c>
      <c r="K176" s="11">
        <v>43</v>
      </c>
      <c r="L176" s="11" t="s">
        <v>48</v>
      </c>
      <c r="M176" s="47"/>
      <c r="N176"/>
      <c r="O176"/>
      <c r="P176"/>
      <c r="Q176"/>
      <c r="S176" s="45"/>
      <c r="T176" s="45"/>
      <c r="U176" s="45"/>
      <c r="V176" s="45"/>
      <c r="W176" s="45"/>
      <c r="X176" s="45"/>
      <c r="Y176" s="45"/>
      <c r="Z176" s="45"/>
      <c r="AA176" s="45"/>
      <c r="AB176" s="45"/>
      <c r="AC176" s="45"/>
      <c r="AD176" s="45"/>
      <c r="AE176" s="45"/>
      <c r="AF176" s="45"/>
      <c r="AG176" s="45"/>
      <c r="AH176" s="45"/>
    </row>
    <row r="177" spans="2:34" ht="25.05" customHeight="1">
      <c r="B177" s="44"/>
      <c r="C177" s="44"/>
      <c r="D177" s="44"/>
      <c r="E177" s="45"/>
      <c r="F177" s="45"/>
      <c r="G177" s="45"/>
      <c r="H177" s="45"/>
      <c r="M177" s="47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  <c r="AA177" s="45"/>
      <c r="AB177" s="45"/>
      <c r="AC177" s="45"/>
      <c r="AD177" s="45"/>
      <c r="AE177" s="45"/>
      <c r="AF177" s="45"/>
      <c r="AG177" s="45"/>
      <c r="AH177" s="45"/>
    </row>
    <row r="178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755F1-10B4-4EA1-A77F-D82F4A604BDB}">
  <sheetPr>
    <pageSetUpPr fitToPage="1"/>
  </sheetPr>
  <dimension ref="A1:AL91"/>
  <sheetViews>
    <sheetView zoomScale="40" zoomScaleNormal="40" workbookViewId="0">
      <pane xSplit="12" ySplit="3" topLeftCell="M70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46100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0.79513888888888884</v>
      </c>
      <c r="I4" s="10">
        <f t="shared" ref="I4:I22" si="0">H4-G4</f>
        <v>3.4722222222222099E-3</v>
      </c>
      <c r="J4" s="11">
        <v>8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30" t="s">
        <v>1004</v>
      </c>
      <c r="E5" s="156" t="s">
        <v>1268</v>
      </c>
      <c r="F5" s="55" t="s">
        <v>59</v>
      </c>
      <c r="G5" s="9">
        <v>0.92777777777777781</v>
      </c>
      <c r="H5" s="9">
        <v>0.93541666666666667</v>
      </c>
      <c r="I5" s="10">
        <f t="shared" si="0"/>
        <v>7.6388888888888618E-3</v>
      </c>
      <c r="J5" s="11">
        <v>1</v>
      </c>
      <c r="K5" s="11">
        <v>3.1</v>
      </c>
      <c r="L5" s="16">
        <f t="shared" ref="L5:L22" si="1">IFERROR(((K5/(J5*I5)/24)),"0")</f>
        <v>16.90909090909097</v>
      </c>
      <c r="M5" s="11">
        <v>11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1269</v>
      </c>
      <c r="F6" s="88" t="s">
        <v>42</v>
      </c>
      <c r="G6" s="9">
        <v>0.79861111111111116</v>
      </c>
      <c r="H6" s="9">
        <v>0.84722222222222221</v>
      </c>
      <c r="I6" s="10">
        <f t="shared" si="0"/>
        <v>4.8611111111111049E-2</v>
      </c>
      <c r="J6" s="11">
        <v>2</v>
      </c>
      <c r="K6" s="11">
        <v>209</v>
      </c>
      <c r="L6" s="16">
        <f t="shared" si="1"/>
        <v>89.571428571428683</v>
      </c>
      <c r="M6" s="11">
        <v>70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30" t="s">
        <v>1175</v>
      </c>
      <c r="E7" s="19" t="s">
        <v>1270</v>
      </c>
      <c r="F7" s="55" t="s">
        <v>59</v>
      </c>
      <c r="G7" s="9">
        <v>0.86458333333333337</v>
      </c>
      <c r="H7" s="9">
        <v>0.875</v>
      </c>
      <c r="I7" s="10">
        <f t="shared" si="0"/>
        <v>1.041666666666663E-2</v>
      </c>
      <c r="J7" s="11">
        <v>1</v>
      </c>
      <c r="K7" s="11">
        <v>14.8</v>
      </c>
      <c r="L7" s="16">
        <f t="shared" si="1"/>
        <v>59.200000000000216</v>
      </c>
      <c r="M7" s="11">
        <v>15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9" t="s">
        <v>1271</v>
      </c>
      <c r="F8" s="57">
        <v>1</v>
      </c>
      <c r="G8" s="9">
        <v>0.87708333333333333</v>
      </c>
      <c r="H8" s="9">
        <v>0.90625</v>
      </c>
      <c r="I8" s="10">
        <f t="shared" si="0"/>
        <v>2.9166666666666674E-2</v>
      </c>
      <c r="J8" s="11">
        <v>1</v>
      </c>
      <c r="K8" s="11">
        <v>9.84</v>
      </c>
      <c r="L8" s="16">
        <f t="shared" si="1"/>
        <v>14.057142857142852</v>
      </c>
      <c r="M8" s="11">
        <v>42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1272</v>
      </c>
      <c r="F9" s="55" t="s">
        <v>221</v>
      </c>
      <c r="G9" s="9">
        <v>0.90972222222222221</v>
      </c>
      <c r="H9" s="9">
        <v>0.91319444444444442</v>
      </c>
      <c r="I9" s="10">
        <f t="shared" si="0"/>
        <v>3.4722222222222099E-3</v>
      </c>
      <c r="J9" s="11">
        <v>1</v>
      </c>
      <c r="K9" s="11">
        <v>10.8</v>
      </c>
      <c r="L9" s="16">
        <f t="shared" si="1"/>
        <v>129.60000000000048</v>
      </c>
      <c r="M9" s="11">
        <v>5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9" t="s">
        <v>1273</v>
      </c>
      <c r="F10" s="88" t="s">
        <v>42</v>
      </c>
      <c r="G10" s="9">
        <v>0.81666666666666665</v>
      </c>
      <c r="H10" s="9">
        <v>0.88749999999999996</v>
      </c>
      <c r="I10" s="10">
        <f t="shared" si="0"/>
        <v>7.0833333333333304E-2</v>
      </c>
      <c r="J10" s="11">
        <v>1</v>
      </c>
      <c r="K10" s="11">
        <v>89.73</v>
      </c>
      <c r="L10" s="16">
        <f t="shared" si="1"/>
        <v>52.782352941176498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1274</v>
      </c>
      <c r="F11" s="55" t="s">
        <v>1275</v>
      </c>
      <c r="G11" s="9">
        <v>5.5555555555555552E-2</v>
      </c>
      <c r="H11" s="9">
        <v>0.14930555555555555</v>
      </c>
      <c r="I11" s="10">
        <f t="shared" si="0"/>
        <v>9.375E-2</v>
      </c>
      <c r="J11" s="11">
        <v>4</v>
      </c>
      <c r="K11" s="11">
        <v>176</v>
      </c>
      <c r="L11" s="16">
        <f t="shared" si="1"/>
        <v>19.555555555555554</v>
      </c>
      <c r="M11" s="11"/>
      <c r="N11" s="11"/>
      <c r="O11" s="11"/>
      <c r="P11" s="11"/>
      <c r="Q11" s="11"/>
      <c r="R11" s="12"/>
      <c r="S11" s="12">
        <v>135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1276</v>
      </c>
      <c r="F12" s="55" t="s">
        <v>1277</v>
      </c>
      <c r="G12" s="9">
        <v>0.16666666666666666</v>
      </c>
      <c r="H12" s="94">
        <v>0.20833333333333334</v>
      </c>
      <c r="I12" s="10">
        <f t="shared" si="0"/>
        <v>4.1666666666666685E-2</v>
      </c>
      <c r="J12" s="96">
        <v>7</v>
      </c>
      <c r="K12" s="11">
        <v>44</v>
      </c>
      <c r="L12" s="16">
        <f t="shared" si="1"/>
        <v>6.285714285714282</v>
      </c>
      <c r="M12" s="11"/>
      <c r="N12" s="11"/>
      <c r="O12" s="11"/>
      <c r="P12" s="11"/>
      <c r="Q12" s="11"/>
      <c r="R12" s="12"/>
      <c r="S12" s="12">
        <v>60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1278</v>
      </c>
      <c r="F13" s="55" t="s">
        <v>576</v>
      </c>
      <c r="G13" s="9">
        <v>2.0833333333333332E-2</v>
      </c>
      <c r="H13" s="9">
        <v>0.16666666666666666</v>
      </c>
      <c r="I13" s="10">
        <f t="shared" si="0"/>
        <v>0.14583333333333331</v>
      </c>
      <c r="J13" s="11">
        <v>4</v>
      </c>
      <c r="K13" s="11">
        <v>13.2</v>
      </c>
      <c r="L13" s="16">
        <f t="shared" si="1"/>
        <v>0.94285714285714295</v>
      </c>
      <c r="M13" s="11"/>
      <c r="N13" s="11"/>
      <c r="O13" s="11"/>
      <c r="P13" s="11"/>
      <c r="Q13" s="11"/>
      <c r="R13" s="12"/>
      <c r="S13" s="12">
        <v>210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5" t="s">
        <v>1167</v>
      </c>
      <c r="E14" s="156" t="s">
        <v>1279</v>
      </c>
      <c r="F14" s="55" t="s">
        <v>851</v>
      </c>
      <c r="G14" s="9">
        <v>0.94097222222222221</v>
      </c>
      <c r="H14" s="9">
        <v>0.9506944444444444</v>
      </c>
      <c r="I14" s="10">
        <f t="shared" si="0"/>
        <v>9.7222222222221877E-3</v>
      </c>
      <c r="J14" s="11">
        <v>1</v>
      </c>
      <c r="K14" s="11">
        <v>18.989999999999998</v>
      </c>
      <c r="L14" s="16">
        <f t="shared" si="1"/>
        <v>81.38571428571457</v>
      </c>
      <c r="M14" s="11">
        <v>14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6" t="s">
        <v>1280</v>
      </c>
      <c r="F15" s="55" t="s">
        <v>232</v>
      </c>
      <c r="G15" s="9">
        <v>0.95833333333333337</v>
      </c>
      <c r="H15" s="9">
        <v>0.98611111111111116</v>
      </c>
      <c r="I15" s="10">
        <f t="shared" si="0"/>
        <v>2.777777777777779E-2</v>
      </c>
      <c r="J15" s="11">
        <v>1</v>
      </c>
      <c r="K15" s="11">
        <v>142.56</v>
      </c>
      <c r="L15" s="16">
        <f t="shared" si="1"/>
        <v>213.83999999999992</v>
      </c>
      <c r="M15" s="11">
        <v>40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6" t="s">
        <v>1281</v>
      </c>
      <c r="F16" s="57">
        <v>0.9</v>
      </c>
      <c r="G16" s="9">
        <v>0.98958333333333337</v>
      </c>
      <c r="H16" s="9">
        <v>46101.010416666664</v>
      </c>
      <c r="I16" s="10">
        <f t="shared" si="0"/>
        <v>46100.020833333328</v>
      </c>
      <c r="J16" s="11">
        <v>1</v>
      </c>
      <c r="K16" s="11">
        <v>142.56</v>
      </c>
      <c r="L16" s="16">
        <f t="shared" si="1"/>
        <v>1.2885026715009619E-4</v>
      </c>
      <c r="M16" s="11">
        <v>30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6" t="s">
        <v>1282</v>
      </c>
      <c r="F17" s="55" t="s">
        <v>1283</v>
      </c>
      <c r="G17" s="9">
        <v>0.80208333333333337</v>
      </c>
      <c r="H17" s="9">
        <v>0.98958333333333337</v>
      </c>
      <c r="I17" s="10">
        <f t="shared" si="0"/>
        <v>0.1875</v>
      </c>
      <c r="J17" s="11">
        <v>4</v>
      </c>
      <c r="K17" s="11">
        <v>130.68</v>
      </c>
      <c r="L17" s="16">
        <f t="shared" si="1"/>
        <v>7.2600000000000007</v>
      </c>
      <c r="M17" s="11"/>
      <c r="N17" s="11"/>
      <c r="O17" s="11"/>
      <c r="P17" s="11"/>
      <c r="Q17" s="11"/>
      <c r="R17" s="12"/>
      <c r="S17" s="12">
        <v>270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156" t="s">
        <v>1284</v>
      </c>
      <c r="F18" s="88" t="s">
        <v>42</v>
      </c>
      <c r="G18" s="9">
        <v>4.5138888888888888E-2</v>
      </c>
      <c r="H18" s="9">
        <v>5.9027777777777776E-2</v>
      </c>
      <c r="I18" s="10">
        <f t="shared" si="0"/>
        <v>1.3888888888888888E-2</v>
      </c>
      <c r="J18" s="11">
        <v>4</v>
      </c>
      <c r="K18" s="11">
        <v>153.9</v>
      </c>
      <c r="L18" s="16">
        <f t="shared" si="1"/>
        <v>115.42500000000001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8" t="s">
        <v>1285</v>
      </c>
      <c r="F19" s="88" t="s">
        <v>1286</v>
      </c>
      <c r="G19" s="9">
        <v>2.4305555555555556E-2</v>
      </c>
      <c r="H19" s="9">
        <v>3.8194444444444448E-2</v>
      </c>
      <c r="I19" s="10">
        <f t="shared" si="0"/>
        <v>1.3888888888888892E-2</v>
      </c>
      <c r="J19" s="11">
        <v>4</v>
      </c>
      <c r="K19" s="11">
        <v>162</v>
      </c>
      <c r="L19" s="16">
        <f t="shared" si="1"/>
        <v>121.49999999999999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/>
      <c r="F20" s="55"/>
      <c r="G20" s="9"/>
      <c r="H20" s="9"/>
      <c r="I20" s="10">
        <f t="shared" si="0"/>
        <v>0</v>
      </c>
      <c r="J20" s="11"/>
      <c r="K20" s="11"/>
      <c r="L20" s="16" t="str">
        <f t="shared" si="1"/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/>
      <c r="F21" s="55"/>
      <c r="G21" s="9"/>
      <c r="H21" s="9"/>
      <c r="I21" s="10">
        <f t="shared" si="0"/>
        <v>0</v>
      </c>
      <c r="J21" s="11"/>
      <c r="K21" s="11"/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/>
      <c r="F22" s="55"/>
      <c r="G22" s="9"/>
      <c r="H22" s="9"/>
      <c r="I22" s="10">
        <f t="shared" si="0"/>
        <v>0</v>
      </c>
      <c r="J22" s="11"/>
      <c r="K22" s="11"/>
      <c r="L22" s="16" t="str">
        <f t="shared" si="1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s="28" customFormat="1" ht="25.05" customHeight="1">
      <c r="A23" s="2"/>
      <c r="B23" s="21"/>
      <c r="C23" s="22"/>
      <c r="D23" s="23"/>
      <c r="E23" s="24"/>
      <c r="F23" s="24"/>
      <c r="G23" s="25"/>
      <c r="H23" s="25"/>
      <c r="I23" s="26"/>
      <c r="J23" s="27"/>
      <c r="K23" s="27">
        <f t="shared" ref="K23:AL23" si="2">SUM(K4:K19)</f>
        <v>1321.16</v>
      </c>
      <c r="L23" s="39">
        <f t="shared" si="2"/>
        <v>928.31498539894824</v>
      </c>
      <c r="M23" s="27">
        <f t="shared" si="2"/>
        <v>227</v>
      </c>
      <c r="N23" s="27">
        <f t="shared" si="2"/>
        <v>0</v>
      </c>
      <c r="O23" s="27">
        <f t="shared" si="2"/>
        <v>0</v>
      </c>
      <c r="P23" s="27">
        <f t="shared" si="2"/>
        <v>0</v>
      </c>
      <c r="Q23" s="27">
        <f t="shared" si="2"/>
        <v>0</v>
      </c>
      <c r="R23" s="27">
        <f t="shared" si="2"/>
        <v>0</v>
      </c>
      <c r="S23" s="27">
        <f t="shared" si="2"/>
        <v>675</v>
      </c>
      <c r="T23" s="27">
        <f t="shared" si="2"/>
        <v>0</v>
      </c>
      <c r="U23" s="27">
        <f t="shared" si="2"/>
        <v>0</v>
      </c>
      <c r="V23" s="27">
        <f t="shared" si="2"/>
        <v>0</v>
      </c>
      <c r="W23" s="27">
        <f t="shared" si="2"/>
        <v>0</v>
      </c>
      <c r="X23" s="27">
        <f t="shared" si="2"/>
        <v>0</v>
      </c>
      <c r="Y23" s="27">
        <f t="shared" si="2"/>
        <v>0</v>
      </c>
      <c r="Z23" s="27">
        <f t="shared" si="2"/>
        <v>0</v>
      </c>
      <c r="AA23" s="27">
        <f t="shared" si="2"/>
        <v>0</v>
      </c>
      <c r="AB23" s="27">
        <f t="shared" si="2"/>
        <v>0</v>
      </c>
      <c r="AC23" s="27">
        <f t="shared" si="2"/>
        <v>0</v>
      </c>
      <c r="AD23" s="27">
        <f t="shared" si="2"/>
        <v>0</v>
      </c>
      <c r="AE23" s="27">
        <f t="shared" si="2"/>
        <v>0</v>
      </c>
      <c r="AF23" s="27">
        <f t="shared" si="2"/>
        <v>0</v>
      </c>
      <c r="AG23" s="27">
        <f t="shared" si="2"/>
        <v>0</v>
      </c>
      <c r="AH23" s="27">
        <f t="shared" si="2"/>
        <v>0</v>
      </c>
      <c r="AI23" s="27">
        <f t="shared" si="2"/>
        <v>0</v>
      </c>
      <c r="AJ23" s="27">
        <f t="shared" si="2"/>
        <v>0</v>
      </c>
      <c r="AK23" s="27">
        <f t="shared" si="2"/>
        <v>0</v>
      </c>
      <c r="AL23" s="27">
        <f t="shared" si="2"/>
        <v>0</v>
      </c>
    </row>
    <row r="24" spans="1:38" ht="25.05" customHeight="1">
      <c r="B24" s="13"/>
      <c r="C24" s="14" t="s">
        <v>43</v>
      </c>
      <c r="D24" s="6"/>
      <c r="E24" s="7" t="s">
        <v>41</v>
      </c>
      <c r="F24" s="8" t="s">
        <v>42</v>
      </c>
      <c r="G24" s="9"/>
      <c r="H24" s="9"/>
      <c r="I24" s="10">
        <f>H24-G24</f>
        <v>0</v>
      </c>
      <c r="J24" s="11"/>
      <c r="K24" s="11"/>
      <c r="L24" s="16" t="str">
        <f>IFERROR(((K24/(J24*I24)/24)),"0")</f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18"/>
      <c r="E25" s="6"/>
      <c r="F25" s="14"/>
      <c r="G25" s="9"/>
      <c r="H25" s="9"/>
      <c r="I25" s="10"/>
      <c r="J25" s="11"/>
      <c r="K25" s="11"/>
      <c r="L25" s="16"/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s="28" customFormat="1" ht="25.05" customHeight="1">
      <c r="A26" s="2"/>
      <c r="B26" s="21"/>
      <c r="C26" s="22"/>
      <c r="D26" s="23"/>
      <c r="E26" s="24"/>
      <c r="F26" s="22"/>
      <c r="G26" s="25"/>
      <c r="H26" s="25"/>
      <c r="I26" s="26"/>
      <c r="J26" s="27"/>
      <c r="K26" s="27">
        <f t="shared" ref="K26:AI26" si="3">SUM(K24:K25)</f>
        <v>0</v>
      </c>
      <c r="L26" s="27">
        <f t="shared" si="3"/>
        <v>0</v>
      </c>
      <c r="M26" s="27">
        <f t="shared" si="3"/>
        <v>0</v>
      </c>
      <c r="N26" s="27">
        <f t="shared" si="3"/>
        <v>0</v>
      </c>
      <c r="O26" s="27">
        <f t="shared" si="3"/>
        <v>0</v>
      </c>
      <c r="P26" s="27">
        <f t="shared" si="3"/>
        <v>0</v>
      </c>
      <c r="Q26" s="27">
        <f t="shared" si="3"/>
        <v>0</v>
      </c>
      <c r="R26" s="27">
        <f t="shared" si="3"/>
        <v>0</v>
      </c>
      <c r="S26" s="27">
        <f t="shared" si="3"/>
        <v>0</v>
      </c>
      <c r="T26" s="27">
        <f t="shared" si="3"/>
        <v>0</v>
      </c>
      <c r="U26" s="27">
        <f t="shared" si="3"/>
        <v>0</v>
      </c>
      <c r="V26" s="27">
        <f t="shared" si="3"/>
        <v>0</v>
      </c>
      <c r="W26" s="27">
        <f t="shared" si="3"/>
        <v>0</v>
      </c>
      <c r="X26" s="27">
        <f t="shared" si="3"/>
        <v>0</v>
      </c>
      <c r="Y26" s="27">
        <f t="shared" si="3"/>
        <v>0</v>
      </c>
      <c r="Z26" s="27">
        <f t="shared" si="3"/>
        <v>0</v>
      </c>
      <c r="AA26" s="27">
        <f t="shared" si="3"/>
        <v>0</v>
      </c>
      <c r="AB26" s="27">
        <f t="shared" si="3"/>
        <v>0</v>
      </c>
      <c r="AC26" s="27">
        <f t="shared" si="3"/>
        <v>0</v>
      </c>
      <c r="AD26" s="27">
        <f t="shared" si="3"/>
        <v>0</v>
      </c>
      <c r="AE26" s="27">
        <f t="shared" si="3"/>
        <v>0</v>
      </c>
      <c r="AF26" s="27">
        <f t="shared" si="3"/>
        <v>0</v>
      </c>
      <c r="AG26" s="27">
        <f t="shared" si="3"/>
        <v>0</v>
      </c>
      <c r="AH26" s="27">
        <f t="shared" si="3"/>
        <v>0</v>
      </c>
      <c r="AI26" s="27">
        <f t="shared" si="3"/>
        <v>0</v>
      </c>
      <c r="AJ26" s="27">
        <f>SUM(AJ24:AJ25)</f>
        <v>0</v>
      </c>
      <c r="AK26" s="27">
        <f>SUM(AK24:AK25)</f>
        <v>0</v>
      </c>
      <c r="AL26" s="27">
        <f>SUM(AL24:AL25)</f>
        <v>0</v>
      </c>
    </row>
    <row r="27" spans="1:38" ht="25.05" customHeight="1">
      <c r="B27" s="5">
        <v>46100</v>
      </c>
      <c r="C27" s="29" t="s">
        <v>44</v>
      </c>
      <c r="D27" s="30"/>
      <c r="E27" s="7" t="s">
        <v>41</v>
      </c>
      <c r="F27" s="8" t="s">
        <v>42</v>
      </c>
      <c r="G27" s="9">
        <v>0.79166666666666663</v>
      </c>
      <c r="H27" s="9">
        <v>0.8125</v>
      </c>
      <c r="I27" s="10">
        <f t="shared" ref="I27:I61" si="4">H27-G27</f>
        <v>2.083333333333337E-2</v>
      </c>
      <c r="J27" s="11"/>
      <c r="K27" s="11"/>
      <c r="L27" s="16" t="str">
        <f t="shared" ref="L27:L60" si="5">IFERROR(((K27/(J27*I27)/24)),"0")</f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4"/>
    </row>
    <row r="28" spans="1:38" ht="25.05" customHeight="1">
      <c r="B28" s="13"/>
      <c r="C28" s="29"/>
      <c r="D28" s="30" t="s">
        <v>1167</v>
      </c>
      <c r="E28" s="19" t="s">
        <v>1287</v>
      </c>
      <c r="F28" s="8" t="s">
        <v>42</v>
      </c>
      <c r="G28" s="9">
        <v>6.5972222222222224E-2</v>
      </c>
      <c r="H28" s="9">
        <v>0.11041666666666666</v>
      </c>
      <c r="I28" s="10">
        <f t="shared" si="4"/>
        <v>4.4444444444444439E-2</v>
      </c>
      <c r="J28" s="11">
        <v>3</v>
      </c>
      <c r="K28" s="11">
        <v>72.8</v>
      </c>
      <c r="L28" s="16">
        <f t="shared" si="5"/>
        <v>22.750000000000004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/>
      <c r="Y28" s="11"/>
      <c r="Z28" s="11"/>
      <c r="AA28" s="11"/>
      <c r="AB28" s="11">
        <v>64</v>
      </c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30"/>
      <c r="E29" s="19" t="s">
        <v>1288</v>
      </c>
      <c r="F29" s="8" t="s">
        <v>42</v>
      </c>
      <c r="G29" s="9">
        <v>6.8750000000000006E-2</v>
      </c>
      <c r="H29" s="9">
        <v>0.11388888888888889</v>
      </c>
      <c r="I29" s="10">
        <f t="shared" si="4"/>
        <v>4.5138888888888881E-2</v>
      </c>
      <c r="J29" s="11">
        <v>3</v>
      </c>
      <c r="K29" s="11">
        <v>72.8</v>
      </c>
      <c r="L29" s="16">
        <f t="shared" si="5"/>
        <v>22.400000000000006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>
        <v>2</v>
      </c>
      <c r="X29" s="11"/>
      <c r="Y29" s="11"/>
      <c r="Z29" s="11"/>
      <c r="AA29" s="11"/>
      <c r="AB29" s="11"/>
      <c r="AC29" s="11"/>
      <c r="AD29" s="11">
        <v>65</v>
      </c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1289</v>
      </c>
      <c r="F30" s="8" t="s">
        <v>42</v>
      </c>
      <c r="G30" s="9">
        <v>7.013888888888889E-2</v>
      </c>
      <c r="H30" s="9">
        <v>0.11527777777777778</v>
      </c>
      <c r="I30" s="10">
        <f t="shared" si="4"/>
        <v>4.5138888888888895E-2</v>
      </c>
      <c r="J30" s="11">
        <v>3</v>
      </c>
      <c r="K30" s="11">
        <v>75.02</v>
      </c>
      <c r="L30" s="16">
        <f>IFERROR(((K30/(J30*I30)/24)),"0")</f>
        <v>23.083076923076916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/>
      <c r="Y30" s="11"/>
      <c r="Z30" s="11"/>
      <c r="AA30" s="11"/>
      <c r="AB30" s="11"/>
      <c r="AC30" s="11">
        <v>65</v>
      </c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1290</v>
      </c>
      <c r="F31" s="8" t="s">
        <v>42</v>
      </c>
      <c r="G31" s="9">
        <v>0.11805555555555555</v>
      </c>
      <c r="H31" s="9">
        <v>0.16388888888888889</v>
      </c>
      <c r="I31" s="10">
        <f t="shared" si="4"/>
        <v>4.5833333333333337E-2</v>
      </c>
      <c r="J31" s="11">
        <v>3</v>
      </c>
      <c r="K31" s="11">
        <v>72.3</v>
      </c>
      <c r="L31" s="16">
        <f t="shared" si="5"/>
        <v>21.909090909090907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2</v>
      </c>
      <c r="X31" s="11"/>
      <c r="Y31" s="11"/>
      <c r="Z31" s="11"/>
      <c r="AA31" s="11"/>
      <c r="AB31" s="11">
        <v>66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1291</v>
      </c>
      <c r="F32" s="8"/>
      <c r="G32" s="9">
        <v>0.12638888888888888</v>
      </c>
      <c r="H32" s="9">
        <v>0.14791666666666667</v>
      </c>
      <c r="I32" s="10">
        <f t="shared" si="4"/>
        <v>2.1527777777777785E-2</v>
      </c>
      <c r="J32" s="11">
        <v>3</v>
      </c>
      <c r="K32" s="11">
        <v>36.130000000000003</v>
      </c>
      <c r="L32" s="16">
        <f>IFERROR(((K32/(J32*I32)/24)),"0")</f>
        <v>23.309677419354831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2</v>
      </c>
      <c r="W32" s="12"/>
      <c r="X32" s="11"/>
      <c r="Y32" s="11"/>
      <c r="Z32" s="11"/>
      <c r="AA32" s="11"/>
      <c r="AB32" s="11"/>
      <c r="AC32" s="11"/>
      <c r="AD32" s="11">
        <v>31</v>
      </c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1292</v>
      </c>
      <c r="F33" s="8" t="s">
        <v>42</v>
      </c>
      <c r="G33" s="9">
        <v>0.94652777777777775</v>
      </c>
      <c r="H33" s="9">
        <v>0.97777777777777775</v>
      </c>
      <c r="I33" s="10">
        <f t="shared" si="4"/>
        <v>3.125E-2</v>
      </c>
      <c r="J33" s="11">
        <v>4</v>
      </c>
      <c r="K33" s="11">
        <v>80.16</v>
      </c>
      <c r="L33" s="16">
        <f t="shared" si="5"/>
        <v>26.72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>
        <v>45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1293</v>
      </c>
      <c r="F34" s="8" t="s">
        <v>42</v>
      </c>
      <c r="G34" s="9">
        <v>0.95138888888888884</v>
      </c>
      <c r="H34" s="9">
        <v>0.98263888888888884</v>
      </c>
      <c r="I34" s="10">
        <f t="shared" si="4"/>
        <v>3.125E-2</v>
      </c>
      <c r="J34" s="11">
        <v>4</v>
      </c>
      <c r="K34" s="11">
        <v>80.16</v>
      </c>
      <c r="L34" s="16">
        <f t="shared" si="5"/>
        <v>26.72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>
        <v>45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1294</v>
      </c>
      <c r="F35" s="8" t="s">
        <v>42</v>
      </c>
      <c r="G35" s="9">
        <v>0.95694444444444449</v>
      </c>
      <c r="H35" s="9">
        <v>0.98819444444444449</v>
      </c>
      <c r="I35" s="10">
        <f t="shared" si="4"/>
        <v>3.125E-2</v>
      </c>
      <c r="J35" s="11">
        <v>4</v>
      </c>
      <c r="K35" s="11">
        <v>80.16</v>
      </c>
      <c r="L35" s="16">
        <f t="shared" si="5"/>
        <v>26.72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>
        <v>45</v>
      </c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1295</v>
      </c>
      <c r="F36" s="8" t="s">
        <v>42</v>
      </c>
      <c r="G36" s="9">
        <v>0.96180555555555558</v>
      </c>
      <c r="H36" s="9">
        <v>0.99305555555555558</v>
      </c>
      <c r="I36" s="10">
        <f t="shared" si="4"/>
        <v>3.125E-2</v>
      </c>
      <c r="J36" s="11">
        <v>4</v>
      </c>
      <c r="K36" s="11">
        <v>80.16</v>
      </c>
      <c r="L36" s="16">
        <f t="shared" si="5"/>
        <v>26.72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>
        <v>45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1296</v>
      </c>
      <c r="F37" s="8" t="s">
        <v>42</v>
      </c>
      <c r="G37" s="9">
        <v>0.99027777777777781</v>
      </c>
      <c r="H37" s="9">
        <v>1.0215277777777778</v>
      </c>
      <c r="I37" s="10">
        <f t="shared" si="4"/>
        <v>3.125E-2</v>
      </c>
      <c r="J37" s="11">
        <v>4</v>
      </c>
      <c r="K37" s="11">
        <v>80.16</v>
      </c>
      <c r="L37" s="16">
        <f t="shared" si="5"/>
        <v>26.72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2</v>
      </c>
      <c r="X37" s="11">
        <v>45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1297</v>
      </c>
      <c r="F38" s="8" t="s">
        <v>42</v>
      </c>
      <c r="G38" s="9">
        <v>0.99583333333333335</v>
      </c>
      <c r="H38" s="9">
        <v>1.0270833333333333</v>
      </c>
      <c r="I38" s="10">
        <f t="shared" si="4"/>
        <v>3.125E-2</v>
      </c>
      <c r="J38" s="11">
        <v>4</v>
      </c>
      <c r="K38" s="11">
        <v>80.16</v>
      </c>
      <c r="L38" s="16">
        <f t="shared" si="5"/>
        <v>26.72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>
        <v>45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1298</v>
      </c>
      <c r="F39" s="8" t="s">
        <v>42</v>
      </c>
      <c r="G39" s="9">
        <v>1</v>
      </c>
      <c r="H39" s="9">
        <v>1.03125</v>
      </c>
      <c r="I39" s="10">
        <f t="shared" si="4"/>
        <v>3.125E-2</v>
      </c>
      <c r="J39" s="11">
        <v>4</v>
      </c>
      <c r="K39" s="11">
        <v>80.16</v>
      </c>
      <c r="L39" s="16">
        <f t="shared" si="5"/>
        <v>26.72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2</v>
      </c>
      <c r="X39" s="11"/>
      <c r="Y39" s="11">
        <v>45</v>
      </c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1299</v>
      </c>
      <c r="F40" s="8" t="s">
        <v>42</v>
      </c>
      <c r="G40" s="9">
        <v>1.0034722222222223</v>
      </c>
      <c r="H40" s="9">
        <v>1.0347222222222223</v>
      </c>
      <c r="I40" s="10">
        <f t="shared" si="4"/>
        <v>3.125E-2</v>
      </c>
      <c r="J40" s="11">
        <v>4</v>
      </c>
      <c r="K40" s="11">
        <v>80.16</v>
      </c>
      <c r="L40" s="16">
        <f t="shared" si="5"/>
        <v>26.72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>
        <v>45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1300</v>
      </c>
      <c r="F41" s="8" t="s">
        <v>42</v>
      </c>
      <c r="G41" s="9">
        <v>1.0263888888888888</v>
      </c>
      <c r="H41" s="9">
        <v>1.0576388888888888</v>
      </c>
      <c r="I41" s="10">
        <f t="shared" si="4"/>
        <v>3.125E-2</v>
      </c>
      <c r="J41" s="11">
        <v>4</v>
      </c>
      <c r="K41" s="11">
        <v>80.16</v>
      </c>
      <c r="L41" s="16">
        <f t="shared" si="5"/>
        <v>26.72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>
        <v>45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1301</v>
      </c>
      <c r="F42" s="8" t="s">
        <v>42</v>
      </c>
      <c r="G42" s="9">
        <v>1.03125</v>
      </c>
      <c r="H42" s="9">
        <v>1.0625</v>
      </c>
      <c r="I42" s="10">
        <f t="shared" si="4"/>
        <v>3.125E-2</v>
      </c>
      <c r="J42" s="11">
        <v>4</v>
      </c>
      <c r="K42" s="11">
        <v>80.16</v>
      </c>
      <c r="L42" s="16">
        <f t="shared" si="5"/>
        <v>26.72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>
        <v>45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1302</v>
      </c>
      <c r="F43" s="8" t="s">
        <v>42</v>
      </c>
      <c r="G43" s="9">
        <v>0.82847222222222228</v>
      </c>
      <c r="H43" s="9">
        <v>0.87361111111111112</v>
      </c>
      <c r="I43" s="10">
        <f t="shared" si="4"/>
        <v>4.513888888888884E-2</v>
      </c>
      <c r="J43" s="11">
        <v>4</v>
      </c>
      <c r="K43" s="11">
        <v>92.46</v>
      </c>
      <c r="L43" s="16">
        <f>IFERROR(((K43/(J43*I43)/24)),"0")</f>
        <v>21.3369230769231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/>
      <c r="AA43" s="11"/>
      <c r="AB43" s="11"/>
      <c r="AC43" s="11"/>
      <c r="AD43" s="11"/>
      <c r="AE43" s="11"/>
      <c r="AF43" s="11"/>
      <c r="AG43" s="11">
        <f>65/4</f>
        <v>16.25</v>
      </c>
      <c r="AH43" s="11">
        <f>65/4</f>
        <v>16.25</v>
      </c>
      <c r="AI43" s="11">
        <f>65/4</f>
        <v>16.25</v>
      </c>
      <c r="AJ43" s="11">
        <f>65/4</f>
        <v>16.25</v>
      </c>
      <c r="AK43" s="11"/>
      <c r="AL43" s="14"/>
    </row>
    <row r="44" spans="2:38" ht="25.05" customHeight="1">
      <c r="B44" s="13"/>
      <c r="C44" s="29"/>
      <c r="D44" s="30"/>
      <c r="E44" s="19" t="s">
        <v>1303</v>
      </c>
      <c r="F44" s="8" t="s">
        <v>42</v>
      </c>
      <c r="G44" s="9">
        <v>0.875</v>
      </c>
      <c r="H44" s="9">
        <v>0.91180555555555554</v>
      </c>
      <c r="I44" s="10">
        <f t="shared" si="4"/>
        <v>3.6805555555555536E-2</v>
      </c>
      <c r="J44" s="11">
        <v>4</v>
      </c>
      <c r="K44" s="11">
        <v>94.74</v>
      </c>
      <c r="L44" s="16">
        <f>IFERROR(((K44/(J44*I44)/24)),"0")</f>
        <v>26.813207547169824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/>
      <c r="AD44" s="11"/>
      <c r="AE44" s="11"/>
      <c r="AF44" s="11"/>
      <c r="AG44" s="11">
        <f>53/4</f>
        <v>13.25</v>
      </c>
      <c r="AH44" s="11">
        <f>53/4</f>
        <v>13.25</v>
      </c>
      <c r="AI44" s="11">
        <f>53/4</f>
        <v>13.25</v>
      </c>
      <c r="AJ44" s="11">
        <f>53/4</f>
        <v>13.25</v>
      </c>
      <c r="AK44" s="11"/>
      <c r="AL44" s="14"/>
    </row>
    <row r="45" spans="2:38" ht="25.05" customHeight="1">
      <c r="B45" s="13"/>
      <c r="C45" s="29"/>
      <c r="D45" s="30"/>
      <c r="E45" s="19" t="s">
        <v>1304</v>
      </c>
      <c r="F45" s="8" t="s">
        <v>42</v>
      </c>
      <c r="G45" s="9">
        <v>0.9243055555555556</v>
      </c>
      <c r="H45" s="9">
        <v>0.96527777777777779</v>
      </c>
      <c r="I45" s="10">
        <f t="shared" si="4"/>
        <v>4.0972222222222188E-2</v>
      </c>
      <c r="J45" s="11">
        <v>4</v>
      </c>
      <c r="K45" s="11">
        <v>90.16</v>
      </c>
      <c r="L45" s="16">
        <f>IFERROR(((K45/(J45*I45)/24)),"0")</f>
        <v>22.922033898305102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/>
      <c r="AA45" s="11"/>
      <c r="AB45" s="11"/>
      <c r="AC45" s="11"/>
      <c r="AD45" s="11"/>
      <c r="AE45" s="11"/>
      <c r="AF45" s="11"/>
      <c r="AG45" s="11">
        <f>59/4</f>
        <v>14.75</v>
      </c>
      <c r="AH45" s="11">
        <f>59/4</f>
        <v>14.75</v>
      </c>
      <c r="AI45" s="11">
        <f>59/4</f>
        <v>14.75</v>
      </c>
      <c r="AJ45" s="11">
        <f>59/4</f>
        <v>14.75</v>
      </c>
      <c r="AK45" s="11"/>
      <c r="AL45" s="14"/>
    </row>
    <row r="46" spans="2:38" ht="25.05" customHeight="1">
      <c r="B46" s="13"/>
      <c r="C46" s="29"/>
      <c r="D46" s="30"/>
      <c r="E46" s="19"/>
      <c r="F46" s="8" t="s">
        <v>42</v>
      </c>
      <c r="G46" s="9"/>
      <c r="H46" s="9"/>
      <c r="I46" s="10"/>
      <c r="J46" s="11"/>
      <c r="K46" s="11"/>
      <c r="L46" s="16"/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 t="s">
        <v>1175</v>
      </c>
      <c r="E47" s="19" t="s">
        <v>1305</v>
      </c>
      <c r="F47" s="8" t="s">
        <v>42</v>
      </c>
      <c r="G47" s="9">
        <v>0.85416666666666663</v>
      </c>
      <c r="H47" s="9">
        <v>0.85763888888888884</v>
      </c>
      <c r="I47" s="10">
        <f t="shared" si="4"/>
        <v>3.4722222222222099E-3</v>
      </c>
      <c r="J47" s="11">
        <v>1</v>
      </c>
      <c r="K47" s="11">
        <f>3.85*8</f>
        <v>30.8</v>
      </c>
      <c r="L47" s="16">
        <f t="shared" si="5"/>
        <v>369.60000000000133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5</v>
      </c>
      <c r="W47" s="12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1306</v>
      </c>
      <c r="F48" s="8" t="s">
        <v>42</v>
      </c>
      <c r="G48" s="9">
        <v>0.89027777777777772</v>
      </c>
      <c r="H48" s="9">
        <v>0.94513888888888886</v>
      </c>
      <c r="I48" s="10">
        <f t="shared" si="4"/>
        <v>5.4861111111111138E-2</v>
      </c>
      <c r="J48" s="11">
        <v>2</v>
      </c>
      <c r="K48" s="11">
        <v>89.73</v>
      </c>
      <c r="L48" s="16">
        <f t="shared" si="5"/>
        <v>34.074683544303781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/>
      <c r="X48" s="11"/>
      <c r="Y48" s="11">
        <v>79</v>
      </c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1307</v>
      </c>
      <c r="F49" s="8" t="s">
        <v>42</v>
      </c>
      <c r="G49" s="9">
        <v>0.89583333333333337</v>
      </c>
      <c r="H49" s="9">
        <v>0.90694444444444444</v>
      </c>
      <c r="I49" s="10">
        <f t="shared" si="4"/>
        <v>1.1111111111111072E-2</v>
      </c>
      <c r="J49" s="11">
        <v>3</v>
      </c>
      <c r="K49" s="11">
        <v>82.14</v>
      </c>
      <c r="L49" s="16">
        <f t="shared" si="5"/>
        <v>102.67500000000037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>
        <v>16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1308</v>
      </c>
      <c r="F50" s="8" t="s">
        <v>42</v>
      </c>
      <c r="G50" s="9">
        <v>0.89583333333333337</v>
      </c>
      <c r="H50" s="9">
        <v>0.90763888888888888</v>
      </c>
      <c r="I50" s="10">
        <f t="shared" si="4"/>
        <v>1.1805555555555514E-2</v>
      </c>
      <c r="J50" s="11">
        <v>3</v>
      </c>
      <c r="K50" s="11">
        <v>82.08</v>
      </c>
      <c r="L50" s="16">
        <f t="shared" si="5"/>
        <v>96.56470588235328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/>
      <c r="AD50" s="11">
        <v>17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1309</v>
      </c>
      <c r="F51" s="8"/>
      <c r="G51" s="9">
        <v>0.91736111111111107</v>
      </c>
      <c r="H51" s="9">
        <v>0.9291666666666667</v>
      </c>
      <c r="I51" s="10">
        <f t="shared" si="4"/>
        <v>1.1805555555555625E-2</v>
      </c>
      <c r="J51" s="11">
        <v>3</v>
      </c>
      <c r="K51" s="11">
        <v>80.41</v>
      </c>
      <c r="L51" s="16">
        <f>IFERROR(((K51/(J51*I51)/24)),"0")</f>
        <v>94.59999999999944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/>
      <c r="AB51" s="11">
        <v>17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1310</v>
      </c>
      <c r="F52" s="8"/>
      <c r="G52" s="9">
        <v>0.91874999999999996</v>
      </c>
      <c r="H52" s="9">
        <v>0.9291666666666667</v>
      </c>
      <c r="I52" s="10">
        <f t="shared" si="4"/>
        <v>1.0416666666666741E-2</v>
      </c>
      <c r="J52" s="11">
        <v>3</v>
      </c>
      <c r="K52" s="11">
        <v>80.459999999999994</v>
      </c>
      <c r="L52" s="16">
        <f>IFERROR(((K52/(J52*I52)/24)),"0")</f>
        <v>107.27999999999923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/>
      <c r="AC52" s="11"/>
      <c r="AD52" s="11">
        <v>15</v>
      </c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1311</v>
      </c>
      <c r="F53" s="8" t="s">
        <v>42</v>
      </c>
      <c r="G53" s="9">
        <v>0.9375</v>
      </c>
      <c r="H53" s="9">
        <v>0.94444444444444442</v>
      </c>
      <c r="I53" s="10">
        <f t="shared" si="4"/>
        <v>6.9444444444444198E-3</v>
      </c>
      <c r="J53" s="11">
        <v>3</v>
      </c>
      <c r="K53" s="11">
        <v>97.2</v>
      </c>
      <c r="L53" s="16">
        <f t="shared" si="5"/>
        <v>194.40000000000069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/>
      <c r="AB53" s="11">
        <v>10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1312</v>
      </c>
      <c r="F54" s="8" t="s">
        <v>42</v>
      </c>
      <c r="G54" s="9">
        <v>0.94027777777777777</v>
      </c>
      <c r="H54" s="9">
        <v>0.94722222222222219</v>
      </c>
      <c r="I54" s="10">
        <f t="shared" si="4"/>
        <v>6.9444444444444198E-3</v>
      </c>
      <c r="J54" s="11">
        <v>3</v>
      </c>
      <c r="K54" s="11">
        <v>97.63</v>
      </c>
      <c r="L54" s="16">
        <f t="shared" si="5"/>
        <v>195.26000000000067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/>
      <c r="AD54" s="11">
        <v>10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1313</v>
      </c>
      <c r="F55" s="8"/>
      <c r="G55" s="9">
        <v>0.94791666666666663</v>
      </c>
      <c r="H55" s="9">
        <v>0.95416666666666672</v>
      </c>
      <c r="I55" s="10">
        <f t="shared" si="4"/>
        <v>6.2500000000000888E-3</v>
      </c>
      <c r="J55" s="11">
        <v>3</v>
      </c>
      <c r="K55" s="11">
        <v>99.19</v>
      </c>
      <c r="L55" s="16">
        <f>IFERROR(((K55/(J55*I55)/24)),"0")</f>
        <v>220.42222222221906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/>
      <c r="AB55" s="11">
        <v>9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1314</v>
      </c>
      <c r="F56" s="8"/>
      <c r="G56" s="9">
        <v>0.95138888888888884</v>
      </c>
      <c r="H56" s="9">
        <v>0.95902777777777781</v>
      </c>
      <c r="I56" s="10">
        <f t="shared" si="4"/>
        <v>7.6388888888889728E-3</v>
      </c>
      <c r="J56" s="11">
        <v>3</v>
      </c>
      <c r="K56" s="11">
        <v>99.19</v>
      </c>
      <c r="L56" s="16">
        <f>IFERROR(((K56/(J56*I56)/24)),"0")</f>
        <v>180.34545454545255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/>
      <c r="AD56" s="11">
        <v>11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/>
      <c r="F57" s="8" t="s">
        <v>42</v>
      </c>
      <c r="G57" s="9"/>
      <c r="H57" s="9"/>
      <c r="I57" s="10"/>
      <c r="J57" s="11"/>
      <c r="K57" s="11"/>
      <c r="L57" s="16"/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 t="s">
        <v>1004</v>
      </c>
      <c r="E58" s="19" t="s">
        <v>1145</v>
      </c>
      <c r="F58" s="8" t="s">
        <v>42</v>
      </c>
      <c r="G58" s="9">
        <v>3.4722222222222224E-2</v>
      </c>
      <c r="H58" s="9">
        <v>6.25E-2</v>
      </c>
      <c r="I58" s="10">
        <f t="shared" si="4"/>
        <v>2.7777777777777776E-2</v>
      </c>
      <c r="J58" s="11">
        <v>4</v>
      </c>
      <c r="K58" s="11">
        <v>80</v>
      </c>
      <c r="L58" s="16">
        <f t="shared" si="5"/>
        <v>30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>
        <v>40</v>
      </c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1146</v>
      </c>
      <c r="F59" s="8" t="s">
        <v>42</v>
      </c>
      <c r="G59" s="9">
        <v>3.9583333333333331E-2</v>
      </c>
      <c r="H59" s="9">
        <v>6.7361111111111108E-2</v>
      </c>
      <c r="I59" s="10">
        <f t="shared" si="4"/>
        <v>2.7777777777777776E-2</v>
      </c>
      <c r="J59" s="11">
        <v>4</v>
      </c>
      <c r="K59" s="11">
        <v>80</v>
      </c>
      <c r="L59" s="16">
        <f t="shared" si="5"/>
        <v>30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>
        <v>40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1147</v>
      </c>
      <c r="F60" s="8" t="s">
        <v>42</v>
      </c>
      <c r="G60" s="9">
        <v>6.3888888888888884E-2</v>
      </c>
      <c r="H60" s="9">
        <v>9.166666666666666E-2</v>
      </c>
      <c r="I60" s="10">
        <f t="shared" si="4"/>
        <v>2.7777777777777776E-2</v>
      </c>
      <c r="J60" s="11">
        <v>4</v>
      </c>
      <c r="K60" s="11">
        <v>32</v>
      </c>
      <c r="L60" s="16">
        <f t="shared" si="5"/>
        <v>12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>
        <v>40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1148</v>
      </c>
      <c r="F61" s="14"/>
      <c r="G61" s="9">
        <v>6.3888888888888884E-2</v>
      </c>
      <c r="H61" s="9">
        <v>9.166666666666666E-2</v>
      </c>
      <c r="I61" s="10">
        <f t="shared" si="4"/>
        <v>2.7777777777777776E-2</v>
      </c>
      <c r="J61" s="11">
        <v>4</v>
      </c>
      <c r="K61" s="11">
        <v>48</v>
      </c>
      <c r="L61" s="16">
        <f>IFERROR(((K61/(J61*I61)/24)),"0")</f>
        <v>18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>
        <v>40</v>
      </c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1149</v>
      </c>
      <c r="F62" s="8" t="s">
        <v>42</v>
      </c>
      <c r="G62" s="9">
        <v>7.3611111111111113E-2</v>
      </c>
      <c r="H62" s="9">
        <v>0.10138888888888889</v>
      </c>
      <c r="I62" s="10">
        <f t="shared" ref="I62:I78" si="6">H62-G62</f>
        <v>2.7777777777777776E-2</v>
      </c>
      <c r="J62" s="11">
        <v>4</v>
      </c>
      <c r="K62" s="11">
        <v>80</v>
      </c>
      <c r="L62" s="16">
        <f t="shared" ref="L62:L77" si="7">IFERROR(((K62/(J62*I62)/24)),"0")</f>
        <v>30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>
        <v>40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1150</v>
      </c>
      <c r="F63" s="8" t="s">
        <v>42</v>
      </c>
      <c r="G63" s="9">
        <v>7.7777777777777779E-2</v>
      </c>
      <c r="H63" s="9">
        <v>0.10555555555555556</v>
      </c>
      <c r="I63" s="10">
        <f t="shared" si="6"/>
        <v>2.7777777777777776E-2</v>
      </c>
      <c r="J63" s="11">
        <v>4</v>
      </c>
      <c r="K63" s="11">
        <v>64</v>
      </c>
      <c r="L63" s="16">
        <f t="shared" si="7"/>
        <v>24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/>
      <c r="Y63" s="11">
        <v>40</v>
      </c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1151</v>
      </c>
      <c r="F64" s="8" t="s">
        <v>42</v>
      </c>
      <c r="G64" s="9">
        <v>7.7777777777777779E-2</v>
      </c>
      <c r="H64" s="9">
        <v>0.10555555555555556</v>
      </c>
      <c r="I64" s="10">
        <f t="shared" si="6"/>
        <v>2.7777777777777776E-2</v>
      </c>
      <c r="J64" s="11">
        <v>4</v>
      </c>
      <c r="K64" s="11">
        <v>16</v>
      </c>
      <c r="L64" s="16">
        <f t="shared" si="7"/>
        <v>6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>
        <v>40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1152</v>
      </c>
      <c r="F65" s="8" t="s">
        <v>42</v>
      </c>
      <c r="G65" s="9">
        <v>9.5138888888888884E-2</v>
      </c>
      <c r="H65" s="9">
        <v>0.12291666666666666</v>
      </c>
      <c r="I65" s="10">
        <f t="shared" si="6"/>
        <v>2.7777777777777776E-2</v>
      </c>
      <c r="J65" s="11">
        <v>4</v>
      </c>
      <c r="K65" s="11">
        <v>80</v>
      </c>
      <c r="L65" s="16">
        <f t="shared" si="7"/>
        <v>30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/>
      <c r="Y65" s="11"/>
      <c r="Z65" s="11"/>
      <c r="AA65" s="11">
        <v>40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1153</v>
      </c>
      <c r="F66" s="8" t="s">
        <v>42</v>
      </c>
      <c r="G66" s="9">
        <v>0.11041666666666666</v>
      </c>
      <c r="H66" s="9">
        <v>0.13819444444444445</v>
      </c>
      <c r="I66" s="10">
        <f t="shared" si="6"/>
        <v>2.777777777777779E-2</v>
      </c>
      <c r="J66" s="11">
        <v>4</v>
      </c>
      <c r="K66" s="11">
        <v>80</v>
      </c>
      <c r="L66" s="16">
        <f t="shared" si="7"/>
        <v>29.999999999999986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>
        <v>40</v>
      </c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1154</v>
      </c>
      <c r="F67" s="8" t="s">
        <v>42</v>
      </c>
      <c r="G67" s="9">
        <v>0.12986111111111112</v>
      </c>
      <c r="H67" s="9">
        <v>0.15763888888888888</v>
      </c>
      <c r="I67" s="10">
        <f t="shared" si="6"/>
        <v>2.7777777777777762E-2</v>
      </c>
      <c r="J67" s="11">
        <v>4</v>
      </c>
      <c r="K67" s="11">
        <v>16</v>
      </c>
      <c r="L67" s="16">
        <f t="shared" si="7"/>
        <v>6.0000000000000036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2</v>
      </c>
      <c r="X67" s="11"/>
      <c r="Y67" s="11"/>
      <c r="Z67" s="11">
        <v>40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1155</v>
      </c>
      <c r="F68" s="8" t="s">
        <v>42</v>
      </c>
      <c r="G68" s="9">
        <v>0.12986111111111112</v>
      </c>
      <c r="H68" s="9">
        <v>0.15763888888888888</v>
      </c>
      <c r="I68" s="10">
        <f t="shared" si="6"/>
        <v>2.7777777777777762E-2</v>
      </c>
      <c r="J68" s="11">
        <v>4</v>
      </c>
      <c r="K68" s="11">
        <v>64</v>
      </c>
      <c r="L68" s="16">
        <f t="shared" si="7"/>
        <v>24.000000000000014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>
        <v>40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1156</v>
      </c>
      <c r="F69" s="8" t="s">
        <v>42</v>
      </c>
      <c r="G69" s="9">
        <v>0.14444444444444443</v>
      </c>
      <c r="H69" s="9">
        <v>0.17222222222222222</v>
      </c>
      <c r="I69" s="10">
        <f t="shared" si="6"/>
        <v>2.777777777777779E-2</v>
      </c>
      <c r="J69" s="11">
        <v>4</v>
      </c>
      <c r="K69" s="11">
        <v>80</v>
      </c>
      <c r="L69" s="16">
        <f t="shared" si="7"/>
        <v>29.999999999999986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2</v>
      </c>
      <c r="X69" s="11"/>
      <c r="Y69" s="11">
        <v>40</v>
      </c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1157</v>
      </c>
      <c r="F70" s="8" t="s">
        <v>42</v>
      </c>
      <c r="G70" s="9">
        <v>0.15972222222222221</v>
      </c>
      <c r="H70" s="9">
        <v>0.1875</v>
      </c>
      <c r="I70" s="10">
        <f t="shared" si="6"/>
        <v>2.777777777777779E-2</v>
      </c>
      <c r="J70" s="11">
        <v>4</v>
      </c>
      <c r="K70" s="11">
        <v>48</v>
      </c>
      <c r="L70" s="16">
        <f>IFERROR(((K70/(J70*I70)/24)),"0")</f>
        <v>17.999999999999993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/>
      <c r="AA70" s="11">
        <v>40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1158</v>
      </c>
      <c r="F71" s="8" t="s">
        <v>42</v>
      </c>
      <c r="G71" s="9">
        <v>0.15972222222222221</v>
      </c>
      <c r="H71" s="9">
        <v>0.1875</v>
      </c>
      <c r="I71" s="10">
        <f t="shared" si="6"/>
        <v>2.777777777777779E-2</v>
      </c>
      <c r="J71" s="11">
        <v>4</v>
      </c>
      <c r="K71" s="11">
        <v>32</v>
      </c>
      <c r="L71" s="16">
        <f>IFERROR(((K71/(J71*I71)/24)),"0")</f>
        <v>11.999999999999995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1"/>
      <c r="Y71" s="11"/>
      <c r="Z71" s="11"/>
      <c r="AA71" s="11">
        <v>40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1159</v>
      </c>
      <c r="F72" s="8" t="s">
        <v>42</v>
      </c>
      <c r="G72" s="9">
        <v>0.1736111111111111</v>
      </c>
      <c r="H72" s="9">
        <v>0.2013888888888889</v>
      </c>
      <c r="I72" s="10">
        <f>H72-G72</f>
        <v>2.777777777777779E-2</v>
      </c>
      <c r="J72" s="11">
        <v>4</v>
      </c>
      <c r="K72" s="11">
        <v>80</v>
      </c>
      <c r="L72" s="16">
        <f>IFERROR(((K72/(J72*I72)/24)),"0")</f>
        <v>29.999999999999986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2</v>
      </c>
      <c r="W72" s="12"/>
      <c r="X72" s="11"/>
      <c r="Y72" s="11"/>
      <c r="Z72" s="11">
        <v>40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1160</v>
      </c>
      <c r="F73" s="8" t="s">
        <v>42</v>
      </c>
      <c r="G73" s="9">
        <v>0.17916666666666667</v>
      </c>
      <c r="H73" s="9">
        <v>0.20694444444444443</v>
      </c>
      <c r="I73" s="10">
        <f>H73-G73</f>
        <v>2.7777777777777762E-2</v>
      </c>
      <c r="J73" s="11">
        <v>4</v>
      </c>
      <c r="K73" s="11">
        <v>38.4</v>
      </c>
      <c r="L73" s="16">
        <f>IFERROR(((K73/(J73*I73)/24)),"0")</f>
        <v>14.400000000000007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>
        <v>40</v>
      </c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1315</v>
      </c>
      <c r="F74" s="8" t="s">
        <v>42</v>
      </c>
      <c r="G74" s="9">
        <v>0.97430555555555554</v>
      </c>
      <c r="H74" s="9">
        <v>0.9819444444444444</v>
      </c>
      <c r="I74" s="10">
        <f>H74-G74</f>
        <v>7.6388888888888618E-3</v>
      </c>
      <c r="J74" s="11">
        <v>3</v>
      </c>
      <c r="K74" s="11">
        <v>56.29</v>
      </c>
      <c r="L74" s="16">
        <f t="shared" si="7"/>
        <v>102.34545454545491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/>
      <c r="Y74" s="11"/>
      <c r="Z74" s="11"/>
      <c r="AA74" s="11"/>
      <c r="AB74" s="11"/>
      <c r="AC74" s="11">
        <v>11</v>
      </c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1127</v>
      </c>
      <c r="F75" s="8" t="s">
        <v>42</v>
      </c>
      <c r="G75" s="9">
        <v>0.8520833333333333</v>
      </c>
      <c r="H75" s="9">
        <v>0.8666666666666667</v>
      </c>
      <c r="I75" s="10">
        <f t="shared" si="6"/>
        <v>1.4583333333333393E-2</v>
      </c>
      <c r="J75" s="11">
        <v>4</v>
      </c>
      <c r="K75" s="11">
        <v>134.76</v>
      </c>
      <c r="L75" s="16">
        <f t="shared" si="7"/>
        <v>96.257142857142469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>
        <f>21/3</f>
        <v>7</v>
      </c>
      <c r="Y75" s="11">
        <v>7</v>
      </c>
      <c r="Z75" s="11">
        <v>7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1128</v>
      </c>
      <c r="F76" s="8" t="s">
        <v>42</v>
      </c>
      <c r="G76" s="9">
        <v>0.85833333333333328</v>
      </c>
      <c r="H76" s="9">
        <v>0.88611111111111107</v>
      </c>
      <c r="I76" s="10">
        <f t="shared" si="6"/>
        <v>2.777777777777779E-2</v>
      </c>
      <c r="J76" s="11">
        <v>4</v>
      </c>
      <c r="K76" s="11">
        <v>133.18</v>
      </c>
      <c r="L76" s="16">
        <f t="shared" si="7"/>
        <v>49.942499999999974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2</v>
      </c>
      <c r="W76" s="12"/>
      <c r="X76" s="11"/>
      <c r="Y76" s="12">
        <f>40/3</f>
        <v>13.333333333333334</v>
      </c>
      <c r="Z76" s="12">
        <f>40/3</f>
        <v>13.333333333333334</v>
      </c>
      <c r="AA76" s="12">
        <f>40/3</f>
        <v>13.333333333333334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1129</v>
      </c>
      <c r="F77" s="8" t="s">
        <v>42</v>
      </c>
      <c r="G77" s="9">
        <v>0.87777777777777777</v>
      </c>
      <c r="H77" s="9">
        <v>0.90069444444444446</v>
      </c>
      <c r="I77" s="10">
        <f t="shared" si="6"/>
        <v>2.2916666666666696E-2</v>
      </c>
      <c r="J77" s="11">
        <v>4</v>
      </c>
      <c r="K77" s="11">
        <v>130.36000000000001</v>
      </c>
      <c r="L77" s="16">
        <f t="shared" si="7"/>
        <v>59.254545454545386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>
        <f>33/3</f>
        <v>11</v>
      </c>
      <c r="Y77" s="11"/>
      <c r="Z77" s="11">
        <v>11</v>
      </c>
      <c r="AA77" s="11">
        <v>11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1130</v>
      </c>
      <c r="F78" s="8" t="s">
        <v>42</v>
      </c>
      <c r="G78" s="9">
        <v>0.89097222222222228</v>
      </c>
      <c r="H78" s="9">
        <v>0.90972222222222221</v>
      </c>
      <c r="I78" s="10">
        <f t="shared" si="6"/>
        <v>1.8749999999999933E-2</v>
      </c>
      <c r="J78" s="11">
        <v>4</v>
      </c>
      <c r="K78" s="11">
        <v>135.9</v>
      </c>
      <c r="L78" s="16">
        <f>IFERROR(((K78/(J78*I78)/24)),"0")</f>
        <v>75.50000000000027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>
        <f>27/3</f>
        <v>9</v>
      </c>
      <c r="Z78" s="11">
        <f>27/3</f>
        <v>9</v>
      </c>
      <c r="AA78" s="11">
        <f>27/3</f>
        <v>9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1131</v>
      </c>
      <c r="F79" s="8" t="s">
        <v>42</v>
      </c>
      <c r="G79" s="9">
        <v>0.90347222222222223</v>
      </c>
      <c r="H79" s="9">
        <v>0.92013888888888884</v>
      </c>
      <c r="I79" s="10">
        <f t="shared" ref="I79" si="8">H79-G79</f>
        <v>1.6666666666666607E-2</v>
      </c>
      <c r="J79" s="11">
        <v>4</v>
      </c>
      <c r="K79" s="11">
        <v>138.41999999999999</v>
      </c>
      <c r="L79" s="16">
        <f t="shared" ref="L79" si="9">IFERROR(((K79/(J79*I79)/24)),"0")</f>
        <v>86.512500000000287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>
        <f>24/3</f>
        <v>8</v>
      </c>
      <c r="Y79" s="11">
        <f>24/3</f>
        <v>8</v>
      </c>
      <c r="Z79" s="11">
        <f>24/3</f>
        <v>8</v>
      </c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/>
      <c r="F80" s="8" t="s">
        <v>42</v>
      </c>
      <c r="G80" s="9"/>
      <c r="H80" s="9"/>
      <c r="I80" s="10"/>
      <c r="J80" s="11"/>
      <c r="K80" s="11"/>
      <c r="L80" s="16"/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1:38" s="28" customFormat="1" ht="25.5" customHeight="1">
      <c r="A81" s="2"/>
      <c r="B81" s="32"/>
      <c r="C81" s="33"/>
      <c r="D81" s="34"/>
      <c r="E81" s="35"/>
      <c r="F81" s="35"/>
      <c r="G81" s="36"/>
      <c r="H81" s="36"/>
      <c r="I81" s="37"/>
      <c r="J81" s="38"/>
      <c r="K81" s="38">
        <f t="shared" ref="K81:AL81" si="10">SUM(K27:K80)</f>
        <v>3894.15</v>
      </c>
      <c r="L81" s="39">
        <f t="shared" si="10"/>
        <v>2861.1582188253947</v>
      </c>
      <c r="M81" s="38">
        <f t="shared" si="10"/>
        <v>0</v>
      </c>
      <c r="N81" s="38">
        <f t="shared" si="10"/>
        <v>0</v>
      </c>
      <c r="O81" s="38">
        <f t="shared" si="10"/>
        <v>0</v>
      </c>
      <c r="P81" s="38">
        <f t="shared" si="10"/>
        <v>0</v>
      </c>
      <c r="Q81" s="38">
        <f t="shared" si="10"/>
        <v>0</v>
      </c>
      <c r="R81" s="38">
        <f t="shared" si="10"/>
        <v>0</v>
      </c>
      <c r="S81" s="38">
        <f t="shared" si="10"/>
        <v>0</v>
      </c>
      <c r="T81" s="38">
        <f t="shared" si="10"/>
        <v>0</v>
      </c>
      <c r="U81" s="38">
        <f t="shared" si="10"/>
        <v>0</v>
      </c>
      <c r="V81" s="38">
        <f t="shared" si="10"/>
        <v>53</v>
      </c>
      <c r="W81" s="38">
        <f t="shared" si="10"/>
        <v>48</v>
      </c>
      <c r="X81" s="38">
        <f t="shared" si="10"/>
        <v>321</v>
      </c>
      <c r="Y81" s="38">
        <f t="shared" si="10"/>
        <v>366.33333333333331</v>
      </c>
      <c r="Z81" s="38">
        <f t="shared" si="10"/>
        <v>343.33333333333331</v>
      </c>
      <c r="AA81" s="38">
        <f t="shared" si="10"/>
        <v>283.33333333333331</v>
      </c>
      <c r="AB81" s="38">
        <f t="shared" si="10"/>
        <v>182</v>
      </c>
      <c r="AC81" s="38">
        <f t="shared" si="10"/>
        <v>76</v>
      </c>
      <c r="AD81" s="38">
        <f t="shared" si="10"/>
        <v>149</v>
      </c>
      <c r="AE81" s="38">
        <f t="shared" si="10"/>
        <v>0</v>
      </c>
      <c r="AF81" s="38">
        <f t="shared" si="10"/>
        <v>0</v>
      </c>
      <c r="AG81" s="38">
        <f t="shared" si="10"/>
        <v>44.25</v>
      </c>
      <c r="AH81" s="38">
        <f t="shared" si="10"/>
        <v>44.25</v>
      </c>
      <c r="AI81" s="38">
        <f t="shared" si="10"/>
        <v>44.25</v>
      </c>
      <c r="AJ81" s="38">
        <f t="shared" si="10"/>
        <v>44.25</v>
      </c>
      <c r="AK81" s="38">
        <f t="shared" si="10"/>
        <v>0</v>
      </c>
      <c r="AL81" s="38">
        <f t="shared" si="10"/>
        <v>0</v>
      </c>
    </row>
    <row r="82" spans="1:38" ht="38.1" customHeight="1">
      <c r="B82" s="40" t="s">
        <v>45</v>
      </c>
      <c r="C82" s="41"/>
      <c r="D82" s="41"/>
      <c r="E82" s="41"/>
      <c r="F82" s="41"/>
      <c r="G82" s="41"/>
      <c r="H82" s="41"/>
      <c r="I82" s="41"/>
      <c r="J82" s="41"/>
      <c r="K82" s="42">
        <f>K23+K26+K81</f>
        <v>5215.3100000000004</v>
      </c>
      <c r="L82" s="42">
        <f>L23+L26+L81</f>
        <v>3789.4732042243431</v>
      </c>
      <c r="M82" s="43">
        <f t="shared" ref="M82:AL82" si="11">(M23+M26+M81)/(480-15-30)</f>
        <v>0.52183908045977012</v>
      </c>
      <c r="N82" s="43">
        <f t="shared" si="11"/>
        <v>0</v>
      </c>
      <c r="O82" s="43">
        <f t="shared" si="11"/>
        <v>0</v>
      </c>
      <c r="P82" s="43">
        <f t="shared" si="11"/>
        <v>0</v>
      </c>
      <c r="Q82" s="43">
        <f t="shared" si="11"/>
        <v>0</v>
      </c>
      <c r="R82" s="43">
        <f t="shared" si="11"/>
        <v>0</v>
      </c>
      <c r="S82" s="43">
        <f t="shared" si="11"/>
        <v>1.5517241379310345</v>
      </c>
      <c r="T82" s="43">
        <f t="shared" si="11"/>
        <v>0</v>
      </c>
      <c r="U82" s="43">
        <f t="shared" si="11"/>
        <v>0</v>
      </c>
      <c r="V82" s="43">
        <f t="shared" si="11"/>
        <v>0.12183908045977011</v>
      </c>
      <c r="W82" s="43">
        <f t="shared" si="11"/>
        <v>0.1103448275862069</v>
      </c>
      <c r="X82" s="43">
        <f t="shared" si="11"/>
        <v>0.73793103448275865</v>
      </c>
      <c r="Y82" s="43">
        <f t="shared" si="11"/>
        <v>0.84214559386973176</v>
      </c>
      <c r="Z82" s="43">
        <f t="shared" si="11"/>
        <v>0.78927203065134099</v>
      </c>
      <c r="AA82" s="43">
        <f t="shared" si="11"/>
        <v>0.65134099616858232</v>
      </c>
      <c r="AB82" s="43">
        <f t="shared" si="11"/>
        <v>0.41839080459770117</v>
      </c>
      <c r="AC82" s="43">
        <f t="shared" si="11"/>
        <v>0.17471264367816092</v>
      </c>
      <c r="AD82" s="43">
        <f t="shared" si="11"/>
        <v>0.34252873563218389</v>
      </c>
      <c r="AE82" s="43">
        <f t="shared" si="11"/>
        <v>0</v>
      </c>
      <c r="AF82" s="43">
        <f t="shared" si="11"/>
        <v>0</v>
      </c>
      <c r="AG82" s="43">
        <f t="shared" si="11"/>
        <v>0.10172413793103448</v>
      </c>
      <c r="AH82" s="43">
        <f t="shared" si="11"/>
        <v>0.10172413793103448</v>
      </c>
      <c r="AI82" s="43">
        <f t="shared" si="11"/>
        <v>0.10172413793103448</v>
      </c>
      <c r="AJ82" s="43">
        <f t="shared" si="11"/>
        <v>0.10172413793103448</v>
      </c>
      <c r="AK82" s="43">
        <f t="shared" si="11"/>
        <v>0</v>
      </c>
      <c r="AL82" s="43">
        <f t="shared" si="11"/>
        <v>0</v>
      </c>
    </row>
    <row r="83" spans="1:38" ht="25.05" customHeight="1">
      <c r="B83" s="44"/>
      <c r="C83" s="44"/>
      <c r="D83" s="44"/>
      <c r="E83" s="45"/>
      <c r="F83" s="45"/>
      <c r="G83" s="45"/>
      <c r="H83" s="45"/>
      <c r="I83" s="46"/>
      <c r="J83" s="46"/>
      <c r="K83" s="45"/>
      <c r="L83" s="47"/>
      <c r="M83" s="47"/>
      <c r="N83" s="47"/>
      <c r="O83" s="47"/>
      <c r="P83" s="47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</row>
    <row r="84" spans="1:38" ht="25.05" customHeight="1">
      <c r="B84" s="44"/>
      <c r="C84" s="44"/>
      <c r="D84" s="44"/>
      <c r="E84" s="45"/>
      <c r="F84" s="45"/>
      <c r="G84" s="45"/>
      <c r="H84" s="45"/>
      <c r="I84" s="48" t="s">
        <v>46</v>
      </c>
      <c r="J84" s="46"/>
      <c r="K84" s="45"/>
      <c r="L84" s="47"/>
      <c r="M84" s="47"/>
      <c r="N84" s="47"/>
      <c r="O84" s="47"/>
      <c r="P84" s="47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</row>
    <row r="85" spans="1:38" ht="25.05" customHeight="1">
      <c r="B85" s="44"/>
      <c r="C85" s="44"/>
      <c r="D85" s="44"/>
      <c r="E85" s="45"/>
      <c r="F85" s="45"/>
      <c r="G85" s="45"/>
      <c r="H85" s="45"/>
      <c r="I85" s="49" t="s">
        <v>47</v>
      </c>
      <c r="J85" s="9">
        <v>0</v>
      </c>
      <c r="K85" s="11">
        <v>6</v>
      </c>
      <c r="L85" s="11" t="s">
        <v>48</v>
      </c>
      <c r="M85" s="47"/>
      <c r="N85" s="14">
        <v>2</v>
      </c>
      <c r="O85" s="14"/>
      <c r="P85" s="14"/>
      <c r="Q85" s="50" t="s">
        <v>49</v>
      </c>
      <c r="R85" s="51"/>
      <c r="S85" s="45"/>
      <c r="T85" s="45"/>
      <c r="U85" s="45"/>
      <c r="V85" s="45"/>
      <c r="W85" s="45"/>
      <c r="X85" s="45"/>
      <c r="Y85" s="45"/>
      <c r="Z85" s="45"/>
      <c r="AA85" s="45"/>
      <c r="AC85" s="45"/>
      <c r="AD85" s="45"/>
      <c r="AE85" s="45"/>
      <c r="AF85" s="45"/>
      <c r="AG85" s="45"/>
      <c r="AH85" s="45"/>
    </row>
    <row r="86" spans="1:38" ht="25.05" customHeight="1">
      <c r="B86" s="44"/>
      <c r="C86" s="44"/>
      <c r="D86" s="44"/>
      <c r="E86" s="45"/>
      <c r="F86" s="45"/>
      <c r="G86" s="45"/>
      <c r="H86" s="45"/>
      <c r="I86" s="49" t="s">
        <v>50</v>
      </c>
      <c r="J86" s="9">
        <v>0</v>
      </c>
      <c r="K86" s="11">
        <v>0</v>
      </c>
      <c r="L86" s="11" t="s">
        <v>48</v>
      </c>
      <c r="M86" s="47"/>
      <c r="N86" s="14">
        <v>0</v>
      </c>
      <c r="O86" s="14"/>
      <c r="P86" s="14"/>
      <c r="Q86" s="50" t="s">
        <v>51</v>
      </c>
      <c r="R86" s="51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</row>
    <row r="87" spans="1:38" ht="25.05" customHeight="1">
      <c r="B87" s="44"/>
      <c r="C87" s="44"/>
      <c r="D87" s="44"/>
      <c r="E87" s="45"/>
      <c r="F87" s="45"/>
      <c r="G87" s="45"/>
      <c r="H87" s="45"/>
      <c r="I87" s="49" t="s">
        <v>52</v>
      </c>
      <c r="J87" s="9">
        <v>0</v>
      </c>
      <c r="K87" s="11">
        <v>12</v>
      </c>
      <c r="L87" s="11" t="s">
        <v>48</v>
      </c>
      <c r="M87" s="47"/>
      <c r="N87" s="14">
        <v>0</v>
      </c>
      <c r="O87" s="14"/>
      <c r="P87" s="14"/>
      <c r="Q87" s="50" t="s">
        <v>53</v>
      </c>
      <c r="R87" s="51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</row>
    <row r="88" spans="1:38" ht="25.05" customHeight="1">
      <c r="B88" s="44"/>
      <c r="C88" s="44"/>
      <c r="D88" s="44"/>
      <c r="E88" s="45"/>
      <c r="F88" s="45"/>
      <c r="G88" s="45"/>
      <c r="H88" s="45"/>
      <c r="I88" s="52" t="s">
        <v>54</v>
      </c>
      <c r="J88" s="53">
        <v>0</v>
      </c>
      <c r="K88" s="11">
        <v>2</v>
      </c>
      <c r="L88" s="54" t="s">
        <v>48</v>
      </c>
      <c r="M88" s="47"/>
      <c r="N88" s="14">
        <v>3</v>
      </c>
      <c r="O88" s="14"/>
      <c r="P88" s="14"/>
      <c r="Q88" s="50" t="s">
        <v>55</v>
      </c>
      <c r="R88" s="51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</row>
    <row r="89" spans="1:38" ht="25.05" customHeight="1">
      <c r="B89" s="44"/>
      <c r="C89" s="44"/>
      <c r="D89" s="44"/>
      <c r="E89" s="45"/>
      <c r="F89" s="45"/>
      <c r="G89" s="45"/>
      <c r="H89" s="45"/>
      <c r="I89" s="49" t="s">
        <v>56</v>
      </c>
      <c r="J89" s="9">
        <v>0</v>
      </c>
      <c r="K89" s="11">
        <v>20</v>
      </c>
      <c r="L89" s="11" t="s">
        <v>48</v>
      </c>
      <c r="M89" s="47"/>
      <c r="N89"/>
      <c r="O89"/>
      <c r="P89"/>
      <c r="Q89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</row>
    <row r="90" spans="1:38" ht="25.05" customHeight="1">
      <c r="B90" s="44"/>
      <c r="C90" s="44"/>
      <c r="D90" s="44"/>
      <c r="E90" s="45"/>
      <c r="F90" s="45"/>
      <c r="G90" s="45"/>
      <c r="H90" s="45"/>
      <c r="M90" s="47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</row>
    <row r="91" spans="1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316B3-DED1-4E1E-A409-B4A7E751696F}">
  <sheetPr>
    <pageSetUpPr fitToPage="1"/>
  </sheetPr>
  <dimension ref="A2:AL202"/>
  <sheetViews>
    <sheetView zoomScale="85" zoomScaleNormal="85" workbookViewId="0">
      <pane xSplit="12" ySplit="3" topLeftCell="AF10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80.44140625" style="2" customWidth="1"/>
    <col min="5" max="5" width="56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2" spans="2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2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2:38" ht="25.05" customHeight="1">
      <c r="B4" s="5" t="s">
        <v>1316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7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2:38" ht="25.05" customHeight="1">
      <c r="B5" s="13"/>
      <c r="C5" s="14"/>
      <c r="D5" s="6" t="s">
        <v>83</v>
      </c>
      <c r="E5" s="15" t="s">
        <v>627</v>
      </c>
      <c r="F5" s="55" t="s">
        <v>87</v>
      </c>
      <c r="G5" s="9">
        <v>0.29166666666666669</v>
      </c>
      <c r="H5" s="9">
        <v>0.30555555555555558</v>
      </c>
      <c r="I5" s="10">
        <f t="shared" si="0"/>
        <v>1.3888888888888895E-2</v>
      </c>
      <c r="J5" s="11">
        <v>1</v>
      </c>
      <c r="K5" s="11">
        <v>3.5</v>
      </c>
      <c r="L5" s="16">
        <f t="shared" ref="L5:L30" si="1">IFERROR(((K5/(J5*I5)/24)),"0")</f>
        <v>10.499999999999995</v>
      </c>
      <c r="M5" s="11">
        <v>20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ht="25.5" customHeight="1">
      <c r="B6" s="13"/>
      <c r="C6" s="14"/>
      <c r="D6" s="6" t="s">
        <v>1004</v>
      </c>
      <c r="E6" s="15" t="s">
        <v>1172</v>
      </c>
      <c r="F6" s="55" t="s">
        <v>87</v>
      </c>
      <c r="G6" s="9">
        <v>0.30902777777777779</v>
      </c>
      <c r="H6" s="9">
        <v>0.32291666666666669</v>
      </c>
      <c r="I6" s="10">
        <f t="shared" si="0"/>
        <v>1.3888888888888895E-2</v>
      </c>
      <c r="J6" s="11">
        <v>1</v>
      </c>
      <c r="K6" s="27">
        <v>44</v>
      </c>
      <c r="L6" s="16">
        <f t="shared" si="1"/>
        <v>131.99999999999994</v>
      </c>
      <c r="M6" s="11">
        <v>20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2:38" ht="25.05" customHeight="1">
      <c r="B7" s="13"/>
      <c r="C7" s="14"/>
      <c r="D7" s="114"/>
      <c r="E7" s="15" t="s">
        <v>1171</v>
      </c>
      <c r="F7" s="55" t="s">
        <v>87</v>
      </c>
      <c r="G7" s="9">
        <v>0.32430555555555557</v>
      </c>
      <c r="H7" s="9">
        <v>0.3298611111111111</v>
      </c>
      <c r="I7" s="10">
        <f t="shared" si="0"/>
        <v>5.5555555555555358E-3</v>
      </c>
      <c r="J7" s="11">
        <v>1</v>
      </c>
      <c r="K7" s="27">
        <v>6.8</v>
      </c>
      <c r="L7" s="16">
        <f t="shared" si="1"/>
        <v>51.000000000000178</v>
      </c>
      <c r="M7" s="11">
        <v>8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2:38" ht="25.05" customHeight="1">
      <c r="B8" s="13"/>
      <c r="C8" s="14"/>
      <c r="D8" s="30"/>
      <c r="E8" s="15" t="s">
        <v>1173</v>
      </c>
      <c r="F8" s="20">
        <v>1</v>
      </c>
      <c r="G8" s="9">
        <v>0.33333333333333331</v>
      </c>
      <c r="H8" s="9">
        <v>0.34722222222222221</v>
      </c>
      <c r="I8" s="10">
        <f t="shared" si="0"/>
        <v>1.3888888888888895E-2</v>
      </c>
      <c r="J8" s="11">
        <v>1</v>
      </c>
      <c r="K8" s="27">
        <v>32.56</v>
      </c>
      <c r="L8" s="16">
        <f t="shared" si="1"/>
        <v>97.679999999999964</v>
      </c>
      <c r="M8" s="11">
        <v>20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2:38" ht="24.75" customHeight="1">
      <c r="B9" s="13"/>
      <c r="C9" s="14"/>
      <c r="D9" s="6"/>
      <c r="E9" s="15" t="s">
        <v>1174</v>
      </c>
      <c r="F9" s="14" t="s">
        <v>1116</v>
      </c>
      <c r="G9" s="9">
        <v>0.29166666666666669</v>
      </c>
      <c r="H9" s="9">
        <v>0.34722222222222221</v>
      </c>
      <c r="I9" s="10">
        <f t="shared" si="0"/>
        <v>5.5555555555555525E-2</v>
      </c>
      <c r="J9" s="11">
        <v>6</v>
      </c>
      <c r="K9" s="27">
        <v>66.680000000000007</v>
      </c>
      <c r="L9" s="16">
        <f t="shared" si="1"/>
        <v>8.3350000000000062</v>
      </c>
      <c r="M9" s="11"/>
      <c r="N9" s="11"/>
      <c r="O9" s="11"/>
      <c r="P9" s="11"/>
      <c r="Q9" s="11"/>
      <c r="R9" s="12"/>
      <c r="S9" s="12">
        <v>80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2:38" ht="24.75" customHeight="1">
      <c r="B10" s="13"/>
      <c r="C10" s="14"/>
      <c r="D10" s="6"/>
      <c r="E10" s="15" t="s">
        <v>1012</v>
      </c>
      <c r="F10" s="130" t="s">
        <v>42</v>
      </c>
      <c r="G10" s="9">
        <v>0.29166666666666669</v>
      </c>
      <c r="H10" s="9">
        <v>0.33333333333333331</v>
      </c>
      <c r="I10" s="10">
        <f t="shared" si="0"/>
        <v>4.166666666666663E-2</v>
      </c>
      <c r="J10" s="11">
        <v>2</v>
      </c>
      <c r="K10" s="27">
        <v>253.8</v>
      </c>
      <c r="L10" s="16">
        <f t="shared" si="1"/>
        <v>126.90000000000011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2:38" ht="24.75" customHeight="1">
      <c r="B11" s="13"/>
      <c r="C11" s="14"/>
      <c r="D11" s="6"/>
      <c r="E11" s="15" t="s">
        <v>1005</v>
      </c>
      <c r="F11" s="130" t="s">
        <v>42</v>
      </c>
      <c r="G11" s="9">
        <v>0.33333333333333331</v>
      </c>
      <c r="H11" s="9">
        <v>0.375</v>
      </c>
      <c r="I11" s="10">
        <f t="shared" si="0"/>
        <v>4.1666666666666685E-2</v>
      </c>
      <c r="J11" s="11">
        <v>2</v>
      </c>
      <c r="K11" s="27">
        <v>251</v>
      </c>
      <c r="L11" s="16">
        <f t="shared" si="1"/>
        <v>125.49999999999994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2:38" ht="24.75" customHeight="1">
      <c r="B12" s="13"/>
      <c r="C12" s="14"/>
      <c r="D12" s="6" t="s">
        <v>439</v>
      </c>
      <c r="E12" s="15" t="s">
        <v>309</v>
      </c>
      <c r="F12" s="130" t="s">
        <v>310</v>
      </c>
      <c r="G12" s="9">
        <v>0.3611111111111111</v>
      </c>
      <c r="H12" s="9">
        <v>0.49305555555555558</v>
      </c>
      <c r="I12" s="10">
        <f t="shared" si="0"/>
        <v>0.13194444444444448</v>
      </c>
      <c r="J12" s="11">
        <v>4</v>
      </c>
      <c r="K12" s="27">
        <v>294</v>
      </c>
      <c r="L12" s="16">
        <f t="shared" si="1"/>
        <v>23.210526315789469</v>
      </c>
      <c r="M12" s="11"/>
      <c r="N12" s="11"/>
      <c r="O12" s="11"/>
      <c r="P12" s="11"/>
      <c r="Q12" s="11"/>
      <c r="R12" s="12"/>
      <c r="S12" s="12">
        <v>190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2:38" ht="24.75" customHeight="1">
      <c r="B13" s="13"/>
      <c r="C13" s="14"/>
      <c r="D13" s="6"/>
      <c r="E13" s="15" t="s">
        <v>1317</v>
      </c>
      <c r="F13" s="130" t="s">
        <v>42</v>
      </c>
      <c r="G13" s="9">
        <v>0.33333333333333331</v>
      </c>
      <c r="H13" s="9">
        <v>0.4861111111111111</v>
      </c>
      <c r="I13" s="10">
        <f t="shared" si="0"/>
        <v>0.15277777777777779</v>
      </c>
      <c r="J13" s="11">
        <v>4</v>
      </c>
      <c r="K13" s="27">
        <v>370</v>
      </c>
      <c r="L13" s="16">
        <f t="shared" si="1"/>
        <v>25.227272727272723</v>
      </c>
      <c r="M13" s="11"/>
      <c r="N13" s="11"/>
      <c r="O13" s="11">
        <v>220</v>
      </c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2:38" ht="24.75" customHeight="1">
      <c r="B14" s="13"/>
      <c r="C14" s="14"/>
      <c r="D14" s="6" t="s">
        <v>1167</v>
      </c>
      <c r="E14" s="18" t="s">
        <v>1318</v>
      </c>
      <c r="F14" s="130" t="s">
        <v>42</v>
      </c>
      <c r="G14" s="9">
        <v>0.36805555555555558</v>
      </c>
      <c r="H14" s="9">
        <v>0.38541666666666669</v>
      </c>
      <c r="I14" s="10">
        <f t="shared" si="0"/>
        <v>1.7361111111111105E-2</v>
      </c>
      <c r="J14" s="11">
        <v>2</v>
      </c>
      <c r="K14" s="27">
        <v>8</v>
      </c>
      <c r="L14" s="16">
        <f t="shared" si="1"/>
        <v>9.6000000000000032</v>
      </c>
      <c r="M14" s="11"/>
      <c r="N14" s="11"/>
      <c r="O14" s="11"/>
      <c r="P14" s="11"/>
      <c r="Q14" s="11"/>
      <c r="R14" s="12"/>
      <c r="S14" s="12">
        <v>25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2:38" ht="24.75" customHeight="1">
      <c r="B15" s="13"/>
      <c r="C15" s="14"/>
      <c r="D15" s="6"/>
      <c r="E15" s="15" t="s">
        <v>1319</v>
      </c>
      <c r="F15" s="130" t="s">
        <v>42</v>
      </c>
      <c r="G15" s="9">
        <v>0.38680555555555557</v>
      </c>
      <c r="H15" s="9">
        <v>0.40972222222222221</v>
      </c>
      <c r="I15" s="10">
        <f t="shared" si="0"/>
        <v>2.2916666666666641E-2</v>
      </c>
      <c r="J15" s="11">
        <v>2</v>
      </c>
      <c r="K15" s="27">
        <v>13</v>
      </c>
      <c r="L15" s="16">
        <f t="shared" si="1"/>
        <v>11.818181818181833</v>
      </c>
      <c r="M15" s="11"/>
      <c r="N15" s="11"/>
      <c r="O15" s="11"/>
      <c r="P15" s="11"/>
      <c r="Q15" s="11"/>
      <c r="R15" s="12"/>
      <c r="S15" s="12">
        <v>33</v>
      </c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2:38" ht="24.75" customHeight="1">
      <c r="B16" s="13"/>
      <c r="C16" s="14"/>
      <c r="D16" s="6"/>
      <c r="E16" s="15" t="s">
        <v>1320</v>
      </c>
      <c r="F16" s="130" t="s">
        <v>42</v>
      </c>
      <c r="G16" s="9">
        <v>0.41111111111111109</v>
      </c>
      <c r="H16" s="9">
        <v>0.4201388888888889</v>
      </c>
      <c r="I16" s="10">
        <f t="shared" si="0"/>
        <v>9.0277777777778012E-3</v>
      </c>
      <c r="J16" s="11">
        <v>2</v>
      </c>
      <c r="K16" s="27">
        <v>5</v>
      </c>
      <c r="L16" s="16">
        <f t="shared" si="1"/>
        <v>11.53846153846151</v>
      </c>
      <c r="M16" s="11"/>
      <c r="N16" s="11"/>
      <c r="O16" s="11"/>
      <c r="P16" s="11"/>
      <c r="Q16" s="11"/>
      <c r="R16" s="12"/>
      <c r="S16" s="12">
        <v>13</v>
      </c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4.75" customHeight="1">
      <c r="B17" s="13"/>
      <c r="C17" s="14"/>
      <c r="D17" s="6"/>
      <c r="E17" s="15" t="s">
        <v>1180</v>
      </c>
      <c r="F17" s="130" t="s">
        <v>42</v>
      </c>
      <c r="G17" s="9">
        <v>0.40277777777777779</v>
      </c>
      <c r="H17" s="9">
        <v>0.47222222222222221</v>
      </c>
      <c r="I17" s="10">
        <f t="shared" si="0"/>
        <v>6.944444444444442E-2</v>
      </c>
      <c r="J17" s="11">
        <v>1</v>
      </c>
      <c r="K17" s="27">
        <v>101.01</v>
      </c>
      <c r="L17" s="16">
        <f t="shared" si="1"/>
        <v>60.606000000000023</v>
      </c>
      <c r="M17" s="11">
        <v>110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4.75" customHeight="1">
      <c r="B18" s="13"/>
      <c r="C18" s="14"/>
      <c r="D18" s="6" t="s">
        <v>439</v>
      </c>
      <c r="E18" s="15" t="s">
        <v>1321</v>
      </c>
      <c r="F18" s="130" t="s">
        <v>42</v>
      </c>
      <c r="G18" s="9">
        <v>0.4236111111111111</v>
      </c>
      <c r="H18" s="9">
        <v>0.5</v>
      </c>
      <c r="I18" s="10">
        <f t="shared" si="0"/>
        <v>7.6388888888888895E-2</v>
      </c>
      <c r="J18" s="11">
        <v>2</v>
      </c>
      <c r="K18" s="27">
        <v>200.88800000000001</v>
      </c>
      <c r="L18" s="16">
        <f t="shared" si="1"/>
        <v>54.787636363636359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4.75" customHeight="1">
      <c r="B19" s="13"/>
      <c r="C19" s="14"/>
      <c r="D19" s="6"/>
      <c r="E19" s="15" t="s">
        <v>96</v>
      </c>
      <c r="F19" s="130" t="s">
        <v>42</v>
      </c>
      <c r="G19" s="9">
        <v>0.49305555555555558</v>
      </c>
      <c r="H19" s="9">
        <v>0.50694444444444442</v>
      </c>
      <c r="I19" s="10">
        <f t="shared" si="0"/>
        <v>1.388888888888884E-2</v>
      </c>
      <c r="J19" s="11">
        <v>10</v>
      </c>
      <c r="K19" s="27" t="s">
        <v>42</v>
      </c>
      <c r="L19" s="16" t="str">
        <f t="shared" si="1"/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4.75" customHeight="1">
      <c r="B20" s="13"/>
      <c r="C20" s="14"/>
      <c r="D20" s="6"/>
      <c r="E20" s="15" t="s">
        <v>104</v>
      </c>
      <c r="F20" s="130" t="s">
        <v>42</v>
      </c>
      <c r="G20" s="9">
        <v>0.50694444444444442</v>
      </c>
      <c r="H20" s="9">
        <v>0.54861111111111116</v>
      </c>
      <c r="I20" s="10">
        <f t="shared" si="0"/>
        <v>4.1666666666666741E-2</v>
      </c>
      <c r="J20" s="11">
        <v>12</v>
      </c>
      <c r="K20" s="27" t="s">
        <v>42</v>
      </c>
      <c r="L20" s="16" t="str">
        <f t="shared" si="1"/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4.75" customHeight="1">
      <c r="B21" s="13"/>
      <c r="C21" s="14"/>
      <c r="D21" s="6" t="s">
        <v>439</v>
      </c>
      <c r="E21" s="15" t="s">
        <v>309</v>
      </c>
      <c r="F21" s="130" t="s">
        <v>310</v>
      </c>
      <c r="G21" s="9">
        <v>0.54861111111111116</v>
      </c>
      <c r="H21" s="9">
        <v>0.59722222222222221</v>
      </c>
      <c r="I21" s="10">
        <f t="shared" si="0"/>
        <v>4.8611111111111049E-2</v>
      </c>
      <c r="J21" s="11">
        <v>1</v>
      </c>
      <c r="K21" s="27">
        <v>220.5</v>
      </c>
      <c r="L21" s="16">
        <f t="shared" si="1"/>
        <v>189.00000000000023</v>
      </c>
      <c r="M21" s="11"/>
      <c r="N21" s="11"/>
      <c r="O21" s="11"/>
      <c r="P21" s="11"/>
      <c r="Q21" s="11"/>
      <c r="R21" s="12"/>
      <c r="S21" s="12">
        <v>70</v>
      </c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4.75" customHeight="1">
      <c r="B22" s="13"/>
      <c r="C22" s="14"/>
      <c r="D22" s="6"/>
      <c r="E22" s="15" t="s">
        <v>1322</v>
      </c>
      <c r="F22" s="130" t="s">
        <v>42</v>
      </c>
      <c r="G22" s="9">
        <v>0.54861111111111116</v>
      </c>
      <c r="H22" s="9">
        <v>0.63194444444444442</v>
      </c>
      <c r="I22" s="10">
        <f t="shared" si="0"/>
        <v>8.3333333333333259E-2</v>
      </c>
      <c r="J22" s="11">
        <v>2</v>
      </c>
      <c r="K22" s="27">
        <v>452.48</v>
      </c>
      <c r="L22" s="16">
        <f t="shared" si="1"/>
        <v>113.1200000000001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4.75" customHeight="1">
      <c r="B23" s="13"/>
      <c r="C23" s="14"/>
      <c r="D23" s="6"/>
      <c r="E23" s="15" t="s">
        <v>1321</v>
      </c>
      <c r="F23" s="130" t="s">
        <v>42</v>
      </c>
      <c r="G23" s="9">
        <v>0.54861111111111105</v>
      </c>
      <c r="H23" s="9">
        <v>0.57638888888888884</v>
      </c>
      <c r="I23" s="10">
        <f t="shared" si="0"/>
        <v>2.777777777777779E-2</v>
      </c>
      <c r="J23" s="11">
        <v>1</v>
      </c>
      <c r="K23" s="27">
        <v>134.12</v>
      </c>
      <c r="L23" s="16">
        <f t="shared" si="1"/>
        <v>201.17999999999992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4.75" customHeight="1">
      <c r="B24" s="13"/>
      <c r="C24" s="14"/>
      <c r="D24" s="6"/>
      <c r="E24" s="15" t="s">
        <v>309</v>
      </c>
      <c r="F24" s="130" t="s">
        <v>310</v>
      </c>
      <c r="G24" s="9">
        <v>0.54861111111111105</v>
      </c>
      <c r="H24" s="9">
        <v>0.61805555555555558</v>
      </c>
      <c r="I24" s="10">
        <f t="shared" si="0"/>
        <v>6.9444444444444531E-2</v>
      </c>
      <c r="J24" s="11">
        <v>2</v>
      </c>
      <c r="K24" s="27">
        <v>270</v>
      </c>
      <c r="L24" s="16">
        <f t="shared" si="1"/>
        <v>80.999999999999901</v>
      </c>
      <c r="M24" s="11"/>
      <c r="N24" s="11"/>
      <c r="O24" s="11">
        <v>100</v>
      </c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4.75" customHeight="1">
      <c r="B25" s="13"/>
      <c r="C25" s="14"/>
      <c r="D25" s="6" t="s">
        <v>1004</v>
      </c>
      <c r="E25" s="15" t="s">
        <v>95</v>
      </c>
      <c r="F25" s="130" t="s">
        <v>42</v>
      </c>
      <c r="G25" s="9">
        <v>0.60416666666666663</v>
      </c>
      <c r="H25" s="9">
        <v>0.65277777777777779</v>
      </c>
      <c r="I25" s="10">
        <f t="shared" si="0"/>
        <v>4.861111111111116E-2</v>
      </c>
      <c r="J25" s="11">
        <v>5</v>
      </c>
      <c r="K25" s="27">
        <v>273</v>
      </c>
      <c r="L25" s="16">
        <f t="shared" si="1"/>
        <v>46.799999999999955</v>
      </c>
      <c r="M25" s="11"/>
      <c r="N25" s="11"/>
      <c r="O25" s="11"/>
      <c r="P25" s="11">
        <v>70</v>
      </c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 t="s">
        <v>1167</v>
      </c>
      <c r="E26" s="15" t="s">
        <v>1323</v>
      </c>
      <c r="F26" s="130" t="s">
        <v>42</v>
      </c>
      <c r="G26" s="9">
        <v>0.625</v>
      </c>
      <c r="H26" s="9">
        <v>0.64236111111111116</v>
      </c>
      <c r="I26" s="10">
        <f t="shared" si="0"/>
        <v>1.736111111111116E-2</v>
      </c>
      <c r="J26" s="11">
        <v>3</v>
      </c>
      <c r="K26" s="27">
        <v>18.45</v>
      </c>
      <c r="L26" s="16">
        <f t="shared" si="1"/>
        <v>14.759999999999957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 t="s">
        <v>1004</v>
      </c>
      <c r="E27" s="15" t="s">
        <v>97</v>
      </c>
      <c r="F27" s="130" t="s">
        <v>99</v>
      </c>
      <c r="G27" s="9">
        <v>0.63194444444444442</v>
      </c>
      <c r="H27" s="9">
        <v>0.6875</v>
      </c>
      <c r="I27" s="10">
        <f t="shared" si="0"/>
        <v>5.555555555555558E-2</v>
      </c>
      <c r="J27" s="11">
        <v>2</v>
      </c>
      <c r="K27" s="27">
        <v>237.5</v>
      </c>
      <c r="L27" s="16">
        <f t="shared" si="1"/>
        <v>89.062499999999957</v>
      </c>
      <c r="M27" s="11"/>
      <c r="N27" s="11"/>
      <c r="O27" s="11"/>
      <c r="P27" s="11"/>
      <c r="Q27" s="11"/>
      <c r="R27" s="12">
        <v>80</v>
      </c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30"/>
      <c r="E28" s="15" t="s">
        <v>1011</v>
      </c>
      <c r="F28" s="130" t="s">
        <v>42</v>
      </c>
      <c r="G28" s="9">
        <v>0.65277777777777779</v>
      </c>
      <c r="H28" s="9">
        <v>0.6875</v>
      </c>
      <c r="I28" s="10">
        <f t="shared" ref="I28:I30" si="2">H28-G28</f>
        <v>3.472222222222221E-2</v>
      </c>
      <c r="J28" s="11">
        <v>11</v>
      </c>
      <c r="K28" s="27">
        <v>256.92</v>
      </c>
      <c r="L28" s="16">
        <f t="shared" si="1"/>
        <v>28.027636363636375</v>
      </c>
      <c r="M28" s="11"/>
      <c r="N28" s="11"/>
      <c r="O28" s="11"/>
      <c r="P28" s="11"/>
      <c r="Q28" s="11"/>
      <c r="R28" s="12"/>
      <c r="S28" s="12">
        <v>50</v>
      </c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30"/>
      <c r="E29" s="15" t="s">
        <v>96</v>
      </c>
      <c r="F29" s="130" t="s">
        <v>42</v>
      </c>
      <c r="G29" s="9">
        <v>0.6875</v>
      </c>
      <c r="H29" s="9">
        <v>0.70833333333333337</v>
      </c>
      <c r="I29" s="10">
        <f t="shared" si="2"/>
        <v>2.083333333333337E-2</v>
      </c>
      <c r="J29" s="11">
        <v>11</v>
      </c>
      <c r="K29" s="11" t="s">
        <v>42</v>
      </c>
      <c r="L29" s="16" t="str">
        <f t="shared" si="1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30"/>
      <c r="E30" s="15"/>
      <c r="F30" s="130"/>
      <c r="G30" s="9"/>
      <c r="H30" s="9"/>
      <c r="I30" s="10">
        <f t="shared" si="2"/>
        <v>0</v>
      </c>
      <c r="J30" s="11"/>
      <c r="K30" s="11"/>
      <c r="L30" s="16" t="str">
        <f t="shared" si="1"/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s="28" customFormat="1" ht="25.05" customHeight="1">
      <c r="A31" s="2"/>
      <c r="B31" s="21"/>
      <c r="C31" s="22"/>
      <c r="D31" s="23"/>
      <c r="E31" s="24"/>
      <c r="F31" s="24"/>
      <c r="G31" s="25"/>
      <c r="H31" s="25"/>
      <c r="I31" s="26"/>
      <c r="J31" s="27"/>
      <c r="K31" s="27">
        <f>SUM(K4:K28)</f>
        <v>3513.2079999999996</v>
      </c>
      <c r="L31" s="39">
        <f t="shared" ref="L31:AL31" si="3">SUM(L4:L27)</f>
        <v>1483.6255787633422</v>
      </c>
      <c r="M31" s="27">
        <f t="shared" si="3"/>
        <v>178</v>
      </c>
      <c r="N31" s="27">
        <f t="shared" si="3"/>
        <v>0</v>
      </c>
      <c r="O31" s="27">
        <f t="shared" si="3"/>
        <v>320</v>
      </c>
      <c r="P31" s="27">
        <f t="shared" si="3"/>
        <v>70</v>
      </c>
      <c r="Q31" s="27">
        <f t="shared" si="3"/>
        <v>0</v>
      </c>
      <c r="R31" s="27">
        <f t="shared" si="3"/>
        <v>80</v>
      </c>
      <c r="S31" s="27">
        <f t="shared" si="3"/>
        <v>411</v>
      </c>
      <c r="T31" s="27">
        <f t="shared" si="3"/>
        <v>0</v>
      </c>
      <c r="U31" s="27">
        <f t="shared" si="3"/>
        <v>0</v>
      </c>
      <c r="V31" s="27">
        <f t="shared" si="3"/>
        <v>0</v>
      </c>
      <c r="W31" s="27">
        <f t="shared" si="3"/>
        <v>0</v>
      </c>
      <c r="X31" s="27">
        <f t="shared" si="3"/>
        <v>0</v>
      </c>
      <c r="Y31" s="27">
        <f t="shared" si="3"/>
        <v>0</v>
      </c>
      <c r="Z31" s="27">
        <f t="shared" si="3"/>
        <v>0</v>
      </c>
      <c r="AA31" s="27">
        <f t="shared" si="3"/>
        <v>0</v>
      </c>
      <c r="AB31" s="27">
        <f t="shared" si="3"/>
        <v>0</v>
      </c>
      <c r="AC31" s="27">
        <f t="shared" si="3"/>
        <v>0</v>
      </c>
      <c r="AD31" s="27">
        <f t="shared" si="3"/>
        <v>0</v>
      </c>
      <c r="AE31" s="27">
        <f t="shared" si="3"/>
        <v>0</v>
      </c>
      <c r="AF31" s="27">
        <f t="shared" si="3"/>
        <v>0</v>
      </c>
      <c r="AG31" s="27">
        <f t="shared" si="3"/>
        <v>0</v>
      </c>
      <c r="AH31" s="27">
        <f t="shared" si="3"/>
        <v>0</v>
      </c>
      <c r="AI31" s="27">
        <f t="shared" si="3"/>
        <v>0</v>
      </c>
      <c r="AJ31" s="27">
        <f t="shared" si="3"/>
        <v>0</v>
      </c>
      <c r="AK31" s="27">
        <f t="shared" si="3"/>
        <v>0</v>
      </c>
      <c r="AL31" s="27">
        <f t="shared" si="3"/>
        <v>0</v>
      </c>
    </row>
    <row r="32" spans="1:38" ht="25.05" customHeight="1">
      <c r="B32" s="5" t="s">
        <v>1316</v>
      </c>
      <c r="C32" s="14" t="s">
        <v>43</v>
      </c>
      <c r="D32" s="6"/>
      <c r="E32" s="7" t="s">
        <v>41</v>
      </c>
      <c r="F32" s="8" t="s">
        <v>42</v>
      </c>
      <c r="G32" s="9">
        <v>0.29166666666666669</v>
      </c>
      <c r="H32" s="9">
        <v>0.33333333333333331</v>
      </c>
      <c r="I32" s="10">
        <f t="shared" ref="I32:I37" si="4">H32-G32</f>
        <v>4.166666666666663E-2</v>
      </c>
      <c r="J32" s="11">
        <v>3</v>
      </c>
      <c r="K32" s="62" t="s">
        <v>42</v>
      </c>
      <c r="L32" s="64" t="s">
        <v>42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25.05" customHeight="1">
      <c r="B33" s="13"/>
      <c r="C33" s="14"/>
      <c r="D33" s="6" t="s">
        <v>83</v>
      </c>
      <c r="E33" s="19" t="s">
        <v>105</v>
      </c>
      <c r="F33" s="8" t="s">
        <v>42</v>
      </c>
      <c r="G33" s="9">
        <v>0.33333333333333331</v>
      </c>
      <c r="H33" s="9">
        <v>0.50694444444444442</v>
      </c>
      <c r="I33" s="10">
        <f t="shared" si="4"/>
        <v>0.1736111111111111</v>
      </c>
      <c r="J33" s="11">
        <v>12</v>
      </c>
      <c r="K33" s="11">
        <f>190*4</f>
        <v>760</v>
      </c>
      <c r="L33" s="16">
        <f t="shared" ref="L33:L37" si="5">IFERROR(((K33/(J33*I33)/24)),"0")</f>
        <v>15.200000000000003</v>
      </c>
      <c r="M33" s="11"/>
      <c r="N33" s="11"/>
      <c r="O33" s="11"/>
      <c r="P33" s="11"/>
      <c r="Q33" s="11"/>
      <c r="R33" s="12"/>
      <c r="S33" s="12">
        <v>250</v>
      </c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ht="25.05" customHeight="1">
      <c r="B34" s="13"/>
      <c r="C34" s="14"/>
      <c r="D34" s="6"/>
      <c r="E34" s="15" t="s">
        <v>104</v>
      </c>
      <c r="F34" s="8" t="s">
        <v>42</v>
      </c>
      <c r="G34" s="9">
        <v>0.50694444444444442</v>
      </c>
      <c r="H34" s="9">
        <v>0.54861111111111116</v>
      </c>
      <c r="I34" s="10">
        <f t="shared" si="4"/>
        <v>4.1666666666666741E-2</v>
      </c>
      <c r="J34" s="11">
        <v>12</v>
      </c>
      <c r="K34" s="62" t="s">
        <v>42</v>
      </c>
      <c r="L34" s="16" t="str">
        <f t="shared" si="5"/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25.05" customHeight="1">
      <c r="B35" s="13"/>
      <c r="C35" s="14"/>
      <c r="D35" s="6" t="s">
        <v>83</v>
      </c>
      <c r="E35" s="19" t="s">
        <v>1015</v>
      </c>
      <c r="F35" s="8" t="s">
        <v>42</v>
      </c>
      <c r="G35" s="9">
        <v>0.54861111111111116</v>
      </c>
      <c r="H35" s="9">
        <v>0.6875</v>
      </c>
      <c r="I35" s="10">
        <f t="shared" si="4"/>
        <v>0.13888888888888884</v>
      </c>
      <c r="J35" s="11">
        <v>12</v>
      </c>
      <c r="K35" s="62">
        <f>190*3</f>
        <v>570</v>
      </c>
      <c r="L35" s="16">
        <f t="shared" si="5"/>
        <v>14.250000000000005</v>
      </c>
      <c r="M35" s="11"/>
      <c r="N35" s="11"/>
      <c r="O35" s="11"/>
      <c r="P35" s="11"/>
      <c r="Q35" s="11"/>
      <c r="R35" s="12"/>
      <c r="S35" s="12">
        <v>200</v>
      </c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ht="25.05" customHeight="1">
      <c r="B36" s="13"/>
      <c r="C36" s="14"/>
      <c r="D36" s="6"/>
      <c r="E36" s="15" t="s">
        <v>96</v>
      </c>
      <c r="F36" s="8" t="s">
        <v>42</v>
      </c>
      <c r="G36" s="9">
        <v>0.6875</v>
      </c>
      <c r="H36" s="9">
        <v>0.70833333333333337</v>
      </c>
      <c r="I36" s="10">
        <f t="shared" si="4"/>
        <v>2.083333333333337E-2</v>
      </c>
      <c r="J36" s="11">
        <v>12</v>
      </c>
      <c r="K36" s="62" t="s">
        <v>42</v>
      </c>
      <c r="L36" s="16" t="str">
        <f t="shared" si="5"/>
        <v>0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</row>
    <row r="37" spans="1:38" ht="25.05" customHeight="1">
      <c r="B37" s="13"/>
      <c r="C37" s="14"/>
      <c r="D37" s="18"/>
      <c r="E37" s="6"/>
      <c r="F37" s="8" t="s">
        <v>42</v>
      </c>
      <c r="G37" s="9"/>
      <c r="H37" s="9"/>
      <c r="I37" s="10">
        <f t="shared" si="4"/>
        <v>0</v>
      </c>
      <c r="J37" s="11"/>
      <c r="K37" s="62"/>
      <c r="L37" s="16" t="str">
        <f t="shared" si="5"/>
        <v>0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</row>
    <row r="38" spans="1:38" s="28" customFormat="1" ht="25.05" customHeight="1">
      <c r="A38" s="2"/>
      <c r="B38" s="21"/>
      <c r="C38" s="22"/>
      <c r="D38" s="23"/>
      <c r="E38" s="24"/>
      <c r="F38" s="22"/>
      <c r="G38" s="25"/>
      <c r="H38" s="25"/>
      <c r="I38" s="26"/>
      <c r="J38" s="27"/>
      <c r="K38" s="27">
        <f t="shared" ref="K38:AL38" si="6">SUM(K32:K37)</f>
        <v>1330</v>
      </c>
      <c r="L38" s="27">
        <f t="shared" si="6"/>
        <v>29.45000000000001</v>
      </c>
      <c r="M38" s="27">
        <f t="shared" si="6"/>
        <v>0</v>
      </c>
      <c r="N38" s="27">
        <f t="shared" si="6"/>
        <v>0</v>
      </c>
      <c r="O38" s="27">
        <f t="shared" si="6"/>
        <v>0</v>
      </c>
      <c r="P38" s="27">
        <f t="shared" si="6"/>
        <v>0</v>
      </c>
      <c r="Q38" s="27">
        <f t="shared" si="6"/>
        <v>0</v>
      </c>
      <c r="R38" s="27">
        <f t="shared" si="6"/>
        <v>0</v>
      </c>
      <c r="S38" s="27">
        <f t="shared" si="6"/>
        <v>450</v>
      </c>
      <c r="T38" s="27">
        <f t="shared" si="6"/>
        <v>0</v>
      </c>
      <c r="U38" s="27">
        <f t="shared" si="6"/>
        <v>0</v>
      </c>
      <c r="V38" s="27">
        <f t="shared" si="6"/>
        <v>0</v>
      </c>
      <c r="W38" s="27">
        <f t="shared" si="6"/>
        <v>0</v>
      </c>
      <c r="X38" s="27">
        <f t="shared" si="6"/>
        <v>0</v>
      </c>
      <c r="Y38" s="27">
        <f t="shared" si="6"/>
        <v>0</v>
      </c>
      <c r="Z38" s="27">
        <f t="shared" si="6"/>
        <v>0</v>
      </c>
      <c r="AA38" s="27">
        <f t="shared" si="6"/>
        <v>0</v>
      </c>
      <c r="AB38" s="27">
        <f t="shared" si="6"/>
        <v>0</v>
      </c>
      <c r="AC38" s="27">
        <f t="shared" si="6"/>
        <v>0</v>
      </c>
      <c r="AD38" s="27">
        <f t="shared" si="6"/>
        <v>0</v>
      </c>
      <c r="AE38" s="27">
        <f t="shared" si="6"/>
        <v>0</v>
      </c>
      <c r="AF38" s="27">
        <f t="shared" si="6"/>
        <v>0</v>
      </c>
      <c r="AG38" s="27">
        <f t="shared" si="6"/>
        <v>0</v>
      </c>
      <c r="AH38" s="27">
        <f t="shared" si="6"/>
        <v>0</v>
      </c>
      <c r="AI38" s="27">
        <f t="shared" si="6"/>
        <v>0</v>
      </c>
      <c r="AJ38" s="27">
        <f t="shared" si="6"/>
        <v>0</v>
      </c>
      <c r="AK38" s="27">
        <f t="shared" si="6"/>
        <v>0</v>
      </c>
      <c r="AL38" s="27">
        <f t="shared" si="6"/>
        <v>0</v>
      </c>
    </row>
    <row r="39" spans="1:38" ht="25.05" customHeight="1">
      <c r="B39" s="5" t="s">
        <v>1316</v>
      </c>
      <c r="C39" s="29" t="s">
        <v>44</v>
      </c>
      <c r="D39" s="30"/>
      <c r="E39" s="7" t="s">
        <v>41</v>
      </c>
      <c r="F39" s="8" t="s">
        <v>42</v>
      </c>
      <c r="G39" s="9">
        <v>0.29166666666666669</v>
      </c>
      <c r="H39" s="9">
        <v>0.2986111111111111</v>
      </c>
      <c r="I39" s="10">
        <f t="shared" ref="I39:I107" si="7">H39-G39</f>
        <v>6.9444444444444198E-3</v>
      </c>
      <c r="J39" s="11">
        <v>5</v>
      </c>
      <c r="K39" s="62" t="s">
        <v>42</v>
      </c>
      <c r="L39" s="64" t="s">
        <v>42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 t="s">
        <v>1167</v>
      </c>
      <c r="E40" s="19" t="s">
        <v>132</v>
      </c>
      <c r="F40" s="8" t="s">
        <v>42</v>
      </c>
      <c r="G40" s="9">
        <v>0.33541666666666664</v>
      </c>
      <c r="H40" s="9">
        <v>0.33547453703703706</v>
      </c>
      <c r="I40" s="10">
        <f t="shared" si="7"/>
        <v>5.7870370370416424E-5</v>
      </c>
      <c r="J40" s="11">
        <v>4</v>
      </c>
      <c r="K40" s="11">
        <v>3.3</v>
      </c>
      <c r="L40" s="16">
        <f t="shared" ref="L40:L108" si="8">IFERROR(((K40/(J40*I40)/24)),"0")</f>
        <v>593.99999999952729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/>
      <c r="AD40" s="11">
        <v>1</v>
      </c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133</v>
      </c>
      <c r="F41" s="8" t="s">
        <v>42</v>
      </c>
      <c r="G41" s="9">
        <v>0.33611111111111114</v>
      </c>
      <c r="H41" s="9">
        <v>0.3361689814814815</v>
      </c>
      <c r="I41" s="10">
        <f t="shared" si="7"/>
        <v>5.7870370370360913E-5</v>
      </c>
      <c r="J41" s="11">
        <v>4</v>
      </c>
      <c r="K41" s="11">
        <v>3.45</v>
      </c>
      <c r="L41" s="16">
        <f t="shared" si="8"/>
        <v>621.00000000010152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/>
      <c r="AD41" s="11">
        <v>1</v>
      </c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134</v>
      </c>
      <c r="F42" s="8" t="s">
        <v>42</v>
      </c>
      <c r="G42" s="9">
        <v>0.33680555555555602</v>
      </c>
      <c r="H42" s="9">
        <v>0.33686342592592594</v>
      </c>
      <c r="I42" s="10">
        <f t="shared" si="7"/>
        <v>5.7870370369916824E-5</v>
      </c>
      <c r="J42" s="11">
        <v>4</v>
      </c>
      <c r="K42" s="11">
        <v>3.51</v>
      </c>
      <c r="L42" s="16">
        <f t="shared" si="8"/>
        <v>631.80000000495158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/>
      <c r="AC42" s="11"/>
      <c r="AD42" s="11">
        <v>1</v>
      </c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 t="s">
        <v>135</v>
      </c>
      <c r="F43" s="8" t="s">
        <v>42</v>
      </c>
      <c r="G43" s="9">
        <v>0.33750000000000002</v>
      </c>
      <c r="H43" s="9">
        <v>0.33755787037037038</v>
      </c>
      <c r="I43" s="10">
        <f t="shared" si="7"/>
        <v>5.7870370370360913E-5</v>
      </c>
      <c r="J43" s="11">
        <v>4</v>
      </c>
      <c r="K43" s="11">
        <v>3.47</v>
      </c>
      <c r="L43" s="16">
        <f t="shared" si="8"/>
        <v>624.60000000010211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/>
      <c r="AD43" s="11">
        <v>1</v>
      </c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136</v>
      </c>
      <c r="F44" s="8" t="s">
        <v>42</v>
      </c>
      <c r="G44" s="9">
        <v>0.33819444444444502</v>
      </c>
      <c r="H44" s="9">
        <v>0.33825231481481483</v>
      </c>
      <c r="I44" s="10">
        <f t="shared" si="7"/>
        <v>5.7870370369805801E-5</v>
      </c>
      <c r="J44" s="11">
        <v>4</v>
      </c>
      <c r="K44" s="11">
        <v>3.44</v>
      </c>
      <c r="L44" s="16">
        <f t="shared" si="8"/>
        <v>619.2000000060408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/>
      <c r="AD44" s="11">
        <v>1</v>
      </c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137</v>
      </c>
      <c r="F45" s="8" t="s">
        <v>42</v>
      </c>
      <c r="G45" s="9">
        <v>0.33819444444444502</v>
      </c>
      <c r="H45" s="9">
        <v>0.33825231481481483</v>
      </c>
      <c r="I45" s="10">
        <f t="shared" si="7"/>
        <v>5.7870370369805801E-5</v>
      </c>
      <c r="J45" s="11">
        <v>4</v>
      </c>
      <c r="K45" s="11">
        <v>3.49</v>
      </c>
      <c r="L45" s="16">
        <f t="shared" si="8"/>
        <v>628.20000000612856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/>
      <c r="AC45" s="11"/>
      <c r="AD45" s="11">
        <v>1</v>
      </c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138</v>
      </c>
      <c r="F46" s="8" t="s">
        <v>42</v>
      </c>
      <c r="G46" s="9">
        <v>0.33888888888888902</v>
      </c>
      <c r="H46" s="9">
        <v>0.33894675925925927</v>
      </c>
      <c r="I46" s="10">
        <f t="shared" si="7"/>
        <v>5.7870370370249891E-5</v>
      </c>
      <c r="J46" s="11">
        <v>4</v>
      </c>
      <c r="K46" s="11">
        <v>3.58</v>
      </c>
      <c r="L46" s="16">
        <f t="shared" si="8"/>
        <v>644.4000000013416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 t="s">
        <v>1324</v>
      </c>
      <c r="F47" s="8" t="s">
        <v>42</v>
      </c>
      <c r="G47" s="9">
        <v>0.33888888888888902</v>
      </c>
      <c r="H47" s="9">
        <v>0.33894675925925927</v>
      </c>
      <c r="I47" s="10">
        <f t="shared" ref="I47" si="9">H47-G47</f>
        <v>5.7870370370249891E-5</v>
      </c>
      <c r="J47" s="11">
        <v>4</v>
      </c>
      <c r="K47" s="11">
        <v>1.79</v>
      </c>
      <c r="L47" s="16">
        <f t="shared" ref="L47" si="10">IFERROR(((K47/(J47*I47)/24)),"0")</f>
        <v>322.2000000006708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/>
      <c r="AC47" s="11"/>
      <c r="AD47" s="11">
        <v>1</v>
      </c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 t="s">
        <v>1192</v>
      </c>
      <c r="F48" s="8" t="s">
        <v>42</v>
      </c>
      <c r="G48" s="9">
        <v>0.3527777777777778</v>
      </c>
      <c r="H48" s="9">
        <v>0.35283564814814816</v>
      </c>
      <c r="I48" s="10">
        <f t="shared" si="7"/>
        <v>5.7870370370360913E-5</v>
      </c>
      <c r="J48" s="11">
        <v>4</v>
      </c>
      <c r="K48" s="11">
        <v>17.84</v>
      </c>
      <c r="L48" s="16">
        <f t="shared" si="8"/>
        <v>3211.2000000005246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/>
      <c r="AA48" s="11"/>
      <c r="AB48" s="11"/>
      <c r="AC48" s="11"/>
      <c r="AD48" s="11">
        <v>1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1193</v>
      </c>
      <c r="F49" s="8" t="s">
        <v>42</v>
      </c>
      <c r="G49" s="9">
        <v>0.35347222222222224</v>
      </c>
      <c r="H49" s="9">
        <v>0.3535300925925926</v>
      </c>
      <c r="I49" s="10">
        <f t="shared" si="7"/>
        <v>5.7870370370360913E-5</v>
      </c>
      <c r="J49" s="11">
        <v>4</v>
      </c>
      <c r="K49" s="11">
        <v>19.100000000000001</v>
      </c>
      <c r="L49" s="16">
        <f t="shared" si="8"/>
        <v>3438.0000000005621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/>
      <c r="AC49" s="11"/>
      <c r="AD49" s="11">
        <v>1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1194</v>
      </c>
      <c r="F50" s="8" t="s">
        <v>42</v>
      </c>
      <c r="G50" s="9">
        <v>0.35416666666666702</v>
      </c>
      <c r="H50" s="9">
        <v>0.35422453703703705</v>
      </c>
      <c r="I50" s="10">
        <f t="shared" si="7"/>
        <v>5.7870370370027846E-5</v>
      </c>
      <c r="J50" s="11">
        <v>4</v>
      </c>
      <c r="K50" s="11">
        <v>19.32</v>
      </c>
      <c r="L50" s="16">
        <f t="shared" si="8"/>
        <v>3477.6000000205836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/>
      <c r="AD50" s="11">
        <v>1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1195</v>
      </c>
      <c r="F51" s="8" t="s">
        <v>42</v>
      </c>
      <c r="G51" s="9">
        <v>0.35486111111111102</v>
      </c>
      <c r="H51" s="9">
        <v>0.35491898148148149</v>
      </c>
      <c r="I51" s="10">
        <f t="shared" si="7"/>
        <v>5.7870370370471935E-5</v>
      </c>
      <c r="J51" s="11">
        <v>4</v>
      </c>
      <c r="K51" s="11">
        <v>19.309999999999999</v>
      </c>
      <c r="L51" s="16">
        <f t="shared" si="8"/>
        <v>3475.7999999938997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>
        <v>1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1196</v>
      </c>
      <c r="F52" s="8" t="s">
        <v>42</v>
      </c>
      <c r="G52" s="9">
        <v>0.35694444444444445</v>
      </c>
      <c r="H52" s="9">
        <v>0.35700231481481481</v>
      </c>
      <c r="I52" s="10">
        <f t="shared" si="7"/>
        <v>5.7870370370360913E-5</v>
      </c>
      <c r="J52" s="11">
        <v>4</v>
      </c>
      <c r="K52" s="11">
        <v>19.420000000000002</v>
      </c>
      <c r="L52" s="16">
        <f t="shared" si="8"/>
        <v>3495.6000000005715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/>
      <c r="AC52" s="11"/>
      <c r="AD52" s="11">
        <v>1</v>
      </c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1197</v>
      </c>
      <c r="F53" s="8" t="s">
        <v>42</v>
      </c>
      <c r="G53" s="9">
        <v>0.3576388888888889</v>
      </c>
      <c r="H53" s="9">
        <v>0.35769675925925926</v>
      </c>
      <c r="I53" s="10">
        <f t="shared" si="7"/>
        <v>5.7870370370360913E-5</v>
      </c>
      <c r="J53" s="11">
        <v>4</v>
      </c>
      <c r="K53" s="11">
        <v>19.25</v>
      </c>
      <c r="L53" s="16">
        <f t="shared" si="8"/>
        <v>3465.0000000005662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/>
      <c r="AD53" s="11">
        <v>1</v>
      </c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1198</v>
      </c>
      <c r="F54" s="8" t="s">
        <v>42</v>
      </c>
      <c r="G54" s="9">
        <v>0.358333333333333</v>
      </c>
      <c r="H54" s="9">
        <v>0.3583912037037037</v>
      </c>
      <c r="I54" s="10">
        <f t="shared" si="7"/>
        <v>5.787037037069398E-5</v>
      </c>
      <c r="J54" s="11">
        <v>4</v>
      </c>
      <c r="K54" s="11">
        <v>18.37</v>
      </c>
      <c r="L54" s="16">
        <f t="shared" si="8"/>
        <v>3306.5999999815099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/>
      <c r="AD54" s="11">
        <v>1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1325</v>
      </c>
      <c r="F55" s="8" t="s">
        <v>42</v>
      </c>
      <c r="G55" s="9">
        <v>0.359027777777777</v>
      </c>
      <c r="H55" s="9">
        <v>0.35908564814814814</v>
      </c>
      <c r="I55" s="10">
        <f t="shared" ref="I55" si="11">H55-G55</f>
        <v>5.7870370371138069E-5</v>
      </c>
      <c r="J55" s="11">
        <v>4</v>
      </c>
      <c r="K55" s="11">
        <v>9.68</v>
      </c>
      <c r="L55" s="16">
        <f t="shared" ref="L55" si="12">IFERROR(((K55/(J55*I55)/24)),"0")</f>
        <v>1742.3999999768855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/>
      <c r="AC55" s="11"/>
      <c r="AD55" s="11">
        <v>1</v>
      </c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1183</v>
      </c>
      <c r="F56" s="8" t="s">
        <v>42</v>
      </c>
      <c r="G56" s="9">
        <v>0.36458333333333331</v>
      </c>
      <c r="H56" s="9">
        <v>0.36469907407407409</v>
      </c>
      <c r="I56" s="10">
        <f t="shared" si="7"/>
        <v>1.1574074074077734E-4</v>
      </c>
      <c r="J56" s="11">
        <v>4</v>
      </c>
      <c r="K56" s="11">
        <v>17.170000000000002</v>
      </c>
      <c r="L56" s="16">
        <f t="shared" si="8"/>
        <v>1545.2999999995116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/>
      <c r="AA56" s="11"/>
      <c r="AB56" s="11"/>
      <c r="AC56" s="11"/>
      <c r="AD56" s="11">
        <v>1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1184</v>
      </c>
      <c r="F57" s="8" t="s">
        <v>42</v>
      </c>
      <c r="G57" s="9">
        <v>0.3659722222222222</v>
      </c>
      <c r="H57" s="9">
        <v>0.36608796296296298</v>
      </c>
      <c r="I57" s="10">
        <f t="shared" si="7"/>
        <v>1.1574074074077734E-4</v>
      </c>
      <c r="J57" s="11">
        <v>4</v>
      </c>
      <c r="K57" s="11">
        <v>17.36</v>
      </c>
      <c r="L57" s="16">
        <f t="shared" si="8"/>
        <v>1562.3999999995058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/>
      <c r="AA57" s="11"/>
      <c r="AB57" s="11"/>
      <c r="AC57" s="11"/>
      <c r="AD57" s="11">
        <v>1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1185</v>
      </c>
      <c r="F58" s="8" t="s">
        <v>42</v>
      </c>
      <c r="G58" s="9">
        <v>0.36666666666666664</v>
      </c>
      <c r="H58" s="9">
        <v>0.36678240740740742</v>
      </c>
      <c r="I58" s="10">
        <f t="shared" si="7"/>
        <v>1.1574074074077734E-4</v>
      </c>
      <c r="J58" s="11">
        <v>4</v>
      </c>
      <c r="K58" s="11">
        <v>17.489999999999998</v>
      </c>
      <c r="L58" s="16">
        <f t="shared" si="8"/>
        <v>1574.0999999995022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/>
      <c r="AA58" s="11"/>
      <c r="AB58" s="11"/>
      <c r="AC58" s="11"/>
      <c r="AD58" s="11">
        <v>1</v>
      </c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1186</v>
      </c>
      <c r="F59" s="8" t="s">
        <v>42</v>
      </c>
      <c r="G59" s="9">
        <v>0.36805555555555602</v>
      </c>
      <c r="H59" s="9">
        <v>0.3681712962962963</v>
      </c>
      <c r="I59" s="10">
        <f t="shared" si="7"/>
        <v>1.1574074074027774E-4</v>
      </c>
      <c r="J59" s="11">
        <v>4</v>
      </c>
      <c r="K59" s="11">
        <v>17.41</v>
      </c>
      <c r="L59" s="16">
        <f t="shared" si="8"/>
        <v>1566.9000000062681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/>
      <c r="Z59" s="11"/>
      <c r="AA59" s="11"/>
      <c r="AB59" s="11"/>
      <c r="AC59" s="11"/>
      <c r="AD59" s="11">
        <v>1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1187</v>
      </c>
      <c r="F60" s="8" t="s">
        <v>42</v>
      </c>
      <c r="G60" s="9">
        <v>0.36944444444444446</v>
      </c>
      <c r="H60" s="9">
        <v>0.36956018518518519</v>
      </c>
      <c r="I60" s="10">
        <f t="shared" si="7"/>
        <v>1.1574074074072183E-4</v>
      </c>
      <c r="J60" s="11">
        <v>4</v>
      </c>
      <c r="K60" s="11">
        <v>17.329999999999998</v>
      </c>
      <c r="L60" s="16">
        <f t="shared" si="8"/>
        <v>1559.7000000002547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/>
      <c r="AC60" s="11"/>
      <c r="AD60" s="11">
        <v>1</v>
      </c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1188</v>
      </c>
      <c r="F61" s="8" t="s">
        <v>42</v>
      </c>
      <c r="G61" s="9">
        <v>0.37083333333333335</v>
      </c>
      <c r="H61" s="9">
        <v>0.37094907407407407</v>
      </c>
      <c r="I61" s="10">
        <f t="shared" si="7"/>
        <v>1.1574074074072183E-4</v>
      </c>
      <c r="J61" s="11">
        <v>4</v>
      </c>
      <c r="K61" s="11">
        <v>17.440000000000001</v>
      </c>
      <c r="L61" s="16">
        <f t="shared" si="8"/>
        <v>1569.6000000002566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/>
      <c r="AA61" s="11"/>
      <c r="AB61" s="11"/>
      <c r="AC61" s="11"/>
      <c r="AD61" s="11">
        <v>1</v>
      </c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1189</v>
      </c>
      <c r="F62" s="8" t="s">
        <v>42</v>
      </c>
      <c r="G62" s="9">
        <v>0.37152777777777779</v>
      </c>
      <c r="H62" s="9">
        <v>0.37164351851851851</v>
      </c>
      <c r="I62" s="10">
        <f t="shared" si="7"/>
        <v>1.1574074074072183E-4</v>
      </c>
      <c r="J62" s="11">
        <v>4</v>
      </c>
      <c r="K62" s="11">
        <v>17.559999999999999</v>
      </c>
      <c r="L62" s="16">
        <f t="shared" si="8"/>
        <v>1580.4000000002582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/>
      <c r="AA62" s="11"/>
      <c r="AB62" s="11"/>
      <c r="AC62" s="11"/>
      <c r="AD62" s="11">
        <v>1</v>
      </c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1326</v>
      </c>
      <c r="F63" s="8" t="s">
        <v>42</v>
      </c>
      <c r="G63" s="9">
        <v>0.37222222222222223</v>
      </c>
      <c r="H63" s="9">
        <v>0.37233796296296295</v>
      </c>
      <c r="I63" s="10">
        <f t="shared" ref="I63" si="13">H63-G63</f>
        <v>1.1574074074072183E-4</v>
      </c>
      <c r="J63" s="11">
        <v>4</v>
      </c>
      <c r="K63" s="11">
        <v>8.27</v>
      </c>
      <c r="L63" s="16">
        <f t="shared" ref="L63" si="14">IFERROR(((K63/(J63*I63)/24)),"0")</f>
        <v>744.3000000001216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/>
      <c r="AC63" s="11"/>
      <c r="AD63" s="11">
        <v>1</v>
      </c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1204</v>
      </c>
      <c r="F64" s="8" t="s">
        <v>42</v>
      </c>
      <c r="G64" s="9">
        <v>0.34930555555555554</v>
      </c>
      <c r="H64" s="9">
        <v>0.35902777777777778</v>
      </c>
      <c r="I64" s="10">
        <f t="shared" si="7"/>
        <v>9.7222222222222432E-3</v>
      </c>
      <c r="J64" s="11">
        <v>4</v>
      </c>
      <c r="K64" s="11">
        <v>41.24</v>
      </c>
      <c r="L64" s="16">
        <f t="shared" si="8"/>
        <v>44.185714285714191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/>
      <c r="Z64" s="11"/>
      <c r="AA64" s="11"/>
      <c r="AB64" s="11">
        <v>14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1205</v>
      </c>
      <c r="F65" s="8" t="s">
        <v>42</v>
      </c>
      <c r="G65" s="9">
        <v>0.36458333333333331</v>
      </c>
      <c r="H65" s="9">
        <v>0.37361111111111112</v>
      </c>
      <c r="I65" s="10">
        <f t="shared" si="7"/>
        <v>9.0277777777778012E-3</v>
      </c>
      <c r="J65" s="11">
        <v>4</v>
      </c>
      <c r="K65" s="11">
        <v>41.07</v>
      </c>
      <c r="L65" s="16">
        <f t="shared" si="8"/>
        <v>47.388461538461421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>
        <v>13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1206</v>
      </c>
      <c r="F66" s="8" t="s">
        <v>42</v>
      </c>
      <c r="G66" s="9">
        <v>0.37777777777777777</v>
      </c>
      <c r="H66" s="9">
        <v>0.38541666666666669</v>
      </c>
      <c r="I66" s="10">
        <f t="shared" si="7"/>
        <v>7.6388888888889173E-3</v>
      </c>
      <c r="J66" s="11">
        <v>4</v>
      </c>
      <c r="K66" s="11">
        <v>40.85</v>
      </c>
      <c r="L66" s="16">
        <f t="shared" si="8"/>
        <v>55.704545454545247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/>
      <c r="AA66" s="11"/>
      <c r="AB66" s="11">
        <v>11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1207</v>
      </c>
      <c r="F67" s="8" t="s">
        <v>42</v>
      </c>
      <c r="G67" s="9">
        <v>0.39305555555555555</v>
      </c>
      <c r="H67" s="9">
        <v>0.39791666666666664</v>
      </c>
      <c r="I67" s="10">
        <f t="shared" si="7"/>
        <v>4.8611111111110938E-3</v>
      </c>
      <c r="J67" s="11">
        <v>4</v>
      </c>
      <c r="K67" s="11">
        <v>40.369999999999997</v>
      </c>
      <c r="L67" s="16">
        <f t="shared" si="8"/>
        <v>86.507142857143151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>
        <v>7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1208</v>
      </c>
      <c r="F68" s="8" t="s">
        <v>42</v>
      </c>
      <c r="G68" s="9">
        <v>0.40416666666666667</v>
      </c>
      <c r="H68" s="9">
        <v>0.41041666666666665</v>
      </c>
      <c r="I68" s="10">
        <f t="shared" si="7"/>
        <v>6.2499999999999778E-3</v>
      </c>
      <c r="J68" s="11">
        <v>4</v>
      </c>
      <c r="K68" s="11">
        <v>51.11</v>
      </c>
      <c r="L68" s="16">
        <f t="shared" si="8"/>
        <v>85.183333333333636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/>
      <c r="AA68" s="11"/>
      <c r="AB68" s="11">
        <v>9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1209</v>
      </c>
      <c r="F69" s="8" t="s">
        <v>42</v>
      </c>
      <c r="G69" s="9">
        <v>0.41458333333333336</v>
      </c>
      <c r="H69" s="9">
        <v>0.42152777777777778</v>
      </c>
      <c r="I69" s="10">
        <f t="shared" si="7"/>
        <v>6.9444444444444198E-3</v>
      </c>
      <c r="J69" s="11">
        <v>4</v>
      </c>
      <c r="K69" s="11">
        <v>41.22</v>
      </c>
      <c r="L69" s="16">
        <f t="shared" si="8"/>
        <v>61.830000000000219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>
        <v>10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1327</v>
      </c>
      <c r="F70" s="8" t="s">
        <v>42</v>
      </c>
      <c r="G70" s="9">
        <v>0.4284722222222222</v>
      </c>
      <c r="H70" s="9">
        <v>0.43472222222222223</v>
      </c>
      <c r="I70" s="10">
        <f t="shared" si="7"/>
        <v>6.2500000000000333E-3</v>
      </c>
      <c r="J70" s="11">
        <v>4</v>
      </c>
      <c r="K70" s="11">
        <v>62.92</v>
      </c>
      <c r="L70" s="16">
        <f t="shared" si="8"/>
        <v>104.86666666666611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/>
      <c r="AA70" s="11"/>
      <c r="AB70" s="11">
        <v>9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1328</v>
      </c>
      <c r="F71" s="8" t="s">
        <v>42</v>
      </c>
      <c r="G71" s="9">
        <v>0.35</v>
      </c>
      <c r="H71" s="9">
        <v>0.35416666666666669</v>
      </c>
      <c r="I71" s="10">
        <f t="shared" si="7"/>
        <v>4.1666666666667074E-3</v>
      </c>
      <c r="J71" s="11">
        <v>4</v>
      </c>
      <c r="K71" s="11">
        <v>59.29</v>
      </c>
      <c r="L71" s="16">
        <f t="shared" si="8"/>
        <v>148.22499999999854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1"/>
      <c r="Y71" s="11"/>
      <c r="Z71" s="11"/>
      <c r="AA71" s="11"/>
      <c r="AB71" s="11"/>
      <c r="AC71" s="11">
        <v>6</v>
      </c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1329</v>
      </c>
      <c r="F72" s="8" t="s">
        <v>42</v>
      </c>
      <c r="G72" s="9">
        <v>0.36180555555555555</v>
      </c>
      <c r="H72" s="9">
        <v>0.36666666666666664</v>
      </c>
      <c r="I72" s="10">
        <f t="shared" si="7"/>
        <v>4.8611111111110938E-3</v>
      </c>
      <c r="J72" s="11">
        <v>4</v>
      </c>
      <c r="K72" s="11">
        <v>49.13</v>
      </c>
      <c r="L72" s="16">
        <f t="shared" si="8"/>
        <v>105.27857142857181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2</v>
      </c>
      <c r="W72" s="12"/>
      <c r="X72" s="11"/>
      <c r="Y72" s="11"/>
      <c r="Z72" s="11"/>
      <c r="AA72" s="11"/>
      <c r="AB72" s="11"/>
      <c r="AC72" s="11">
        <v>7</v>
      </c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1213</v>
      </c>
      <c r="F73" s="8" t="s">
        <v>42</v>
      </c>
      <c r="G73" s="9">
        <v>0.3611111111111111</v>
      </c>
      <c r="H73" s="9">
        <v>0.3923611111111111</v>
      </c>
      <c r="I73" s="10">
        <f t="shared" si="7"/>
        <v>3.125E-2</v>
      </c>
      <c r="J73" s="11">
        <v>4</v>
      </c>
      <c r="K73" s="11">
        <f>4.008*20</f>
        <v>80.16</v>
      </c>
      <c r="L73" s="16">
        <f t="shared" si="8"/>
        <v>26.72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>
        <v>45</v>
      </c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1214</v>
      </c>
      <c r="F74" s="8" t="s">
        <v>42</v>
      </c>
      <c r="G74" s="9">
        <v>0.36458333333333331</v>
      </c>
      <c r="H74" s="9">
        <v>0.39583333333333331</v>
      </c>
      <c r="I74" s="10">
        <f t="shared" si="7"/>
        <v>3.125E-2</v>
      </c>
      <c r="J74" s="11">
        <v>4</v>
      </c>
      <c r="K74" s="11">
        <f t="shared" ref="K74:K77" si="15">4.008*20</f>
        <v>80.16</v>
      </c>
      <c r="L74" s="16">
        <f t="shared" si="8"/>
        <v>26.72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>
        <v>45</v>
      </c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1215</v>
      </c>
      <c r="F75" s="8" t="s">
        <v>42</v>
      </c>
      <c r="G75" s="9">
        <v>0.37083333333333335</v>
      </c>
      <c r="H75" s="9">
        <v>0.40208333333333335</v>
      </c>
      <c r="I75" s="10">
        <f t="shared" si="7"/>
        <v>3.125E-2</v>
      </c>
      <c r="J75" s="11">
        <v>4</v>
      </c>
      <c r="K75" s="11">
        <f t="shared" si="15"/>
        <v>80.16</v>
      </c>
      <c r="L75" s="16">
        <f t="shared" si="8"/>
        <v>26.72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/>
      <c r="Z75" s="11"/>
      <c r="AA75" s="11">
        <v>45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1216</v>
      </c>
      <c r="F76" s="8" t="s">
        <v>42</v>
      </c>
      <c r="G76" s="9">
        <v>0.375</v>
      </c>
      <c r="H76" s="9">
        <v>0.41111111111111109</v>
      </c>
      <c r="I76" s="10">
        <f t="shared" si="7"/>
        <v>3.6111111111111094E-2</v>
      </c>
      <c r="J76" s="11">
        <v>4</v>
      </c>
      <c r="K76" s="11">
        <f t="shared" si="15"/>
        <v>80.16</v>
      </c>
      <c r="L76" s="16">
        <f t="shared" si="8"/>
        <v>23.123076923076933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>
        <v>45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1330</v>
      </c>
      <c r="F77" s="8" t="s">
        <v>42</v>
      </c>
      <c r="G77" s="9">
        <v>0.40763888888888888</v>
      </c>
      <c r="H77" s="9">
        <v>0.43888888888888888</v>
      </c>
      <c r="I77" s="10">
        <f t="shared" si="7"/>
        <v>3.125E-2</v>
      </c>
      <c r="J77" s="11">
        <v>4</v>
      </c>
      <c r="K77" s="11">
        <f t="shared" si="15"/>
        <v>80.16</v>
      </c>
      <c r="L77" s="16">
        <f t="shared" si="8"/>
        <v>26.72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>
        <v>45</v>
      </c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127" t="s">
        <v>1331</v>
      </c>
      <c r="E78" s="19" t="s">
        <v>1168</v>
      </c>
      <c r="F78" s="8" t="s">
        <v>42</v>
      </c>
      <c r="G78" s="9">
        <v>0.5625</v>
      </c>
      <c r="H78" s="9">
        <v>0.6118055555555556</v>
      </c>
      <c r="I78" s="10">
        <f t="shared" si="7"/>
        <v>4.9305555555555602E-2</v>
      </c>
      <c r="J78" s="11">
        <v>4</v>
      </c>
      <c r="K78" s="11">
        <v>93.46</v>
      </c>
      <c r="L78" s="16">
        <f t="shared" si="8"/>
        <v>19.745070422535189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/>
      <c r="Z78" s="11"/>
      <c r="AA78" s="11"/>
      <c r="AB78" s="11"/>
      <c r="AC78" s="11"/>
      <c r="AD78" s="11"/>
      <c r="AE78" s="11"/>
      <c r="AF78" s="11"/>
      <c r="AG78" s="12">
        <f>77/3</f>
        <v>25.666666666666668</v>
      </c>
      <c r="AH78" s="12">
        <f>77/3</f>
        <v>25.666666666666668</v>
      </c>
      <c r="AI78" s="12">
        <f>77/3</f>
        <v>25.666666666666668</v>
      </c>
      <c r="AJ78" s="11"/>
      <c r="AK78" s="11"/>
      <c r="AL78" s="14"/>
    </row>
    <row r="79" spans="2:38" ht="25.05" customHeight="1">
      <c r="B79" s="13"/>
      <c r="C79" s="29"/>
      <c r="D79" s="30"/>
      <c r="E79" s="19" t="s">
        <v>1332</v>
      </c>
      <c r="F79" s="8" t="s">
        <v>42</v>
      </c>
      <c r="G79" s="9">
        <v>0.61250000000000004</v>
      </c>
      <c r="H79" s="9">
        <v>0.66666666666666663</v>
      </c>
      <c r="I79" s="10">
        <f t="shared" si="7"/>
        <v>5.4166666666666585E-2</v>
      </c>
      <c r="J79" s="11">
        <v>4</v>
      </c>
      <c r="K79" s="11">
        <v>91.7</v>
      </c>
      <c r="L79" s="16">
        <f t="shared" si="8"/>
        <v>17.634615384615412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2</v>
      </c>
      <c r="W79" s="12"/>
      <c r="X79" s="11"/>
      <c r="Y79" s="11"/>
      <c r="Z79" s="11"/>
      <c r="AA79" s="11"/>
      <c r="AB79" s="11"/>
      <c r="AC79" s="11"/>
      <c r="AD79" s="11"/>
      <c r="AE79" s="11"/>
      <c r="AF79" s="11"/>
      <c r="AG79" s="11">
        <f>78/3</f>
        <v>26</v>
      </c>
      <c r="AH79" s="11">
        <f>78/3</f>
        <v>26</v>
      </c>
      <c r="AI79" s="11">
        <f>78/3</f>
        <v>26</v>
      </c>
      <c r="AJ79" s="11"/>
      <c r="AK79" s="11"/>
      <c r="AL79" s="14"/>
    </row>
    <row r="80" spans="2:38" ht="25.05" customHeight="1">
      <c r="B80" s="13"/>
      <c r="C80" s="29"/>
      <c r="D80" s="30"/>
      <c r="E80" s="19" t="s">
        <v>1333</v>
      </c>
      <c r="F80" s="8" t="s">
        <v>42</v>
      </c>
      <c r="G80" s="9">
        <v>0.66736111111111107</v>
      </c>
      <c r="H80" s="9">
        <v>0.72222222222222221</v>
      </c>
      <c r="I80" s="10">
        <f t="shared" si="7"/>
        <v>5.4861111111111138E-2</v>
      </c>
      <c r="J80" s="11">
        <v>4</v>
      </c>
      <c r="K80" s="11">
        <v>91.59</v>
      </c>
      <c r="L80" s="16">
        <f t="shared" si="8"/>
        <v>17.390506329113915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/>
      <c r="AB80" s="11"/>
      <c r="AC80" s="11"/>
      <c r="AD80" s="11"/>
      <c r="AE80" s="11"/>
      <c r="AF80" s="11"/>
      <c r="AG80" s="12">
        <f>79/3</f>
        <v>26.333333333333332</v>
      </c>
      <c r="AH80" s="12">
        <f>79/3</f>
        <v>26.333333333333332</v>
      </c>
      <c r="AI80" s="12">
        <f>79/3</f>
        <v>26.333333333333332</v>
      </c>
      <c r="AJ80" s="11"/>
      <c r="AK80" s="11"/>
      <c r="AL80" s="14"/>
    </row>
    <row r="81" spans="2:38" ht="25.05" customHeight="1">
      <c r="B81" s="13"/>
      <c r="C81" s="29"/>
      <c r="D81" s="30"/>
      <c r="E81" s="19" t="s">
        <v>1334</v>
      </c>
      <c r="F81" s="8" t="s">
        <v>42</v>
      </c>
      <c r="G81" s="9">
        <v>0.72291666666666665</v>
      </c>
      <c r="H81" s="9">
        <v>0.77152777777777781</v>
      </c>
      <c r="I81" s="10">
        <f t="shared" si="7"/>
        <v>4.861111111111116E-2</v>
      </c>
      <c r="J81" s="11">
        <v>6</v>
      </c>
      <c r="K81" s="11">
        <v>93.27</v>
      </c>
      <c r="L81" s="16">
        <f t="shared" si="8"/>
        <v>13.324285714285701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/>
      <c r="AA81" s="11"/>
      <c r="AB81" s="11"/>
      <c r="AC81" s="11"/>
      <c r="AD81" s="11"/>
      <c r="AE81" s="11"/>
      <c r="AF81" s="11"/>
      <c r="AG81" s="11">
        <f>70/4</f>
        <v>17.5</v>
      </c>
      <c r="AH81" s="11">
        <f>70/4</f>
        <v>17.5</v>
      </c>
      <c r="AI81" s="11">
        <f>70/4</f>
        <v>17.5</v>
      </c>
      <c r="AJ81" s="11">
        <f>70/4</f>
        <v>17.5</v>
      </c>
      <c r="AK81" s="11"/>
      <c r="AL81" s="14"/>
    </row>
    <row r="82" spans="2:38" ht="25.05" customHeight="1">
      <c r="B82" s="13"/>
      <c r="C82" s="29"/>
      <c r="D82" s="30"/>
      <c r="E82" s="19"/>
      <c r="F82" s="8" t="s">
        <v>42</v>
      </c>
      <c r="G82" s="9"/>
      <c r="H82" s="9"/>
      <c r="I82" s="10">
        <f t="shared" si="7"/>
        <v>0</v>
      </c>
      <c r="J82" s="11"/>
      <c r="K82" s="11"/>
      <c r="L82" s="16" t="str">
        <f t="shared" si="8"/>
        <v>0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 t="s">
        <v>1004</v>
      </c>
      <c r="E83" s="19" t="s">
        <v>1221</v>
      </c>
      <c r="F83" s="8" t="s">
        <v>42</v>
      </c>
      <c r="G83" s="9">
        <v>0.37361111111111112</v>
      </c>
      <c r="H83" s="9">
        <v>0.38611111111111113</v>
      </c>
      <c r="I83" s="10">
        <f t="shared" si="7"/>
        <v>1.2500000000000011E-2</v>
      </c>
      <c r="J83" s="11">
        <v>4</v>
      </c>
      <c r="K83" s="11">
        <v>104.77</v>
      </c>
      <c r="L83" s="16">
        <f t="shared" si="8"/>
        <v>87.308333333333266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/>
      <c r="X83" s="11"/>
      <c r="Y83" s="11"/>
      <c r="Z83" s="11"/>
      <c r="AA83" s="11"/>
      <c r="AB83" s="11"/>
      <c r="AC83" s="11">
        <v>18</v>
      </c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1335</v>
      </c>
      <c r="F84" s="8" t="s">
        <v>42</v>
      </c>
      <c r="G84" s="9">
        <v>0.39305555555555555</v>
      </c>
      <c r="H84" s="9">
        <v>0.40486111111111112</v>
      </c>
      <c r="I84" s="10">
        <f t="shared" si="7"/>
        <v>1.1805555555555569E-2</v>
      </c>
      <c r="J84" s="11">
        <v>4</v>
      </c>
      <c r="K84" s="11">
        <v>106.11</v>
      </c>
      <c r="L84" s="16">
        <f t="shared" si="8"/>
        <v>93.626470588235179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>
        <v>17</v>
      </c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1018</v>
      </c>
      <c r="F85" s="8" t="s">
        <v>42</v>
      </c>
      <c r="G85" s="9">
        <v>0.38819444444444445</v>
      </c>
      <c r="H85" s="9">
        <v>0.39097222222222222</v>
      </c>
      <c r="I85" s="10">
        <f t="shared" si="7"/>
        <v>2.7777777777777679E-3</v>
      </c>
      <c r="J85" s="11">
        <v>4</v>
      </c>
      <c r="K85" s="11">
        <v>63.74</v>
      </c>
      <c r="L85" s="16">
        <f t="shared" si="8"/>
        <v>239.02500000000086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/>
      <c r="Y85" s="11"/>
      <c r="Z85" s="11"/>
      <c r="AA85" s="11"/>
      <c r="AB85" s="11"/>
      <c r="AC85" s="11"/>
      <c r="AD85" s="11">
        <v>4</v>
      </c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1019</v>
      </c>
      <c r="F86" s="8" t="s">
        <v>42</v>
      </c>
      <c r="G86" s="9">
        <v>0.39166666666666666</v>
      </c>
      <c r="H86" s="9">
        <v>0.39444444444444443</v>
      </c>
      <c r="I86" s="10">
        <f t="shared" si="7"/>
        <v>2.7777777777777679E-3</v>
      </c>
      <c r="J86" s="11">
        <v>4</v>
      </c>
      <c r="K86" s="11">
        <v>65.150000000000006</v>
      </c>
      <c r="L86" s="16">
        <f t="shared" si="8"/>
        <v>244.31250000000088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/>
      <c r="Z86" s="11"/>
      <c r="AA86" s="11"/>
      <c r="AB86" s="11"/>
      <c r="AC86" s="11"/>
      <c r="AD86" s="11">
        <v>4</v>
      </c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1020</v>
      </c>
      <c r="F87" s="8" t="s">
        <v>42</v>
      </c>
      <c r="G87" s="9">
        <v>0.45347222222222222</v>
      </c>
      <c r="H87" s="9">
        <v>0.45694444444444443</v>
      </c>
      <c r="I87" s="10">
        <f t="shared" si="7"/>
        <v>3.4722222222222099E-3</v>
      </c>
      <c r="J87" s="11">
        <v>4</v>
      </c>
      <c r="K87" s="11">
        <v>64.45</v>
      </c>
      <c r="L87" s="16">
        <f t="shared" si="8"/>
        <v>193.3500000000007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/>
      <c r="AA87" s="11"/>
      <c r="AB87" s="11"/>
      <c r="AC87" s="11"/>
      <c r="AD87" s="11">
        <v>5</v>
      </c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1021</v>
      </c>
      <c r="F88" s="8" t="s">
        <v>42</v>
      </c>
      <c r="G88" s="9">
        <v>0.45763888888888887</v>
      </c>
      <c r="H88" s="9">
        <v>0.46180555555555558</v>
      </c>
      <c r="I88" s="10">
        <f t="shared" si="7"/>
        <v>4.1666666666667074E-3</v>
      </c>
      <c r="J88" s="11">
        <v>4</v>
      </c>
      <c r="K88" s="11">
        <v>64.33</v>
      </c>
      <c r="L88" s="16">
        <f t="shared" si="8"/>
        <v>160.82499999999843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/>
      <c r="AA88" s="11"/>
      <c r="AB88" s="11"/>
      <c r="AC88" s="11"/>
      <c r="AD88" s="11">
        <v>6</v>
      </c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1336</v>
      </c>
      <c r="F89" s="8" t="s">
        <v>42</v>
      </c>
      <c r="G89" s="9">
        <v>0.46319444444444446</v>
      </c>
      <c r="H89" s="9">
        <v>0.46336805555555555</v>
      </c>
      <c r="I89" s="10">
        <f t="shared" si="7"/>
        <v>1.7361111111108274E-4</v>
      </c>
      <c r="J89" s="11">
        <v>4</v>
      </c>
      <c r="K89" s="11">
        <v>66.52</v>
      </c>
      <c r="L89" s="16">
        <f t="shared" si="8"/>
        <v>3991.2000000006519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/>
      <c r="Z89" s="11"/>
      <c r="AA89" s="11"/>
      <c r="AB89" s="11">
        <v>1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1337</v>
      </c>
      <c r="F90" s="8" t="s">
        <v>42</v>
      </c>
      <c r="G90" s="9">
        <v>0.46805555555555556</v>
      </c>
      <c r="H90" s="9">
        <v>0.46822916666666664</v>
      </c>
      <c r="I90" s="10">
        <f t="shared" si="7"/>
        <v>1.7361111111108274E-4</v>
      </c>
      <c r="J90" s="11">
        <v>4</v>
      </c>
      <c r="K90" s="11">
        <v>66.77</v>
      </c>
      <c r="L90" s="16">
        <f t="shared" si="8"/>
        <v>4006.2000000006542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/>
      <c r="AA90" s="11"/>
      <c r="AB90" s="11">
        <v>1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1338</v>
      </c>
      <c r="F91" s="8" t="s">
        <v>42</v>
      </c>
      <c r="G91" s="9">
        <v>0.47291666666666665</v>
      </c>
      <c r="H91" s="9">
        <v>0.47309027777777779</v>
      </c>
      <c r="I91" s="10">
        <f t="shared" si="7"/>
        <v>1.7361111111113825E-4</v>
      </c>
      <c r="J91" s="11">
        <v>4</v>
      </c>
      <c r="K91" s="11">
        <v>66.72</v>
      </c>
      <c r="L91" s="16">
        <f t="shared" si="8"/>
        <v>4003.1999999993745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/>
      <c r="Y91" s="11"/>
      <c r="Z91" s="11"/>
      <c r="AA91" s="11"/>
      <c r="AB91" s="11">
        <v>1</v>
      </c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1339</v>
      </c>
      <c r="F92" s="8" t="s">
        <v>42</v>
      </c>
      <c r="G92" s="9">
        <v>0.47638888888888886</v>
      </c>
      <c r="H92" s="9">
        <v>0.4765625</v>
      </c>
      <c r="I92" s="10">
        <f t="shared" si="7"/>
        <v>1.7361111111113825E-4</v>
      </c>
      <c r="J92" s="11">
        <v>4</v>
      </c>
      <c r="K92" s="11">
        <v>67.02</v>
      </c>
      <c r="L92" s="16">
        <f t="shared" si="8"/>
        <v>4021.1999999993714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/>
      <c r="Z92" s="11"/>
      <c r="AA92" s="11"/>
      <c r="AB92" s="11">
        <v>1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1134</v>
      </c>
      <c r="F93" s="8" t="s">
        <v>42</v>
      </c>
      <c r="G93" s="9">
        <v>0.4152777777777778</v>
      </c>
      <c r="H93" s="9">
        <v>0.43819444444444444</v>
      </c>
      <c r="I93" s="10">
        <f t="shared" si="7"/>
        <v>2.2916666666666641E-2</v>
      </c>
      <c r="J93" s="11">
        <v>4</v>
      </c>
      <c r="K93" s="11">
        <v>93.21</v>
      </c>
      <c r="L93" s="16">
        <f t="shared" si="8"/>
        <v>42.36818181818186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2</v>
      </c>
      <c r="W93" s="12"/>
      <c r="X93" s="11"/>
      <c r="Y93" s="11"/>
      <c r="Z93" s="11"/>
      <c r="AA93" s="11"/>
      <c r="AB93" s="11"/>
      <c r="AC93" s="11">
        <v>33</v>
      </c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1135</v>
      </c>
      <c r="F94" s="8" t="s">
        <v>42</v>
      </c>
      <c r="G94" s="9">
        <v>0.44513888888888886</v>
      </c>
      <c r="H94" s="9">
        <v>0.46666666666666667</v>
      </c>
      <c r="I94" s="10">
        <f t="shared" si="7"/>
        <v>2.1527777777777812E-2</v>
      </c>
      <c r="J94" s="11">
        <v>4</v>
      </c>
      <c r="K94" s="11">
        <v>91</v>
      </c>
      <c r="L94" s="16">
        <f t="shared" si="8"/>
        <v>44.032258064516064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2</v>
      </c>
      <c r="W94" s="12"/>
      <c r="X94" s="11"/>
      <c r="Y94" s="11"/>
      <c r="Z94" s="11"/>
      <c r="AA94" s="11"/>
      <c r="AB94" s="11"/>
      <c r="AC94" s="11">
        <v>31</v>
      </c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1136</v>
      </c>
      <c r="F95" s="8" t="s">
        <v>42</v>
      </c>
      <c r="G95" s="9">
        <v>0.47430555555555554</v>
      </c>
      <c r="H95" s="9">
        <v>0.49652777777777779</v>
      </c>
      <c r="I95" s="10">
        <f t="shared" si="7"/>
        <v>2.2222222222222254E-2</v>
      </c>
      <c r="J95" s="11">
        <v>4</v>
      </c>
      <c r="K95" s="11">
        <v>93.69</v>
      </c>
      <c r="L95" s="16">
        <f t="shared" si="8"/>
        <v>43.917187499999933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2</v>
      </c>
      <c r="W95" s="12"/>
      <c r="X95" s="11"/>
      <c r="Y95" s="11"/>
      <c r="Z95" s="11"/>
      <c r="AA95" s="11"/>
      <c r="AB95" s="11"/>
      <c r="AC95" s="11">
        <v>32</v>
      </c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1137</v>
      </c>
      <c r="F96" s="8" t="s">
        <v>42</v>
      </c>
      <c r="G96" s="9">
        <v>0.50416666666666665</v>
      </c>
      <c r="H96" s="9">
        <v>0.53402777777777777</v>
      </c>
      <c r="I96" s="10">
        <f t="shared" si="7"/>
        <v>2.9861111111111116E-2</v>
      </c>
      <c r="J96" s="11">
        <v>4</v>
      </c>
      <c r="K96" s="11">
        <v>92</v>
      </c>
      <c r="L96" s="16">
        <f t="shared" si="8"/>
        <v>32.093023255813947</v>
      </c>
      <c r="M96" s="11"/>
      <c r="N96" s="11"/>
      <c r="O96" s="11"/>
      <c r="P96" s="11"/>
      <c r="Q96" s="11"/>
      <c r="R96" s="12"/>
      <c r="S96" s="12"/>
      <c r="T96" s="11"/>
      <c r="U96" s="11"/>
      <c r="V96" s="12">
        <v>2</v>
      </c>
      <c r="W96" s="12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127" t="s">
        <v>1331</v>
      </c>
      <c r="E97" s="19" t="s">
        <v>1340</v>
      </c>
      <c r="F97" s="8" t="s">
        <v>42</v>
      </c>
      <c r="G97" s="9">
        <v>0.71527777777777779</v>
      </c>
      <c r="H97" s="9">
        <v>0.72152777777777777</v>
      </c>
      <c r="I97" s="10">
        <f t="shared" si="7"/>
        <v>6.2499999999999778E-3</v>
      </c>
      <c r="J97" s="11">
        <v>5</v>
      </c>
      <c r="K97" s="11">
        <v>45.32</v>
      </c>
      <c r="L97" s="16">
        <f t="shared" si="8"/>
        <v>60.426666666666883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/>
      <c r="Y97" s="11"/>
      <c r="Z97" s="11"/>
      <c r="AA97" s="11"/>
      <c r="AB97" s="11"/>
      <c r="AC97" s="11">
        <v>9</v>
      </c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1341</v>
      </c>
      <c r="F98" s="8" t="s">
        <v>42</v>
      </c>
      <c r="G98" s="9">
        <v>0.71527777777777779</v>
      </c>
      <c r="H98" s="9">
        <v>0.72152777777777777</v>
      </c>
      <c r="I98" s="10">
        <f t="shared" si="7"/>
        <v>6.2499999999999778E-3</v>
      </c>
      <c r="J98" s="11">
        <v>5</v>
      </c>
      <c r="K98" s="11">
        <v>45.3</v>
      </c>
      <c r="L98" s="16">
        <f t="shared" si="8"/>
        <v>60.400000000000212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>
        <v>9</v>
      </c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1342</v>
      </c>
      <c r="F99" s="8" t="s">
        <v>42</v>
      </c>
      <c r="G99" s="9">
        <v>0.73055555555555551</v>
      </c>
      <c r="H99" s="9">
        <v>0.7368055555555556</v>
      </c>
      <c r="I99" s="10">
        <f t="shared" si="7"/>
        <v>6.2500000000000888E-3</v>
      </c>
      <c r="J99" s="11">
        <v>5</v>
      </c>
      <c r="K99" s="11">
        <v>45.5</v>
      </c>
      <c r="L99" s="16">
        <f t="shared" si="8"/>
        <v>60.666666666665805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/>
      <c r="X99" s="11"/>
      <c r="Y99" s="11"/>
      <c r="Z99" s="11"/>
      <c r="AA99" s="11"/>
      <c r="AB99" s="11"/>
      <c r="AC99" s="11">
        <v>9</v>
      </c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1343</v>
      </c>
      <c r="F100" s="8" t="s">
        <v>42</v>
      </c>
      <c r="G100" s="9">
        <v>0.73055555555555551</v>
      </c>
      <c r="H100" s="9">
        <v>0.7368055555555556</v>
      </c>
      <c r="I100" s="10">
        <f t="shared" si="7"/>
        <v>6.2500000000000888E-3</v>
      </c>
      <c r="J100" s="11">
        <v>5</v>
      </c>
      <c r="K100" s="11">
        <v>46.48</v>
      </c>
      <c r="L100" s="16">
        <f t="shared" si="8"/>
        <v>61.973333333332448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/>
      <c r="X100" s="11"/>
      <c r="Y100" s="11"/>
      <c r="Z100" s="11"/>
      <c r="AA100" s="11"/>
      <c r="AB100" s="11"/>
      <c r="AC100" s="11">
        <v>9</v>
      </c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1344</v>
      </c>
      <c r="F101" s="8" t="s">
        <v>42</v>
      </c>
      <c r="G101" s="9">
        <v>0.74444444444444446</v>
      </c>
      <c r="H101" s="9">
        <v>0.75</v>
      </c>
      <c r="I101" s="10">
        <f t="shared" si="7"/>
        <v>5.5555555555555358E-3</v>
      </c>
      <c r="J101" s="11">
        <v>5</v>
      </c>
      <c r="K101" s="11">
        <v>47.31</v>
      </c>
      <c r="L101" s="16">
        <f t="shared" si="8"/>
        <v>70.965000000000259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/>
      <c r="X101" s="11"/>
      <c r="Y101" s="11"/>
      <c r="Z101" s="11"/>
      <c r="AA101" s="11"/>
      <c r="AB101" s="11"/>
      <c r="AC101" s="11">
        <v>8</v>
      </c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/>
      <c r="F102" s="8" t="s">
        <v>42</v>
      </c>
      <c r="G102" s="9"/>
      <c r="H102" s="9"/>
      <c r="I102" s="10">
        <f t="shared" si="7"/>
        <v>0</v>
      </c>
      <c r="J102" s="11"/>
      <c r="K102" s="11"/>
      <c r="L102" s="16" t="str">
        <f t="shared" si="8"/>
        <v>0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 t="s">
        <v>439</v>
      </c>
      <c r="E103" s="19" t="s">
        <v>1345</v>
      </c>
      <c r="F103" s="8" t="s">
        <v>42</v>
      </c>
      <c r="G103" s="9">
        <v>0.40347222222222223</v>
      </c>
      <c r="H103" s="9">
        <v>0.40833333333333333</v>
      </c>
      <c r="I103" s="10">
        <f t="shared" si="7"/>
        <v>4.8611111111110938E-3</v>
      </c>
      <c r="J103" s="11">
        <v>4</v>
      </c>
      <c r="K103" s="11" t="s">
        <v>42</v>
      </c>
      <c r="L103" s="16" t="str">
        <f t="shared" si="8"/>
        <v>0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/>
      <c r="X103" s="11"/>
      <c r="Y103" s="11"/>
      <c r="Z103" s="11"/>
      <c r="AA103" s="11"/>
      <c r="AB103" s="11"/>
      <c r="AC103" s="11"/>
      <c r="AD103" s="11">
        <v>7</v>
      </c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1346</v>
      </c>
      <c r="F104" s="8" t="s">
        <v>42</v>
      </c>
      <c r="G104" s="9">
        <v>0.41111111111111109</v>
      </c>
      <c r="H104" s="9">
        <v>0.41597222222222224</v>
      </c>
      <c r="I104" s="10">
        <f t="shared" si="7"/>
        <v>4.8611111111111494E-3</v>
      </c>
      <c r="J104" s="11">
        <v>4</v>
      </c>
      <c r="K104" s="11" t="s">
        <v>42</v>
      </c>
      <c r="L104" s="16" t="str">
        <f t="shared" si="8"/>
        <v>0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/>
      <c r="X104" s="11"/>
      <c r="Y104" s="11"/>
      <c r="Z104" s="11"/>
      <c r="AA104" s="11"/>
      <c r="AB104" s="11"/>
      <c r="AC104" s="11"/>
      <c r="AD104" s="11">
        <v>7</v>
      </c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1347</v>
      </c>
      <c r="F105" s="8" t="s">
        <v>42</v>
      </c>
      <c r="G105" s="9">
        <v>0.4201388888888889</v>
      </c>
      <c r="H105" s="9">
        <v>0.42499999999999999</v>
      </c>
      <c r="I105" s="10">
        <f t="shared" si="7"/>
        <v>4.8611111111110938E-3</v>
      </c>
      <c r="J105" s="11">
        <v>4</v>
      </c>
      <c r="K105" s="11" t="s">
        <v>42</v>
      </c>
      <c r="L105" s="16" t="str">
        <f t="shared" si="8"/>
        <v>0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/>
      <c r="X105" s="11"/>
      <c r="Y105" s="11"/>
      <c r="Z105" s="11"/>
      <c r="AA105" s="11"/>
      <c r="AB105" s="11"/>
      <c r="AC105" s="11"/>
      <c r="AD105" s="11">
        <v>7</v>
      </c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1348</v>
      </c>
      <c r="F106" s="8" t="s">
        <v>42</v>
      </c>
      <c r="G106" s="9">
        <v>0.4284722222222222</v>
      </c>
      <c r="H106" s="9">
        <v>0.43333333333333335</v>
      </c>
      <c r="I106" s="10">
        <f t="shared" si="7"/>
        <v>4.8611111111111494E-3</v>
      </c>
      <c r="J106" s="11">
        <v>4</v>
      </c>
      <c r="K106" s="11" t="s">
        <v>42</v>
      </c>
      <c r="L106" s="16" t="str">
        <f t="shared" si="8"/>
        <v>0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/>
      <c r="X106" s="11"/>
      <c r="Y106" s="11"/>
      <c r="Z106" s="11"/>
      <c r="AA106" s="11"/>
      <c r="AB106" s="11"/>
      <c r="AC106" s="11"/>
      <c r="AD106" s="11">
        <v>7</v>
      </c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1349</v>
      </c>
      <c r="F107" s="8" t="s">
        <v>42</v>
      </c>
      <c r="G107" s="9">
        <v>0.4375</v>
      </c>
      <c r="H107" s="9">
        <v>0.44236111111111109</v>
      </c>
      <c r="I107" s="10">
        <f t="shared" si="7"/>
        <v>4.8611111111110938E-3</v>
      </c>
      <c r="J107" s="11">
        <v>4</v>
      </c>
      <c r="K107" s="11" t="s">
        <v>42</v>
      </c>
      <c r="L107" s="16" t="str">
        <f t="shared" si="8"/>
        <v>0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/>
      <c r="X107" s="11"/>
      <c r="Y107" s="11"/>
      <c r="Z107" s="11"/>
      <c r="AA107" s="11"/>
      <c r="AB107" s="11"/>
      <c r="AC107" s="11"/>
      <c r="AD107" s="11">
        <v>7</v>
      </c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1350</v>
      </c>
      <c r="F108" s="8" t="s">
        <v>42</v>
      </c>
      <c r="G108" s="9">
        <v>0.44513888888888886</v>
      </c>
      <c r="H108" s="9">
        <v>0.45</v>
      </c>
      <c r="I108" s="10">
        <f t="shared" ref="I108:I157" si="16">H108-G108</f>
        <v>4.8611111111111494E-3</v>
      </c>
      <c r="J108" s="11">
        <v>4</v>
      </c>
      <c r="K108" s="11" t="s">
        <v>42</v>
      </c>
      <c r="L108" s="16" t="str">
        <f t="shared" si="8"/>
        <v>0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/>
      <c r="X108" s="11"/>
      <c r="Y108" s="11"/>
      <c r="Z108" s="11"/>
      <c r="AA108" s="11"/>
      <c r="AB108" s="11"/>
      <c r="AC108" s="11"/>
      <c r="AD108" s="11">
        <v>7</v>
      </c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1351</v>
      </c>
      <c r="F109" s="8" t="s">
        <v>42</v>
      </c>
      <c r="G109" s="9">
        <v>0.45347222222222222</v>
      </c>
      <c r="H109" s="9">
        <v>0.45833333333333331</v>
      </c>
      <c r="I109" s="10">
        <f t="shared" si="16"/>
        <v>4.8611111111110938E-3</v>
      </c>
      <c r="J109" s="11">
        <v>4</v>
      </c>
      <c r="K109" s="11" t="s">
        <v>42</v>
      </c>
      <c r="L109" s="16" t="str">
        <f t="shared" ref="L109:L191" si="17">IFERROR(((K109/(J109*I109)/24)),"0")</f>
        <v>0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/>
      <c r="X109" s="11"/>
      <c r="Y109" s="11"/>
      <c r="Z109" s="11"/>
      <c r="AA109" s="11"/>
      <c r="AB109" s="11"/>
      <c r="AC109" s="11"/>
      <c r="AD109" s="11">
        <v>7</v>
      </c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1352</v>
      </c>
      <c r="F110" s="8" t="s">
        <v>42</v>
      </c>
      <c r="G110" s="9">
        <v>0.46111111111111114</v>
      </c>
      <c r="H110" s="9">
        <v>0.46597222222222223</v>
      </c>
      <c r="I110" s="10">
        <f t="shared" si="16"/>
        <v>4.8611111111110938E-3</v>
      </c>
      <c r="J110" s="11">
        <v>4</v>
      </c>
      <c r="K110" s="11" t="s">
        <v>42</v>
      </c>
      <c r="L110" s="16" t="str">
        <f t="shared" si="17"/>
        <v>0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/>
      <c r="X110" s="11"/>
      <c r="Y110" s="11"/>
      <c r="Z110" s="11"/>
      <c r="AA110" s="11"/>
      <c r="AB110" s="11"/>
      <c r="AC110" s="11"/>
      <c r="AD110" s="11">
        <v>7</v>
      </c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1353</v>
      </c>
      <c r="F111" s="8" t="s">
        <v>42</v>
      </c>
      <c r="G111" s="9">
        <v>0.46944444444444444</v>
      </c>
      <c r="H111" s="9">
        <v>0.47430555555555554</v>
      </c>
      <c r="I111" s="10">
        <f t="shared" si="16"/>
        <v>4.8611111111110938E-3</v>
      </c>
      <c r="J111" s="11">
        <v>4</v>
      </c>
      <c r="K111" s="11" t="s">
        <v>42</v>
      </c>
      <c r="L111" s="16" t="str">
        <f t="shared" si="17"/>
        <v>0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/>
      <c r="X111" s="11"/>
      <c r="Y111" s="11"/>
      <c r="Z111" s="11"/>
      <c r="AA111" s="11"/>
      <c r="AB111" s="11"/>
      <c r="AC111" s="11"/>
      <c r="AD111" s="11">
        <v>7</v>
      </c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1354</v>
      </c>
      <c r="F112" s="8" t="s">
        <v>42</v>
      </c>
      <c r="G112" s="9">
        <v>0.47708333333333336</v>
      </c>
      <c r="H112" s="9">
        <v>0.48194444444444445</v>
      </c>
      <c r="I112" s="10">
        <f t="shared" si="16"/>
        <v>4.8611111111110938E-3</v>
      </c>
      <c r="J112" s="11">
        <v>4</v>
      </c>
      <c r="K112" s="11" t="s">
        <v>42</v>
      </c>
      <c r="L112" s="16" t="str">
        <f t="shared" si="17"/>
        <v>0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/>
      <c r="X112" s="11"/>
      <c r="Y112" s="11"/>
      <c r="Z112" s="11"/>
      <c r="AA112" s="11"/>
      <c r="AB112" s="11"/>
      <c r="AC112" s="11"/>
      <c r="AD112" s="11">
        <v>7</v>
      </c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9" t="s">
        <v>1355</v>
      </c>
      <c r="F113" s="8" t="s">
        <v>42</v>
      </c>
      <c r="G113" s="9">
        <v>0.4861111111111111</v>
      </c>
      <c r="H113" s="9">
        <v>0.4909722222222222</v>
      </c>
      <c r="I113" s="10">
        <f t="shared" si="16"/>
        <v>4.8611111111110938E-3</v>
      </c>
      <c r="J113" s="11">
        <v>4</v>
      </c>
      <c r="K113" s="11" t="s">
        <v>42</v>
      </c>
      <c r="L113" s="16" t="str">
        <f t="shared" si="17"/>
        <v>0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/>
      <c r="X113" s="11"/>
      <c r="Y113" s="11"/>
      <c r="Z113" s="11"/>
      <c r="AA113" s="11"/>
      <c r="AB113" s="11"/>
      <c r="AC113" s="11"/>
      <c r="AD113" s="11">
        <v>7</v>
      </c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 t="s">
        <v>1356</v>
      </c>
      <c r="F114" s="8" t="s">
        <v>42</v>
      </c>
      <c r="G114" s="9">
        <v>0.49444444444444446</v>
      </c>
      <c r="H114" s="9">
        <v>0.49930555555555556</v>
      </c>
      <c r="I114" s="10">
        <f t="shared" si="16"/>
        <v>4.8611111111110938E-3</v>
      </c>
      <c r="J114" s="11">
        <v>4</v>
      </c>
      <c r="K114" s="11" t="s">
        <v>42</v>
      </c>
      <c r="L114" s="16" t="str">
        <f t="shared" si="17"/>
        <v>0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/>
      <c r="X114" s="11"/>
      <c r="Y114" s="11"/>
      <c r="Z114" s="11"/>
      <c r="AA114" s="11"/>
      <c r="AB114" s="11"/>
      <c r="AC114" s="11"/>
      <c r="AD114" s="11">
        <v>7</v>
      </c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9" t="s">
        <v>1357</v>
      </c>
      <c r="F115" s="8" t="s">
        <v>42</v>
      </c>
      <c r="G115" s="9">
        <v>0.41458333333333336</v>
      </c>
      <c r="H115" s="9">
        <v>0.42291666666666666</v>
      </c>
      <c r="I115" s="10">
        <f t="shared" si="16"/>
        <v>8.3333333333333037E-3</v>
      </c>
      <c r="J115" s="11">
        <v>5</v>
      </c>
      <c r="K115" s="11">
        <v>62.38</v>
      </c>
      <c r="L115" s="16">
        <f t="shared" si="17"/>
        <v>62.380000000000223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>
        <v>2</v>
      </c>
      <c r="X115" s="11"/>
      <c r="Y115" s="11"/>
      <c r="Z115" s="11"/>
      <c r="AA115" s="11">
        <v>12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2:38" ht="25.05" customHeight="1">
      <c r="B116" s="13"/>
      <c r="C116" s="29"/>
      <c r="D116" s="30"/>
      <c r="E116" s="19" t="s">
        <v>1358</v>
      </c>
      <c r="F116" s="8" t="s">
        <v>42</v>
      </c>
      <c r="G116" s="9">
        <v>0.41875000000000001</v>
      </c>
      <c r="H116" s="9">
        <v>0.42708333333333331</v>
      </c>
      <c r="I116" s="10">
        <f t="shared" si="16"/>
        <v>8.3333333333333037E-3</v>
      </c>
      <c r="J116" s="11">
        <v>5</v>
      </c>
      <c r="K116" s="11">
        <v>68.41</v>
      </c>
      <c r="L116" s="16">
        <f t="shared" si="17"/>
        <v>68.410000000000238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2</v>
      </c>
      <c r="X116" s="11"/>
      <c r="Y116" s="11">
        <v>12</v>
      </c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2:38" ht="25.05" customHeight="1">
      <c r="B117" s="13"/>
      <c r="C117" s="29"/>
      <c r="D117" s="30"/>
      <c r="E117" s="19" t="s">
        <v>1359</v>
      </c>
      <c r="F117" s="8" t="s">
        <v>42</v>
      </c>
      <c r="G117" s="9">
        <v>0.43194444444444446</v>
      </c>
      <c r="H117" s="9">
        <v>0.44027777777777777</v>
      </c>
      <c r="I117" s="10">
        <f t="shared" si="16"/>
        <v>8.3333333333333037E-3</v>
      </c>
      <c r="J117" s="11">
        <v>5</v>
      </c>
      <c r="K117" s="11">
        <v>63.19</v>
      </c>
      <c r="L117" s="16">
        <f t="shared" si="17"/>
        <v>63.190000000000225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>
        <v>2</v>
      </c>
      <c r="X117" s="11"/>
      <c r="Y117" s="11">
        <v>12</v>
      </c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2:38" ht="25.05" customHeight="1">
      <c r="B118" s="13"/>
      <c r="C118" s="29"/>
      <c r="D118" s="30"/>
      <c r="E118" s="19" t="s">
        <v>1360</v>
      </c>
      <c r="F118" s="8" t="s">
        <v>42</v>
      </c>
      <c r="G118" s="9">
        <v>0.43611111111111112</v>
      </c>
      <c r="H118" s="9">
        <v>0.44444444444444442</v>
      </c>
      <c r="I118" s="10">
        <f t="shared" si="16"/>
        <v>8.3333333333333037E-3</v>
      </c>
      <c r="J118" s="11">
        <v>5</v>
      </c>
      <c r="K118" s="11">
        <v>72.930000000000007</v>
      </c>
      <c r="L118" s="16">
        <f t="shared" si="17"/>
        <v>72.930000000000263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>
        <v>2</v>
      </c>
      <c r="X118" s="11"/>
      <c r="Y118" s="11"/>
      <c r="Z118" s="11">
        <v>12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2:38" ht="25.05" customHeight="1">
      <c r="B119" s="13"/>
      <c r="C119" s="29"/>
      <c r="D119" s="30"/>
      <c r="E119" s="19" t="s">
        <v>1361</v>
      </c>
      <c r="F119" s="8" t="s">
        <v>42</v>
      </c>
      <c r="G119" s="9">
        <v>0.44861111111111113</v>
      </c>
      <c r="H119" s="9">
        <v>0.45694444444444443</v>
      </c>
      <c r="I119" s="10">
        <f t="shared" si="16"/>
        <v>8.3333333333333037E-3</v>
      </c>
      <c r="J119" s="11">
        <v>5</v>
      </c>
      <c r="K119" s="11">
        <v>64.44</v>
      </c>
      <c r="L119" s="16">
        <f t="shared" si="17"/>
        <v>64.440000000000225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>
        <v>2</v>
      </c>
      <c r="X119" s="11"/>
      <c r="Y119" s="11">
        <v>12</v>
      </c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/>
      <c r="E120" s="19" t="s">
        <v>1362</v>
      </c>
      <c r="F120" s="8" t="s">
        <v>42</v>
      </c>
      <c r="G120" s="9">
        <v>0.45277777777777778</v>
      </c>
      <c r="H120" s="9">
        <v>0.46111111111111114</v>
      </c>
      <c r="I120" s="10">
        <f t="shared" si="16"/>
        <v>8.3333333333333592E-3</v>
      </c>
      <c r="J120" s="11">
        <v>5</v>
      </c>
      <c r="K120" s="11">
        <v>77.48</v>
      </c>
      <c r="L120" s="16">
        <f t="shared" si="17"/>
        <v>77.479999999999762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>
        <v>2</v>
      </c>
      <c r="X120" s="11"/>
      <c r="Y120" s="11"/>
      <c r="Z120" s="11">
        <v>12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 t="s">
        <v>1363</v>
      </c>
      <c r="F121" s="8" t="s">
        <v>42</v>
      </c>
      <c r="G121" s="9">
        <v>0.46736111111111112</v>
      </c>
      <c r="H121" s="9">
        <v>0.47569444444444442</v>
      </c>
      <c r="I121" s="10">
        <f t="shared" si="16"/>
        <v>8.3333333333333037E-3</v>
      </c>
      <c r="J121" s="11">
        <v>5</v>
      </c>
      <c r="K121" s="11">
        <v>66.45</v>
      </c>
      <c r="L121" s="16">
        <f t="shared" si="17"/>
        <v>66.45000000000023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>
        <v>2</v>
      </c>
      <c r="X121" s="11"/>
      <c r="Y121" s="11">
        <v>12</v>
      </c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30"/>
      <c r="E122" s="19" t="s">
        <v>1364</v>
      </c>
      <c r="F122" s="8" t="s">
        <v>42</v>
      </c>
      <c r="G122" s="9">
        <v>0.47083333333333333</v>
      </c>
      <c r="H122" s="9">
        <v>0.47916666666666669</v>
      </c>
      <c r="I122" s="10">
        <f t="shared" si="16"/>
        <v>8.3333333333333592E-3</v>
      </c>
      <c r="J122" s="11">
        <v>5</v>
      </c>
      <c r="K122" s="11">
        <v>77.459999999999994</v>
      </c>
      <c r="L122" s="16">
        <f t="shared" si="17"/>
        <v>77.459999999999752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/>
      <c r="W122" s="12">
        <v>2</v>
      </c>
      <c r="X122" s="11"/>
      <c r="Y122" s="11"/>
      <c r="Z122" s="11">
        <v>12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/>
      <c r="E123" s="19" t="s">
        <v>1365</v>
      </c>
      <c r="F123" s="8" t="s">
        <v>42</v>
      </c>
      <c r="G123" s="9">
        <v>0.48541666666666666</v>
      </c>
      <c r="H123" s="9">
        <v>0.49375000000000002</v>
      </c>
      <c r="I123" s="10">
        <f t="shared" si="16"/>
        <v>8.3333333333333592E-3</v>
      </c>
      <c r="J123" s="11">
        <v>5</v>
      </c>
      <c r="K123" s="11">
        <v>66.89</v>
      </c>
      <c r="L123" s="16">
        <f t="shared" si="17"/>
        <v>66.889999999999802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/>
      <c r="W123" s="12">
        <v>2</v>
      </c>
      <c r="X123" s="11"/>
      <c r="Y123" s="11">
        <v>12</v>
      </c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2:38" ht="25.05" customHeight="1">
      <c r="B124" s="13"/>
      <c r="C124" s="29"/>
      <c r="D124" s="30"/>
      <c r="E124" s="19" t="s">
        <v>1366</v>
      </c>
      <c r="F124" s="8" t="s">
        <v>42</v>
      </c>
      <c r="G124" s="9">
        <v>0.48819444444444443</v>
      </c>
      <c r="H124" s="9">
        <v>0.49652777777777779</v>
      </c>
      <c r="I124" s="10">
        <f t="shared" si="16"/>
        <v>8.3333333333333592E-3</v>
      </c>
      <c r="J124" s="11">
        <v>5</v>
      </c>
      <c r="K124" s="11">
        <v>73.33</v>
      </c>
      <c r="L124" s="16">
        <f t="shared" si="17"/>
        <v>73.329999999999771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/>
      <c r="W124" s="12">
        <v>2</v>
      </c>
      <c r="X124" s="11"/>
      <c r="Y124" s="11"/>
      <c r="Z124" s="11">
        <v>12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/>
      <c r="E125" s="19" t="s">
        <v>1367</v>
      </c>
      <c r="F125" s="8" t="s">
        <v>42</v>
      </c>
      <c r="G125" s="9">
        <v>0.50208333333333333</v>
      </c>
      <c r="H125" s="9">
        <v>0.51041666666666663</v>
      </c>
      <c r="I125" s="10">
        <f t="shared" si="16"/>
        <v>8.3333333333333037E-3</v>
      </c>
      <c r="J125" s="11">
        <v>5</v>
      </c>
      <c r="K125" s="11">
        <v>67.11</v>
      </c>
      <c r="L125" s="16">
        <f t="shared" si="17"/>
        <v>67.110000000000241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>
        <v>2</v>
      </c>
      <c r="X125" s="11"/>
      <c r="Y125" s="11">
        <v>12</v>
      </c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19" t="s">
        <v>1368</v>
      </c>
      <c r="F126" s="8" t="s">
        <v>42</v>
      </c>
      <c r="G126" s="9">
        <v>0.50416666666666665</v>
      </c>
      <c r="H126" s="9">
        <v>0.51249999999999996</v>
      </c>
      <c r="I126" s="10">
        <f t="shared" si="16"/>
        <v>8.3333333333333037E-3</v>
      </c>
      <c r="J126" s="11">
        <v>5</v>
      </c>
      <c r="K126" s="11">
        <v>72.86</v>
      </c>
      <c r="L126" s="16">
        <f t="shared" si="17"/>
        <v>72.860000000000255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>
        <v>2</v>
      </c>
      <c r="X126" s="11"/>
      <c r="Y126" s="11"/>
      <c r="Z126" s="11">
        <v>12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0"/>
      <c r="E127" s="19" t="s">
        <v>132</v>
      </c>
      <c r="F127" s="8" t="s">
        <v>42</v>
      </c>
      <c r="G127" s="9">
        <v>0.4909722222222222</v>
      </c>
      <c r="H127" s="9">
        <v>0.49103009259259262</v>
      </c>
      <c r="I127" s="10">
        <f t="shared" si="16"/>
        <v>5.7870370370416424E-5</v>
      </c>
      <c r="J127" s="11">
        <v>4</v>
      </c>
      <c r="K127" s="11">
        <v>16.309999999999999</v>
      </c>
      <c r="L127" s="16">
        <f t="shared" si="17"/>
        <v>2935.7999999976637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>
        <v>2</v>
      </c>
      <c r="W127" s="12"/>
      <c r="X127" s="11">
        <v>0.1</v>
      </c>
      <c r="Y127" s="11"/>
      <c r="Z127" s="11"/>
      <c r="AA127" s="11"/>
      <c r="AB127" s="11">
        <v>1</v>
      </c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0"/>
      <c r="E128" s="19" t="s">
        <v>133</v>
      </c>
      <c r="F128" s="8" t="s">
        <v>42</v>
      </c>
      <c r="G128" s="9">
        <v>0.49236111111111114</v>
      </c>
      <c r="H128" s="9">
        <v>0.4924189814814815</v>
      </c>
      <c r="I128" s="10">
        <f t="shared" si="16"/>
        <v>5.7870370370360913E-5</v>
      </c>
      <c r="J128" s="11">
        <v>4</v>
      </c>
      <c r="K128" s="11">
        <v>15.91</v>
      </c>
      <c r="L128" s="16">
        <f t="shared" si="17"/>
        <v>2863.8000000004681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>
        <v>2</v>
      </c>
      <c r="W128" s="12"/>
      <c r="X128" s="11">
        <v>0.1</v>
      </c>
      <c r="Y128" s="11"/>
      <c r="Z128" s="11"/>
      <c r="AA128" s="11"/>
      <c r="AB128" s="11">
        <v>1</v>
      </c>
      <c r="AC128" s="11"/>
      <c r="AD128" s="11"/>
      <c r="AE128" s="11"/>
      <c r="AF128" s="11"/>
      <c r="AG128" s="11"/>
      <c r="AH128" s="11"/>
      <c r="AI128" s="11"/>
      <c r="AJ128" s="11"/>
      <c r="AK128" s="11"/>
      <c r="AL128" s="14"/>
    </row>
    <row r="129" spans="2:38" ht="25.05" customHeight="1">
      <c r="B129" s="13"/>
      <c r="C129" s="29"/>
      <c r="D129" s="30"/>
      <c r="E129" s="19" t="s">
        <v>134</v>
      </c>
      <c r="F129" s="8" t="s">
        <v>42</v>
      </c>
      <c r="G129" s="9">
        <v>0.49305555555555558</v>
      </c>
      <c r="H129" s="9">
        <v>0.49311342592592594</v>
      </c>
      <c r="I129" s="10">
        <f t="shared" si="16"/>
        <v>5.7870370370360913E-5</v>
      </c>
      <c r="J129" s="11">
        <v>4</v>
      </c>
      <c r="K129" s="11">
        <v>16.63</v>
      </c>
      <c r="L129" s="16">
        <f t="shared" si="17"/>
        <v>2993.4000000004889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>
        <v>2</v>
      </c>
      <c r="W129" s="12"/>
      <c r="X129" s="11">
        <v>0.1</v>
      </c>
      <c r="Y129" s="11"/>
      <c r="Z129" s="11"/>
      <c r="AA129" s="11"/>
      <c r="AB129" s="11">
        <v>1</v>
      </c>
      <c r="AC129" s="11"/>
      <c r="AD129" s="11"/>
      <c r="AE129" s="11"/>
      <c r="AF129" s="11"/>
      <c r="AG129" s="11"/>
      <c r="AH129" s="11"/>
      <c r="AI129" s="11"/>
      <c r="AJ129" s="11"/>
      <c r="AK129" s="11"/>
      <c r="AL129" s="14"/>
    </row>
    <row r="130" spans="2:38" ht="25.05" customHeight="1">
      <c r="B130" s="13"/>
      <c r="C130" s="29"/>
      <c r="D130" s="30"/>
      <c r="E130" s="19" t="s">
        <v>135</v>
      </c>
      <c r="F130" s="8" t="s">
        <v>42</v>
      </c>
      <c r="G130" s="9">
        <v>0.49444444444444446</v>
      </c>
      <c r="H130" s="9">
        <v>0.49450231481481483</v>
      </c>
      <c r="I130" s="10">
        <f t="shared" si="16"/>
        <v>5.7870370370360913E-5</v>
      </c>
      <c r="J130" s="11">
        <v>4</v>
      </c>
      <c r="K130" s="11">
        <v>16.350000000000001</v>
      </c>
      <c r="L130" s="16">
        <f t="shared" si="17"/>
        <v>2943.0000000004816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>
        <v>2</v>
      </c>
      <c r="W130" s="12"/>
      <c r="X130" s="11">
        <v>0.1</v>
      </c>
      <c r="Y130" s="11"/>
      <c r="Z130" s="11"/>
      <c r="AA130" s="11"/>
      <c r="AB130" s="11">
        <v>1</v>
      </c>
      <c r="AC130" s="11"/>
      <c r="AD130" s="11"/>
      <c r="AE130" s="11"/>
      <c r="AF130" s="11"/>
      <c r="AG130" s="11"/>
      <c r="AH130" s="11"/>
      <c r="AI130" s="11"/>
      <c r="AJ130" s="11"/>
      <c r="AK130" s="11"/>
      <c r="AL130" s="14"/>
    </row>
    <row r="131" spans="2:38" ht="25.05" customHeight="1">
      <c r="B131" s="13"/>
      <c r="C131" s="29"/>
      <c r="D131" s="30"/>
      <c r="E131" s="19" t="s">
        <v>136</v>
      </c>
      <c r="F131" s="8" t="s">
        <v>42</v>
      </c>
      <c r="G131" s="9">
        <v>0.49652777777777779</v>
      </c>
      <c r="H131" s="9">
        <v>0.49658564814814815</v>
      </c>
      <c r="I131" s="10">
        <f t="shared" si="16"/>
        <v>5.7870370370360913E-5</v>
      </c>
      <c r="J131" s="11">
        <v>4</v>
      </c>
      <c r="K131" s="11">
        <v>16.149999999999999</v>
      </c>
      <c r="L131" s="16">
        <f t="shared" si="17"/>
        <v>2907.0000000004748</v>
      </c>
      <c r="M131" s="11"/>
      <c r="N131" s="11"/>
      <c r="O131" s="11"/>
      <c r="P131" s="11"/>
      <c r="Q131" s="11"/>
      <c r="R131" s="12"/>
      <c r="S131" s="12"/>
      <c r="T131" s="11"/>
      <c r="U131" s="11"/>
      <c r="V131" s="12">
        <v>2</v>
      </c>
      <c r="W131" s="12"/>
      <c r="X131" s="11">
        <v>0.1</v>
      </c>
      <c r="Y131" s="11"/>
      <c r="Z131" s="11"/>
      <c r="AA131" s="11"/>
      <c r="AB131" s="11">
        <v>1</v>
      </c>
      <c r="AC131" s="11"/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spans="2:38" ht="25.05" customHeight="1">
      <c r="B132" s="13"/>
      <c r="C132" s="29"/>
      <c r="D132" s="30"/>
      <c r="E132" s="19" t="s">
        <v>137</v>
      </c>
      <c r="F132" s="8" t="s">
        <v>42</v>
      </c>
      <c r="G132" s="9">
        <v>0.49722222222222223</v>
      </c>
      <c r="H132" s="9">
        <v>0.49728009259259259</v>
      </c>
      <c r="I132" s="10">
        <f t="shared" si="16"/>
        <v>5.7870370370360913E-5</v>
      </c>
      <c r="J132" s="11">
        <v>4</v>
      </c>
      <c r="K132" s="11">
        <v>15.6</v>
      </c>
      <c r="L132" s="16">
        <f t="shared" si="17"/>
        <v>2808.0000000004588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>
        <v>2</v>
      </c>
      <c r="W132" s="12"/>
      <c r="X132" s="11">
        <v>0.1</v>
      </c>
      <c r="Y132" s="11"/>
      <c r="Z132" s="11"/>
      <c r="AA132" s="11"/>
      <c r="AB132" s="11">
        <v>1</v>
      </c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spans="2:38" ht="25.05" customHeight="1">
      <c r="B133" s="13"/>
      <c r="C133" s="29"/>
      <c r="D133" s="30"/>
      <c r="E133" s="19" t="s">
        <v>138</v>
      </c>
      <c r="F133" s="8" t="s">
        <v>42</v>
      </c>
      <c r="G133" s="9">
        <v>0.49861111111111112</v>
      </c>
      <c r="H133" s="9">
        <v>0.49866898148148148</v>
      </c>
      <c r="I133" s="10">
        <f t="shared" si="16"/>
        <v>5.7870370370360913E-5</v>
      </c>
      <c r="J133" s="11">
        <v>4</v>
      </c>
      <c r="K133" s="11">
        <v>15.26</v>
      </c>
      <c r="L133" s="16">
        <f t="shared" si="17"/>
        <v>2746.8000000004486</v>
      </c>
      <c r="M133" s="11"/>
      <c r="N133" s="11"/>
      <c r="O133" s="11"/>
      <c r="P133" s="11"/>
      <c r="Q133" s="11"/>
      <c r="R133" s="12"/>
      <c r="S133" s="12"/>
      <c r="T133" s="11"/>
      <c r="U133" s="11"/>
      <c r="V133" s="12">
        <v>2</v>
      </c>
      <c r="W133" s="12"/>
      <c r="X133" s="11">
        <v>0.1</v>
      </c>
      <c r="Y133" s="11"/>
      <c r="Z133" s="11"/>
      <c r="AA133" s="11"/>
      <c r="AB133" s="11">
        <v>1</v>
      </c>
      <c r="AC133" s="11"/>
      <c r="AD133" s="11"/>
      <c r="AE133" s="11"/>
      <c r="AF133" s="11"/>
      <c r="AG133" s="11"/>
      <c r="AH133" s="11"/>
      <c r="AI133" s="11"/>
      <c r="AJ133" s="11"/>
      <c r="AK133" s="11"/>
      <c r="AL133" s="14"/>
    </row>
    <row r="134" spans="2:38" ht="25.05" customHeight="1">
      <c r="B134" s="13"/>
      <c r="C134" s="29"/>
      <c r="D134" s="30"/>
      <c r="E134" s="19" t="s">
        <v>139</v>
      </c>
      <c r="F134" s="8" t="s">
        <v>42</v>
      </c>
      <c r="G134" s="9">
        <v>0.5</v>
      </c>
      <c r="H134" s="9">
        <v>0.50005787037037042</v>
      </c>
      <c r="I134" s="10">
        <f t="shared" si="16"/>
        <v>5.7870370370416424E-5</v>
      </c>
      <c r="J134" s="11">
        <v>4</v>
      </c>
      <c r="K134" s="11">
        <v>13.67</v>
      </c>
      <c r="L134" s="16">
        <f t="shared" si="17"/>
        <v>2460.5999999980418</v>
      </c>
      <c r="M134" s="11"/>
      <c r="N134" s="11"/>
      <c r="O134" s="11"/>
      <c r="P134" s="11"/>
      <c r="Q134" s="11"/>
      <c r="R134" s="12"/>
      <c r="S134" s="12"/>
      <c r="T134" s="11"/>
      <c r="U134" s="11"/>
      <c r="V134" s="12">
        <v>2</v>
      </c>
      <c r="W134" s="12"/>
      <c r="X134" s="11">
        <v>0.1</v>
      </c>
      <c r="Y134" s="11"/>
      <c r="Z134" s="11"/>
      <c r="AA134" s="11"/>
      <c r="AB134" s="11">
        <v>1</v>
      </c>
      <c r="AC134" s="11"/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spans="2:38" ht="25.05" customHeight="1">
      <c r="B135" s="13"/>
      <c r="C135" s="29"/>
      <c r="D135" s="30"/>
      <c r="E135" s="19" t="s">
        <v>140</v>
      </c>
      <c r="F135" s="8" t="s">
        <v>42</v>
      </c>
      <c r="G135" s="9">
        <v>0.50069444444444444</v>
      </c>
      <c r="H135" s="9">
        <v>0.50075231481481486</v>
      </c>
      <c r="I135" s="10">
        <f t="shared" si="16"/>
        <v>5.7870370370416424E-5</v>
      </c>
      <c r="J135" s="11">
        <v>4</v>
      </c>
      <c r="K135" s="11">
        <v>13.25</v>
      </c>
      <c r="L135" s="16">
        <f t="shared" si="17"/>
        <v>2384.9999999981019</v>
      </c>
      <c r="M135" s="11"/>
      <c r="N135" s="11"/>
      <c r="O135" s="11"/>
      <c r="P135" s="11"/>
      <c r="Q135" s="11"/>
      <c r="R135" s="12"/>
      <c r="S135" s="12"/>
      <c r="T135" s="11"/>
      <c r="U135" s="11"/>
      <c r="V135" s="12">
        <v>2</v>
      </c>
      <c r="W135" s="12"/>
      <c r="X135" s="11">
        <v>0.1</v>
      </c>
      <c r="Y135" s="11"/>
      <c r="Z135" s="11"/>
      <c r="AA135" s="11"/>
      <c r="AB135" s="11">
        <v>1</v>
      </c>
      <c r="AC135" s="11"/>
      <c r="AD135" s="11"/>
      <c r="AE135" s="11"/>
      <c r="AF135" s="11"/>
      <c r="AG135" s="11"/>
      <c r="AH135" s="11"/>
      <c r="AI135" s="11"/>
      <c r="AJ135" s="11"/>
      <c r="AK135" s="11"/>
      <c r="AL135" s="14"/>
    </row>
    <row r="136" spans="2:38" ht="25.05" customHeight="1">
      <c r="B136" s="13"/>
      <c r="C136" s="29"/>
      <c r="D136" s="30"/>
      <c r="E136" s="19" t="s">
        <v>141</v>
      </c>
      <c r="F136" s="8" t="s">
        <v>42</v>
      </c>
      <c r="G136" s="9">
        <v>0.50208333333333333</v>
      </c>
      <c r="H136" s="9">
        <v>0.50214120370370374</v>
      </c>
      <c r="I136" s="10">
        <f t="shared" si="16"/>
        <v>5.7870370370416424E-5</v>
      </c>
      <c r="J136" s="11">
        <v>4</v>
      </c>
      <c r="K136" s="11">
        <v>13.97</v>
      </c>
      <c r="L136" s="16">
        <f t="shared" si="17"/>
        <v>2514.599999997999</v>
      </c>
      <c r="M136" s="11"/>
      <c r="N136" s="11"/>
      <c r="O136" s="11"/>
      <c r="P136" s="11"/>
      <c r="Q136" s="11"/>
      <c r="R136" s="12"/>
      <c r="S136" s="12"/>
      <c r="T136" s="11"/>
      <c r="U136" s="11"/>
      <c r="V136" s="12">
        <v>2</v>
      </c>
      <c r="W136" s="12"/>
      <c r="X136" s="11">
        <v>0.1</v>
      </c>
      <c r="Y136" s="11"/>
      <c r="Z136" s="11"/>
      <c r="AA136" s="11"/>
      <c r="AB136" s="11">
        <v>1</v>
      </c>
      <c r="AC136" s="11"/>
      <c r="AD136" s="11"/>
      <c r="AE136" s="11"/>
      <c r="AF136" s="11"/>
      <c r="AG136" s="11"/>
      <c r="AH136" s="11"/>
      <c r="AI136" s="11"/>
      <c r="AJ136" s="11"/>
      <c r="AK136" s="11"/>
      <c r="AL136" s="14"/>
    </row>
    <row r="137" spans="2:38" ht="25.05" customHeight="1">
      <c r="B137" s="13"/>
      <c r="C137" s="29"/>
      <c r="D137" s="30"/>
      <c r="E137" s="19" t="s">
        <v>562</v>
      </c>
      <c r="F137" s="8" t="s">
        <v>42</v>
      </c>
      <c r="G137" s="9">
        <v>0.56458333333333333</v>
      </c>
      <c r="H137" s="9">
        <v>0.56475694444444446</v>
      </c>
      <c r="I137" s="10">
        <f t="shared" si="16"/>
        <v>1.7361111111113825E-4</v>
      </c>
      <c r="J137" s="11">
        <v>4</v>
      </c>
      <c r="K137" s="11">
        <v>76.38</v>
      </c>
      <c r="L137" s="16">
        <f t="shared" si="17"/>
        <v>4582.7999999992835</v>
      </c>
      <c r="M137" s="11"/>
      <c r="N137" s="11"/>
      <c r="O137" s="11"/>
      <c r="P137" s="11"/>
      <c r="Q137" s="11"/>
      <c r="R137" s="12"/>
      <c r="S137" s="12"/>
      <c r="T137" s="11"/>
      <c r="U137" s="11"/>
      <c r="V137" s="12"/>
      <c r="W137" s="12">
        <v>2</v>
      </c>
      <c r="X137" s="11"/>
      <c r="Y137" s="11">
        <v>0.15</v>
      </c>
      <c r="Z137" s="11"/>
      <c r="AA137" s="11"/>
      <c r="AB137" s="11">
        <v>1</v>
      </c>
      <c r="AC137" s="11"/>
      <c r="AD137" s="11"/>
      <c r="AE137" s="11"/>
      <c r="AF137" s="11"/>
      <c r="AG137" s="11"/>
      <c r="AH137" s="11"/>
      <c r="AI137" s="11"/>
      <c r="AJ137" s="11"/>
      <c r="AK137" s="11"/>
      <c r="AL137" s="14"/>
    </row>
    <row r="138" spans="2:38" ht="25.05" customHeight="1">
      <c r="B138" s="13"/>
      <c r="C138" s="29"/>
      <c r="D138" s="30"/>
      <c r="E138" s="19" t="s">
        <v>563</v>
      </c>
      <c r="F138" s="8" t="s">
        <v>42</v>
      </c>
      <c r="G138" s="9">
        <v>0.5708333333333333</v>
      </c>
      <c r="H138" s="9">
        <v>0.57100694444444444</v>
      </c>
      <c r="I138" s="10">
        <f t="shared" si="16"/>
        <v>1.7361111111113825E-4</v>
      </c>
      <c r="J138" s="11">
        <v>4</v>
      </c>
      <c r="K138" s="11">
        <v>76.34</v>
      </c>
      <c r="L138" s="16">
        <f t="shared" si="17"/>
        <v>4580.3999999992839</v>
      </c>
      <c r="M138" s="11"/>
      <c r="N138" s="11"/>
      <c r="O138" s="11"/>
      <c r="P138" s="11"/>
      <c r="Q138" s="11"/>
      <c r="R138" s="12"/>
      <c r="S138" s="12"/>
      <c r="T138" s="11"/>
      <c r="U138" s="11"/>
      <c r="V138" s="12"/>
      <c r="W138" s="12">
        <v>2</v>
      </c>
      <c r="X138" s="11"/>
      <c r="Y138" s="11">
        <v>0.15</v>
      </c>
      <c r="Z138" s="11"/>
      <c r="AA138" s="11"/>
      <c r="AB138" s="11">
        <v>1</v>
      </c>
      <c r="AC138" s="11"/>
      <c r="AD138" s="11"/>
      <c r="AE138" s="11"/>
      <c r="AF138" s="11"/>
      <c r="AG138" s="11"/>
      <c r="AH138" s="11"/>
      <c r="AI138" s="11"/>
      <c r="AJ138" s="11"/>
      <c r="AK138" s="11"/>
      <c r="AL138" s="14"/>
    </row>
    <row r="139" spans="2:38" ht="25.05" customHeight="1">
      <c r="B139" s="13"/>
      <c r="C139" s="29"/>
      <c r="D139" s="30"/>
      <c r="E139" s="19" t="s">
        <v>564</v>
      </c>
      <c r="F139" s="8" t="s">
        <v>42</v>
      </c>
      <c r="G139" s="9">
        <v>0.5756944444444444</v>
      </c>
      <c r="H139" s="9">
        <v>0.57586805555555554</v>
      </c>
      <c r="I139" s="10">
        <f t="shared" si="16"/>
        <v>1.7361111111113825E-4</v>
      </c>
      <c r="J139" s="11">
        <v>4</v>
      </c>
      <c r="K139" s="11">
        <v>76.3</v>
      </c>
      <c r="L139" s="16">
        <f t="shared" si="17"/>
        <v>4577.9999999992842</v>
      </c>
      <c r="M139" s="11"/>
      <c r="N139" s="11"/>
      <c r="O139" s="11"/>
      <c r="P139" s="11"/>
      <c r="Q139" s="11"/>
      <c r="R139" s="12"/>
      <c r="S139" s="12"/>
      <c r="T139" s="11"/>
      <c r="U139" s="11"/>
      <c r="V139" s="12"/>
      <c r="W139" s="12">
        <v>2</v>
      </c>
      <c r="X139" s="11"/>
      <c r="Y139" s="11">
        <v>0.15</v>
      </c>
      <c r="Z139" s="11"/>
      <c r="AA139" s="11"/>
      <c r="AB139" s="11">
        <v>1</v>
      </c>
      <c r="AC139" s="11"/>
      <c r="AD139" s="11"/>
      <c r="AE139" s="11"/>
      <c r="AF139" s="11"/>
      <c r="AG139" s="11"/>
      <c r="AH139" s="11"/>
      <c r="AI139" s="11"/>
      <c r="AJ139" s="11"/>
      <c r="AK139" s="11"/>
      <c r="AL139" s="14"/>
    </row>
    <row r="140" spans="2:38" ht="25.05" customHeight="1">
      <c r="B140" s="13"/>
      <c r="C140" s="29"/>
      <c r="D140" s="30"/>
      <c r="E140" s="19" t="s">
        <v>565</v>
      </c>
      <c r="F140" s="8" t="s">
        <v>42</v>
      </c>
      <c r="G140" s="9">
        <v>0.5805555555555556</v>
      </c>
      <c r="H140" s="9">
        <v>0.58072916666666663</v>
      </c>
      <c r="I140" s="10">
        <f t="shared" si="16"/>
        <v>1.7361111111102723E-4</v>
      </c>
      <c r="J140" s="11">
        <v>4</v>
      </c>
      <c r="K140" s="11">
        <v>71.75</v>
      </c>
      <c r="L140" s="16">
        <f t="shared" si="17"/>
        <v>4305.00000000208</v>
      </c>
      <c r="M140" s="11"/>
      <c r="N140" s="11"/>
      <c r="O140" s="11"/>
      <c r="P140" s="11"/>
      <c r="Q140" s="11"/>
      <c r="R140" s="12"/>
      <c r="S140" s="12"/>
      <c r="T140" s="11"/>
      <c r="U140" s="11"/>
      <c r="V140" s="12"/>
      <c r="W140" s="12">
        <v>2</v>
      </c>
      <c r="X140" s="11"/>
      <c r="Y140" s="11">
        <v>0.15</v>
      </c>
      <c r="Z140" s="11"/>
      <c r="AA140" s="11"/>
      <c r="AB140" s="11">
        <v>1</v>
      </c>
      <c r="AC140" s="11"/>
      <c r="AD140" s="11"/>
      <c r="AE140" s="11"/>
      <c r="AF140" s="11"/>
      <c r="AG140" s="11"/>
      <c r="AH140" s="11"/>
      <c r="AI140" s="11"/>
      <c r="AJ140" s="11"/>
      <c r="AK140" s="11"/>
      <c r="AL140" s="14"/>
    </row>
    <row r="141" spans="2:38" ht="25.05" customHeight="1">
      <c r="B141" s="13"/>
      <c r="C141" s="29"/>
      <c r="D141" s="30"/>
      <c r="E141" s="19" t="s">
        <v>566</v>
      </c>
      <c r="F141" s="8" t="s">
        <v>42</v>
      </c>
      <c r="G141" s="9">
        <v>0.58611111111111114</v>
      </c>
      <c r="H141" s="9">
        <v>0.58628472222222228</v>
      </c>
      <c r="I141" s="10">
        <f t="shared" si="16"/>
        <v>1.7361111111113825E-4</v>
      </c>
      <c r="J141" s="11">
        <v>4</v>
      </c>
      <c r="K141" s="11">
        <v>76.05</v>
      </c>
      <c r="L141" s="16">
        <f t="shared" si="17"/>
        <v>4562.999999999286</v>
      </c>
      <c r="M141" s="11"/>
      <c r="N141" s="11"/>
      <c r="O141" s="11"/>
      <c r="P141" s="11"/>
      <c r="Q141" s="11"/>
      <c r="R141" s="12"/>
      <c r="S141" s="12"/>
      <c r="T141" s="11"/>
      <c r="U141" s="11"/>
      <c r="V141" s="12"/>
      <c r="W141" s="12">
        <v>2</v>
      </c>
      <c r="X141" s="11"/>
      <c r="Y141" s="11">
        <v>0.15</v>
      </c>
      <c r="Z141" s="11"/>
      <c r="AA141" s="11"/>
      <c r="AB141" s="11">
        <v>1</v>
      </c>
      <c r="AC141" s="11"/>
      <c r="AD141" s="11"/>
      <c r="AE141" s="11"/>
      <c r="AF141" s="11"/>
      <c r="AG141" s="11"/>
      <c r="AH141" s="11"/>
      <c r="AI141" s="11"/>
      <c r="AJ141" s="11"/>
      <c r="AK141" s="11"/>
      <c r="AL141" s="14"/>
    </row>
    <row r="142" spans="2:38" ht="25.05" customHeight="1">
      <c r="B142" s="13"/>
      <c r="C142" s="29"/>
      <c r="D142" s="30"/>
      <c r="E142" s="19" t="s">
        <v>636</v>
      </c>
      <c r="F142" s="8" t="s">
        <v>42</v>
      </c>
      <c r="G142" s="9">
        <v>0.66874999999999996</v>
      </c>
      <c r="H142" s="9">
        <v>0.66892361111111109</v>
      </c>
      <c r="I142" s="10">
        <f t="shared" si="16"/>
        <v>1.7361111111113825E-4</v>
      </c>
      <c r="J142" s="11">
        <v>4</v>
      </c>
      <c r="K142" s="11">
        <v>68.14</v>
      </c>
      <c r="L142" s="16">
        <f t="shared" si="17"/>
        <v>4088.3999999993612</v>
      </c>
      <c r="M142" s="11"/>
      <c r="N142" s="11"/>
      <c r="O142" s="11"/>
      <c r="P142" s="11"/>
      <c r="Q142" s="11"/>
      <c r="R142" s="12"/>
      <c r="S142" s="12"/>
      <c r="T142" s="11"/>
      <c r="U142" s="11"/>
      <c r="V142" s="12"/>
      <c r="W142" s="12">
        <v>2</v>
      </c>
      <c r="X142" s="11"/>
      <c r="Y142" s="11">
        <v>0.15</v>
      </c>
      <c r="Z142" s="11"/>
      <c r="AA142" s="11"/>
      <c r="AB142" s="11">
        <v>1</v>
      </c>
      <c r="AC142" s="11"/>
      <c r="AD142" s="11"/>
      <c r="AE142" s="11"/>
      <c r="AF142" s="11"/>
      <c r="AG142" s="11"/>
      <c r="AH142" s="11"/>
      <c r="AI142" s="11"/>
      <c r="AJ142" s="11"/>
      <c r="AK142" s="11"/>
      <c r="AL142" s="14"/>
    </row>
    <row r="143" spans="2:38" ht="25.05" customHeight="1">
      <c r="B143" s="13"/>
      <c r="C143" s="29"/>
      <c r="D143" s="30"/>
      <c r="E143" s="19" t="s">
        <v>637</v>
      </c>
      <c r="F143" s="8" t="s">
        <v>42</v>
      </c>
      <c r="G143" s="9">
        <v>0.6743055555555556</v>
      </c>
      <c r="H143" s="9">
        <v>0.67447916666666663</v>
      </c>
      <c r="I143" s="10">
        <f t="shared" si="16"/>
        <v>1.7361111111102723E-4</v>
      </c>
      <c r="J143" s="11">
        <v>4</v>
      </c>
      <c r="K143" s="11">
        <v>75.72</v>
      </c>
      <c r="L143" s="16">
        <f t="shared" si="17"/>
        <v>4543.2000000021953</v>
      </c>
      <c r="M143" s="11"/>
      <c r="N143" s="11"/>
      <c r="O143" s="11"/>
      <c r="P143" s="11"/>
      <c r="Q143" s="11"/>
      <c r="R143" s="12"/>
      <c r="S143" s="12"/>
      <c r="T143" s="11"/>
      <c r="U143" s="11"/>
      <c r="V143" s="12"/>
      <c r="W143" s="12">
        <v>2</v>
      </c>
      <c r="X143" s="11"/>
      <c r="Y143" s="11">
        <v>0.15</v>
      </c>
      <c r="Z143" s="11"/>
      <c r="AA143" s="11"/>
      <c r="AB143" s="11">
        <v>1</v>
      </c>
      <c r="AC143" s="11"/>
      <c r="AD143" s="11"/>
      <c r="AE143" s="11"/>
      <c r="AF143" s="11"/>
      <c r="AG143" s="11"/>
      <c r="AH143" s="11"/>
      <c r="AI143" s="11"/>
      <c r="AJ143" s="11"/>
      <c r="AK143" s="11"/>
      <c r="AL143" s="14"/>
    </row>
    <row r="144" spans="2:38" ht="25.05" customHeight="1">
      <c r="B144" s="13"/>
      <c r="C144" s="29"/>
      <c r="D144" s="30"/>
      <c r="E144" s="19" t="s">
        <v>638</v>
      </c>
      <c r="F144" s="8" t="s">
        <v>42</v>
      </c>
      <c r="G144" s="9">
        <v>0.68055555555555558</v>
      </c>
      <c r="H144" s="9">
        <v>0.68072916666666672</v>
      </c>
      <c r="I144" s="10">
        <f t="shared" si="16"/>
        <v>1.7361111111113825E-4</v>
      </c>
      <c r="J144" s="11">
        <v>4</v>
      </c>
      <c r="K144" s="11">
        <v>73.98</v>
      </c>
      <c r="L144" s="16">
        <f t="shared" si="17"/>
        <v>4438.7999999993062</v>
      </c>
      <c r="M144" s="11"/>
      <c r="N144" s="11"/>
      <c r="O144" s="11"/>
      <c r="P144" s="11"/>
      <c r="Q144" s="11"/>
      <c r="R144" s="12"/>
      <c r="S144" s="12"/>
      <c r="T144" s="11"/>
      <c r="U144" s="11"/>
      <c r="V144" s="12"/>
      <c r="W144" s="12">
        <v>2</v>
      </c>
      <c r="X144" s="11"/>
      <c r="Y144" s="11">
        <v>0.15</v>
      </c>
      <c r="Z144" s="11"/>
      <c r="AA144" s="11"/>
      <c r="AB144" s="11">
        <v>1</v>
      </c>
      <c r="AC144" s="11"/>
      <c r="AD144" s="11"/>
      <c r="AE144" s="11"/>
      <c r="AF144" s="11"/>
      <c r="AG144" s="11"/>
      <c r="AH144" s="11"/>
      <c r="AI144" s="11"/>
      <c r="AJ144" s="11"/>
      <c r="AK144" s="11"/>
      <c r="AL144" s="14"/>
    </row>
    <row r="145" spans="2:38" ht="25.05" customHeight="1">
      <c r="B145" s="13"/>
      <c r="C145" s="29"/>
      <c r="D145" s="30"/>
      <c r="E145" s="19" t="s">
        <v>639</v>
      </c>
      <c r="F145" s="8" t="s">
        <v>42</v>
      </c>
      <c r="G145" s="9">
        <v>0.6875</v>
      </c>
      <c r="H145" s="9">
        <v>0.68767361111111114</v>
      </c>
      <c r="I145" s="10">
        <f t="shared" si="16"/>
        <v>1.7361111111113825E-4</v>
      </c>
      <c r="J145" s="11">
        <v>4</v>
      </c>
      <c r="K145" s="11">
        <v>74.36</v>
      </c>
      <c r="L145" s="16">
        <f t="shared" si="17"/>
        <v>4461.5999999993028</v>
      </c>
      <c r="M145" s="11"/>
      <c r="N145" s="11"/>
      <c r="O145" s="11"/>
      <c r="P145" s="11"/>
      <c r="Q145" s="11"/>
      <c r="R145" s="12"/>
      <c r="S145" s="12"/>
      <c r="T145" s="11"/>
      <c r="U145" s="11"/>
      <c r="V145" s="12"/>
      <c r="W145" s="12">
        <v>2</v>
      </c>
      <c r="X145" s="11"/>
      <c r="Y145" s="11">
        <v>0.15</v>
      </c>
      <c r="Z145" s="11"/>
      <c r="AA145" s="11"/>
      <c r="AB145" s="11">
        <v>1</v>
      </c>
      <c r="AC145" s="11"/>
      <c r="AD145" s="11"/>
      <c r="AE145" s="11"/>
      <c r="AF145" s="11"/>
      <c r="AG145" s="11"/>
      <c r="AH145" s="11"/>
      <c r="AI145" s="11"/>
      <c r="AJ145" s="11"/>
      <c r="AK145" s="11"/>
      <c r="AL145" s="14"/>
    </row>
    <row r="146" spans="2:38" ht="25.05" customHeight="1">
      <c r="B146" s="13"/>
      <c r="C146" s="29"/>
      <c r="D146" s="30"/>
      <c r="E146" s="19" t="s">
        <v>640</v>
      </c>
      <c r="F146" s="8" t="s">
        <v>42</v>
      </c>
      <c r="G146" s="9">
        <v>0.69374999999999998</v>
      </c>
      <c r="H146" s="9">
        <v>0.69392361111111112</v>
      </c>
      <c r="I146" s="10">
        <f t="shared" si="16"/>
        <v>1.7361111111113825E-4</v>
      </c>
      <c r="J146" s="11">
        <v>4</v>
      </c>
      <c r="K146" s="11">
        <v>72.34</v>
      </c>
      <c r="L146" s="16">
        <f t="shared" si="17"/>
        <v>4340.3999999993221</v>
      </c>
      <c r="M146" s="11"/>
      <c r="N146" s="11"/>
      <c r="O146" s="11"/>
      <c r="P146" s="11"/>
      <c r="Q146" s="11"/>
      <c r="R146" s="12"/>
      <c r="S146" s="12"/>
      <c r="T146" s="11"/>
      <c r="U146" s="11"/>
      <c r="V146" s="12"/>
      <c r="W146" s="12">
        <v>2</v>
      </c>
      <c r="X146" s="11"/>
      <c r="Y146" s="11">
        <v>0.15</v>
      </c>
      <c r="Z146" s="11"/>
      <c r="AA146" s="11"/>
      <c r="AB146" s="11">
        <v>1</v>
      </c>
      <c r="AC146" s="11"/>
      <c r="AD146" s="11"/>
      <c r="AE146" s="11"/>
      <c r="AF146" s="11"/>
      <c r="AG146" s="11"/>
      <c r="AH146" s="11"/>
      <c r="AI146" s="11"/>
      <c r="AJ146" s="11"/>
      <c r="AK146" s="11"/>
      <c r="AL146" s="14"/>
    </row>
    <row r="147" spans="2:38" ht="25.05" customHeight="1">
      <c r="B147" s="13"/>
      <c r="C147" s="29"/>
      <c r="D147" s="30"/>
      <c r="E147" s="19" t="s">
        <v>643</v>
      </c>
      <c r="F147" s="8" t="s">
        <v>42</v>
      </c>
      <c r="G147" s="9">
        <v>0.56388888888888888</v>
      </c>
      <c r="H147" s="9">
        <v>0.56805555555555554</v>
      </c>
      <c r="I147" s="10">
        <f t="shared" si="16"/>
        <v>4.1666666666666519E-3</v>
      </c>
      <c r="J147" s="11">
        <v>4</v>
      </c>
      <c r="K147" s="11">
        <v>74.48</v>
      </c>
      <c r="L147" s="16">
        <f t="shared" si="17"/>
        <v>186.2000000000007</v>
      </c>
      <c r="M147" s="11"/>
      <c r="N147" s="11"/>
      <c r="O147" s="11"/>
      <c r="P147" s="11"/>
      <c r="Q147" s="11"/>
      <c r="R147" s="12"/>
      <c r="S147" s="12"/>
      <c r="T147" s="11"/>
      <c r="U147" s="11"/>
      <c r="V147" s="12">
        <v>2</v>
      </c>
      <c r="W147" s="12"/>
      <c r="X147" s="11"/>
      <c r="Y147" s="11"/>
      <c r="Z147" s="11">
        <v>6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4"/>
    </row>
    <row r="148" spans="2:38" ht="25.05" customHeight="1">
      <c r="B148" s="13"/>
      <c r="C148" s="29"/>
      <c r="D148" s="30"/>
      <c r="E148" s="19" t="s">
        <v>644</v>
      </c>
      <c r="F148" s="8" t="s">
        <v>42</v>
      </c>
      <c r="G148" s="9">
        <v>0.57361111111111107</v>
      </c>
      <c r="H148" s="9">
        <v>0.57708333333333328</v>
      </c>
      <c r="I148" s="10">
        <f t="shared" si="16"/>
        <v>3.4722222222222099E-3</v>
      </c>
      <c r="J148" s="11">
        <v>4</v>
      </c>
      <c r="K148" s="11">
        <v>66.25</v>
      </c>
      <c r="L148" s="16">
        <f t="shared" si="17"/>
        <v>198.75000000000071</v>
      </c>
      <c r="M148" s="11"/>
      <c r="N148" s="11"/>
      <c r="O148" s="11"/>
      <c r="P148" s="11"/>
      <c r="Q148" s="11"/>
      <c r="R148" s="12"/>
      <c r="S148" s="12"/>
      <c r="T148" s="11"/>
      <c r="U148" s="11"/>
      <c r="V148" s="12">
        <v>2</v>
      </c>
      <c r="W148" s="12"/>
      <c r="X148" s="11"/>
      <c r="Y148" s="11"/>
      <c r="Z148" s="11">
        <v>5</v>
      </c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4"/>
    </row>
    <row r="149" spans="2:38" ht="25.05" customHeight="1">
      <c r="B149" s="13"/>
      <c r="C149" s="29"/>
      <c r="D149" s="30"/>
      <c r="E149" s="19" t="s">
        <v>645</v>
      </c>
      <c r="F149" s="8" t="s">
        <v>42</v>
      </c>
      <c r="G149" s="9">
        <v>0.58333333333333337</v>
      </c>
      <c r="H149" s="9">
        <v>0.58750000000000002</v>
      </c>
      <c r="I149" s="10">
        <f t="shared" si="16"/>
        <v>4.1666666666666519E-3</v>
      </c>
      <c r="J149" s="11">
        <v>4</v>
      </c>
      <c r="K149" s="11">
        <v>67.13</v>
      </c>
      <c r="L149" s="16">
        <f t="shared" si="17"/>
        <v>167.82500000000059</v>
      </c>
      <c r="M149" s="11"/>
      <c r="N149" s="11"/>
      <c r="O149" s="11"/>
      <c r="P149" s="11"/>
      <c r="Q149" s="11"/>
      <c r="R149" s="12"/>
      <c r="S149" s="12"/>
      <c r="T149" s="11"/>
      <c r="U149" s="11"/>
      <c r="V149" s="12">
        <v>2</v>
      </c>
      <c r="W149" s="12"/>
      <c r="X149" s="11"/>
      <c r="Y149" s="11"/>
      <c r="Z149" s="11">
        <v>6</v>
      </c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4"/>
    </row>
    <row r="150" spans="2:38" ht="25.05" customHeight="1">
      <c r="B150" s="13"/>
      <c r="C150" s="29"/>
      <c r="D150" s="30"/>
      <c r="E150" s="19" t="s">
        <v>646</v>
      </c>
      <c r="F150" s="8" t="s">
        <v>42</v>
      </c>
      <c r="G150" s="9">
        <v>0.58958333333333335</v>
      </c>
      <c r="H150" s="9">
        <v>0.59652777777777777</v>
      </c>
      <c r="I150" s="10">
        <f t="shared" si="16"/>
        <v>6.9444444444444198E-3</v>
      </c>
      <c r="J150" s="11">
        <v>4</v>
      </c>
      <c r="K150" s="11">
        <v>69.569999999999993</v>
      </c>
      <c r="L150" s="16">
        <f t="shared" si="17"/>
        <v>104.35500000000036</v>
      </c>
      <c r="M150" s="11"/>
      <c r="N150" s="11"/>
      <c r="O150" s="11"/>
      <c r="P150" s="11"/>
      <c r="Q150" s="11"/>
      <c r="R150" s="12"/>
      <c r="S150" s="12"/>
      <c r="T150" s="11"/>
      <c r="U150" s="11"/>
      <c r="V150" s="12">
        <v>2</v>
      </c>
      <c r="W150" s="12"/>
      <c r="X150" s="11"/>
      <c r="Y150" s="11">
        <v>10</v>
      </c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4"/>
    </row>
    <row r="151" spans="2:38" ht="25.05" customHeight="1">
      <c r="B151" s="13"/>
      <c r="C151" s="29"/>
      <c r="D151" s="30"/>
      <c r="E151" s="19" t="s">
        <v>647</v>
      </c>
      <c r="F151" s="8" t="s">
        <v>42</v>
      </c>
      <c r="G151" s="9">
        <v>0.59930555555555554</v>
      </c>
      <c r="H151" s="9">
        <v>0.60347222222222219</v>
      </c>
      <c r="I151" s="10">
        <f t="shared" si="16"/>
        <v>4.1666666666666519E-3</v>
      </c>
      <c r="J151" s="11">
        <v>4</v>
      </c>
      <c r="K151" s="11">
        <v>70.239999999999995</v>
      </c>
      <c r="L151" s="16">
        <f t="shared" si="17"/>
        <v>175.60000000000062</v>
      </c>
      <c r="M151" s="11"/>
      <c r="N151" s="11"/>
      <c r="O151" s="11"/>
      <c r="P151" s="11"/>
      <c r="Q151" s="11"/>
      <c r="R151" s="12"/>
      <c r="S151" s="12"/>
      <c r="T151" s="11"/>
      <c r="U151" s="11"/>
      <c r="V151" s="12">
        <v>2</v>
      </c>
      <c r="W151" s="12"/>
      <c r="X151" s="11"/>
      <c r="Y151" s="11">
        <v>10</v>
      </c>
      <c r="Z151" s="11"/>
      <c r="AA151" s="11"/>
      <c r="AB151" s="11"/>
      <c r="AC151" s="11">
        <v>6</v>
      </c>
      <c r="AD151" s="11"/>
      <c r="AE151" s="11"/>
      <c r="AF151" s="11"/>
      <c r="AG151" s="11"/>
      <c r="AH151" s="11"/>
      <c r="AI151" s="11"/>
      <c r="AJ151" s="11"/>
      <c r="AK151" s="11"/>
      <c r="AL151" s="14"/>
    </row>
    <row r="152" spans="2:38" ht="25.05" customHeight="1">
      <c r="B152" s="13"/>
      <c r="C152" s="29"/>
      <c r="D152" s="30"/>
      <c r="E152" s="19" t="s">
        <v>648</v>
      </c>
      <c r="F152" s="8" t="s">
        <v>42</v>
      </c>
      <c r="G152" s="9">
        <v>0.60902777777777772</v>
      </c>
      <c r="H152" s="9">
        <v>0.61319444444444449</v>
      </c>
      <c r="I152" s="10">
        <f t="shared" si="16"/>
        <v>4.1666666666667629E-3</v>
      </c>
      <c r="J152" s="11">
        <v>4</v>
      </c>
      <c r="K152" s="11">
        <v>71.72</v>
      </c>
      <c r="L152" s="16">
        <f t="shared" si="17"/>
        <v>179.29999999999586</v>
      </c>
      <c r="M152" s="11"/>
      <c r="N152" s="11"/>
      <c r="O152" s="11"/>
      <c r="P152" s="11"/>
      <c r="Q152" s="11"/>
      <c r="R152" s="12"/>
      <c r="S152" s="12"/>
      <c r="T152" s="11"/>
      <c r="U152" s="11"/>
      <c r="V152" s="12">
        <v>2</v>
      </c>
      <c r="W152" s="12"/>
      <c r="X152" s="11"/>
      <c r="Y152" s="11">
        <v>6</v>
      </c>
      <c r="Z152" s="11"/>
      <c r="AA152" s="11"/>
      <c r="AB152" s="11"/>
      <c r="AC152" s="11">
        <v>6</v>
      </c>
      <c r="AD152" s="11"/>
      <c r="AE152" s="11"/>
      <c r="AF152" s="11"/>
      <c r="AG152" s="11"/>
      <c r="AH152" s="11"/>
      <c r="AI152" s="11"/>
      <c r="AJ152" s="11"/>
      <c r="AK152" s="11"/>
      <c r="AL152" s="14"/>
    </row>
    <row r="153" spans="2:38" ht="25.05" customHeight="1">
      <c r="B153" s="13"/>
      <c r="C153" s="29"/>
      <c r="D153" s="30"/>
      <c r="E153" s="19" t="s">
        <v>649</v>
      </c>
      <c r="F153" s="8" t="s">
        <v>42</v>
      </c>
      <c r="G153" s="9">
        <v>0.61805555555555558</v>
      </c>
      <c r="H153" s="9">
        <v>0.62222222222222223</v>
      </c>
      <c r="I153" s="10">
        <f t="shared" si="16"/>
        <v>4.1666666666666519E-3</v>
      </c>
      <c r="J153" s="11">
        <v>4</v>
      </c>
      <c r="K153" s="11">
        <v>72.87</v>
      </c>
      <c r="L153" s="16">
        <f t="shared" si="17"/>
        <v>182.17500000000067</v>
      </c>
      <c r="M153" s="11"/>
      <c r="N153" s="11"/>
      <c r="O153" s="11"/>
      <c r="P153" s="11"/>
      <c r="Q153" s="11"/>
      <c r="R153" s="12"/>
      <c r="S153" s="12"/>
      <c r="T153" s="11"/>
      <c r="U153" s="11"/>
      <c r="V153" s="12">
        <v>2</v>
      </c>
      <c r="W153" s="12"/>
      <c r="X153" s="11"/>
      <c r="Y153" s="11">
        <v>6</v>
      </c>
      <c r="Z153" s="11"/>
      <c r="AA153" s="11"/>
      <c r="AB153" s="11"/>
      <c r="AC153" s="11">
        <v>6</v>
      </c>
      <c r="AD153" s="11"/>
      <c r="AE153" s="11"/>
      <c r="AF153" s="11"/>
      <c r="AG153" s="11"/>
      <c r="AH153" s="11"/>
      <c r="AI153" s="11"/>
      <c r="AJ153" s="11"/>
      <c r="AK153" s="11"/>
      <c r="AL153" s="14"/>
    </row>
    <row r="154" spans="2:38" ht="25.05" customHeight="1">
      <c r="B154" s="13"/>
      <c r="C154" s="29"/>
      <c r="D154" s="30"/>
      <c r="E154" s="19" t="s">
        <v>650</v>
      </c>
      <c r="F154" s="8" t="s">
        <v>42</v>
      </c>
      <c r="G154" s="9">
        <v>0.62708333333333333</v>
      </c>
      <c r="H154" s="9">
        <v>0.63124999999999998</v>
      </c>
      <c r="I154" s="10">
        <f t="shared" si="16"/>
        <v>4.1666666666666519E-3</v>
      </c>
      <c r="J154" s="11">
        <v>4</v>
      </c>
      <c r="K154" s="11">
        <v>71.47</v>
      </c>
      <c r="L154" s="16">
        <f t="shared" si="17"/>
        <v>178.67500000000064</v>
      </c>
      <c r="M154" s="11"/>
      <c r="N154" s="11"/>
      <c r="O154" s="11"/>
      <c r="P154" s="11"/>
      <c r="Q154" s="11"/>
      <c r="R154" s="12"/>
      <c r="S154" s="12"/>
      <c r="T154" s="11"/>
      <c r="U154" s="11"/>
      <c r="V154" s="12">
        <v>2</v>
      </c>
      <c r="W154" s="12"/>
      <c r="X154" s="11"/>
      <c r="Y154" s="11">
        <v>6</v>
      </c>
      <c r="Z154" s="11"/>
      <c r="AA154" s="11"/>
      <c r="AB154" s="11"/>
      <c r="AC154" s="11">
        <v>6</v>
      </c>
      <c r="AD154" s="11"/>
      <c r="AE154" s="11"/>
      <c r="AF154" s="11"/>
      <c r="AG154" s="11"/>
      <c r="AH154" s="11"/>
      <c r="AI154" s="11"/>
      <c r="AJ154" s="11"/>
      <c r="AK154" s="11"/>
      <c r="AL154" s="14"/>
    </row>
    <row r="155" spans="2:38" ht="25.05" customHeight="1">
      <c r="B155" s="13"/>
      <c r="C155" s="29"/>
      <c r="D155" s="6"/>
      <c r="E155" s="19" t="s">
        <v>651</v>
      </c>
      <c r="F155" s="8" t="s">
        <v>42</v>
      </c>
      <c r="G155" s="9">
        <v>0.63611111111111107</v>
      </c>
      <c r="H155" s="9">
        <v>0.64027777777777772</v>
      </c>
      <c r="I155" s="10">
        <f t="shared" si="16"/>
        <v>4.1666666666666519E-3</v>
      </c>
      <c r="J155" s="11">
        <v>4</v>
      </c>
      <c r="K155" s="11">
        <v>70.150000000000006</v>
      </c>
      <c r="L155" s="16">
        <f t="shared" si="17"/>
        <v>175.37500000000065</v>
      </c>
      <c r="M155" s="11"/>
      <c r="N155" s="11"/>
      <c r="O155" s="11"/>
      <c r="P155" s="11"/>
      <c r="Q155" s="11"/>
      <c r="R155" s="12"/>
      <c r="S155" s="12"/>
      <c r="T155" s="11"/>
      <c r="U155" s="11"/>
      <c r="V155" s="12">
        <v>2</v>
      </c>
      <c r="W155" s="12"/>
      <c r="X155" s="11"/>
      <c r="Y155" s="11">
        <v>6</v>
      </c>
      <c r="Z155" s="11"/>
      <c r="AA155" s="11"/>
      <c r="AB155" s="11"/>
      <c r="AC155" s="11">
        <v>6</v>
      </c>
      <c r="AD155" s="11"/>
      <c r="AE155" s="11"/>
      <c r="AF155" s="11"/>
      <c r="AG155" s="11"/>
      <c r="AH155" s="11"/>
      <c r="AI155" s="11"/>
      <c r="AJ155" s="11"/>
      <c r="AK155" s="11"/>
      <c r="AL155" s="14"/>
    </row>
    <row r="156" spans="2:38" ht="25.05" customHeight="1">
      <c r="B156" s="13"/>
      <c r="C156" s="29"/>
      <c r="D156" s="127"/>
      <c r="E156" s="19" t="s">
        <v>652</v>
      </c>
      <c r="F156" s="8" t="s">
        <v>42</v>
      </c>
      <c r="G156" s="9">
        <v>0.64513888888888893</v>
      </c>
      <c r="H156" s="9">
        <v>0.64930555555555558</v>
      </c>
      <c r="I156" s="10">
        <f t="shared" si="16"/>
        <v>4.1666666666666519E-3</v>
      </c>
      <c r="J156" s="11">
        <v>4</v>
      </c>
      <c r="K156" s="11">
        <v>69.599999999999994</v>
      </c>
      <c r="L156" s="16">
        <f t="shared" si="17"/>
        <v>174.0000000000006</v>
      </c>
      <c r="M156" s="11"/>
      <c r="N156" s="11"/>
      <c r="O156" s="11"/>
      <c r="P156" s="11"/>
      <c r="Q156" s="11"/>
      <c r="R156" s="12"/>
      <c r="S156" s="12"/>
      <c r="T156" s="11"/>
      <c r="U156" s="11"/>
      <c r="V156" s="12">
        <v>2</v>
      </c>
      <c r="W156" s="12"/>
      <c r="X156" s="11"/>
      <c r="Y156" s="11">
        <v>6</v>
      </c>
      <c r="Z156" s="11"/>
      <c r="AA156" s="11"/>
      <c r="AB156" s="11"/>
      <c r="AC156" s="11">
        <v>6</v>
      </c>
      <c r="AD156" s="11"/>
      <c r="AE156" s="11"/>
      <c r="AF156" s="11"/>
      <c r="AG156" s="11"/>
      <c r="AH156" s="11"/>
      <c r="AI156" s="11"/>
      <c r="AJ156" s="11"/>
      <c r="AK156" s="11"/>
      <c r="AL156" s="14"/>
    </row>
    <row r="157" spans="2:38" ht="25.05" customHeight="1">
      <c r="B157" s="13"/>
      <c r="C157" s="29"/>
      <c r="D157" s="30"/>
      <c r="E157" s="19" t="s">
        <v>440</v>
      </c>
      <c r="F157" s="8" t="s">
        <v>42</v>
      </c>
      <c r="G157" s="9">
        <v>0.60416666666666663</v>
      </c>
      <c r="H157" s="9">
        <v>0.61319444444444449</v>
      </c>
      <c r="I157" s="10">
        <f t="shared" si="16"/>
        <v>9.0277777777778567E-3</v>
      </c>
      <c r="J157" s="11">
        <v>9</v>
      </c>
      <c r="K157" s="11">
        <v>141.18199999999999</v>
      </c>
      <c r="L157" s="16">
        <f t="shared" si="17"/>
        <v>72.401025641025001</v>
      </c>
      <c r="M157" s="11"/>
      <c r="N157" s="11"/>
      <c r="O157" s="11"/>
      <c r="P157" s="11"/>
      <c r="Q157" s="11"/>
      <c r="R157" s="12"/>
      <c r="S157" s="12"/>
      <c r="T157" s="11"/>
      <c r="U157" s="11"/>
      <c r="V157" s="12"/>
      <c r="W157" s="12">
        <v>2</v>
      </c>
      <c r="X157" s="11"/>
      <c r="Y157" s="11"/>
      <c r="Z157" s="11"/>
      <c r="AA157" s="11"/>
      <c r="AB157" s="11">
        <v>13</v>
      </c>
      <c r="AC157" s="11"/>
      <c r="AD157" s="11"/>
      <c r="AE157" s="11"/>
      <c r="AF157" s="11"/>
      <c r="AG157" s="11"/>
      <c r="AH157" s="11"/>
      <c r="AI157" s="11"/>
      <c r="AJ157" s="11"/>
      <c r="AK157" s="11"/>
      <c r="AL157" s="14"/>
    </row>
    <row r="158" spans="2:38" ht="25.05" customHeight="1">
      <c r="B158" s="13"/>
      <c r="C158" s="29"/>
      <c r="D158" s="30"/>
      <c r="E158" s="19" t="s">
        <v>441</v>
      </c>
      <c r="F158" s="8" t="s">
        <v>42</v>
      </c>
      <c r="G158" s="9">
        <v>0.6166666666666667</v>
      </c>
      <c r="H158" s="9">
        <v>0.62569444444444444</v>
      </c>
      <c r="I158" s="10">
        <f t="shared" ref="I158:I183" si="18">H158-G158</f>
        <v>9.0277777777777457E-3</v>
      </c>
      <c r="J158" s="11">
        <v>9</v>
      </c>
      <c r="K158" s="11">
        <v>137.87</v>
      </c>
      <c r="L158" s="16">
        <f t="shared" ref="L158:L183" si="19">IFERROR(((K158/(J158*I158)/24)),"0")</f>
        <v>70.702564102564352</v>
      </c>
      <c r="M158" s="11"/>
      <c r="N158" s="11"/>
      <c r="O158" s="11"/>
      <c r="P158" s="11"/>
      <c r="Q158" s="11"/>
      <c r="R158" s="12"/>
      <c r="S158" s="12"/>
      <c r="T158" s="11"/>
      <c r="U158" s="11"/>
      <c r="V158" s="12">
        <v>2</v>
      </c>
      <c r="W158" s="12"/>
      <c r="X158" s="11"/>
      <c r="Y158" s="11"/>
      <c r="Z158" s="11"/>
      <c r="AA158" s="11"/>
      <c r="AB158" s="11">
        <v>13</v>
      </c>
      <c r="AC158" s="11"/>
      <c r="AD158" s="11"/>
      <c r="AE158" s="11"/>
      <c r="AF158" s="11"/>
      <c r="AG158" s="11"/>
      <c r="AH158" s="11"/>
      <c r="AI158" s="11"/>
      <c r="AJ158" s="11"/>
      <c r="AK158" s="11"/>
      <c r="AL158" s="14"/>
    </row>
    <row r="159" spans="2:38" ht="25.05" customHeight="1">
      <c r="B159" s="13"/>
      <c r="C159" s="29"/>
      <c r="D159" s="30"/>
      <c r="E159" s="19" t="s">
        <v>442</v>
      </c>
      <c r="F159" s="8" t="s">
        <v>42</v>
      </c>
      <c r="G159" s="9">
        <v>0.62986111111111109</v>
      </c>
      <c r="H159" s="9">
        <v>0.63888888888888884</v>
      </c>
      <c r="I159" s="10">
        <f t="shared" si="18"/>
        <v>9.0277777777777457E-3</v>
      </c>
      <c r="J159" s="11">
        <v>9</v>
      </c>
      <c r="K159" s="11">
        <v>135.44</v>
      </c>
      <c r="L159" s="16">
        <f t="shared" si="19"/>
        <v>69.456410256410507</v>
      </c>
      <c r="M159" s="11"/>
      <c r="N159" s="11"/>
      <c r="O159" s="11"/>
      <c r="P159" s="11"/>
      <c r="Q159" s="11"/>
      <c r="R159" s="12"/>
      <c r="S159" s="12"/>
      <c r="T159" s="11"/>
      <c r="U159" s="11"/>
      <c r="V159" s="12"/>
      <c r="W159" s="12">
        <v>2</v>
      </c>
      <c r="X159" s="11"/>
      <c r="Y159" s="11"/>
      <c r="Z159" s="11"/>
      <c r="AA159" s="11"/>
      <c r="AB159" s="11">
        <v>13</v>
      </c>
      <c r="AC159" s="11"/>
      <c r="AD159" s="11"/>
      <c r="AE159" s="11"/>
      <c r="AF159" s="11"/>
      <c r="AG159" s="11"/>
      <c r="AH159" s="11"/>
      <c r="AI159" s="11"/>
      <c r="AJ159" s="11"/>
      <c r="AK159" s="11"/>
      <c r="AL159" s="14"/>
    </row>
    <row r="160" spans="2:38" ht="25.05" customHeight="1">
      <c r="B160" s="13"/>
      <c r="C160" s="29"/>
      <c r="D160" s="30"/>
      <c r="E160" s="19" t="s">
        <v>443</v>
      </c>
      <c r="F160" s="8" t="s">
        <v>42</v>
      </c>
      <c r="G160" s="9">
        <v>0.6430555555555556</v>
      </c>
      <c r="H160" s="9">
        <v>0.65208333333333335</v>
      </c>
      <c r="I160" s="10">
        <f t="shared" si="18"/>
        <v>9.0277777777777457E-3</v>
      </c>
      <c r="J160" s="11">
        <v>9</v>
      </c>
      <c r="K160" s="11">
        <v>138.87</v>
      </c>
      <c r="L160" s="16">
        <f t="shared" si="19"/>
        <v>71.215384615384878</v>
      </c>
      <c r="M160" s="11"/>
      <c r="N160" s="11"/>
      <c r="O160" s="11"/>
      <c r="P160" s="11"/>
      <c r="Q160" s="11"/>
      <c r="R160" s="12"/>
      <c r="S160" s="12"/>
      <c r="T160" s="11"/>
      <c r="U160" s="11"/>
      <c r="V160" s="12">
        <v>2</v>
      </c>
      <c r="W160" s="12"/>
      <c r="X160" s="11"/>
      <c r="Y160" s="11"/>
      <c r="Z160" s="11"/>
      <c r="AA160" s="11"/>
      <c r="AB160" s="11">
        <v>13</v>
      </c>
      <c r="AC160" s="11"/>
      <c r="AD160" s="11"/>
      <c r="AE160" s="11"/>
      <c r="AF160" s="11"/>
      <c r="AG160" s="11"/>
      <c r="AH160" s="11"/>
      <c r="AI160" s="11"/>
      <c r="AJ160" s="11"/>
      <c r="AK160" s="11"/>
      <c r="AL160" s="14"/>
    </row>
    <row r="161" spans="2:38" ht="25.05" customHeight="1">
      <c r="B161" s="13"/>
      <c r="C161" s="29"/>
      <c r="D161" s="30"/>
      <c r="E161" s="19" t="s">
        <v>444</v>
      </c>
      <c r="F161" s="8" t="s">
        <v>42</v>
      </c>
      <c r="G161" s="9">
        <v>0.65694444444444444</v>
      </c>
      <c r="H161" s="9">
        <v>0.66388888888888886</v>
      </c>
      <c r="I161" s="10">
        <f t="shared" si="18"/>
        <v>6.9444444444444198E-3</v>
      </c>
      <c r="J161" s="11">
        <v>9</v>
      </c>
      <c r="K161" s="11">
        <v>137.80000000000001</v>
      </c>
      <c r="L161" s="16">
        <f t="shared" si="19"/>
        <v>91.866666666667001</v>
      </c>
      <c r="M161" s="11"/>
      <c r="N161" s="11"/>
      <c r="O161" s="11"/>
      <c r="P161" s="11"/>
      <c r="Q161" s="11"/>
      <c r="R161" s="12"/>
      <c r="S161" s="12"/>
      <c r="T161" s="11"/>
      <c r="U161" s="11"/>
      <c r="V161" s="12"/>
      <c r="W161" s="12">
        <v>2</v>
      </c>
      <c r="X161" s="11"/>
      <c r="Y161" s="11"/>
      <c r="Z161" s="11"/>
      <c r="AA161" s="11"/>
      <c r="AB161" s="11">
        <v>10</v>
      </c>
      <c r="AC161" s="11"/>
      <c r="AD161" s="11"/>
      <c r="AE161" s="11"/>
      <c r="AF161" s="11"/>
      <c r="AG161" s="11"/>
      <c r="AH161" s="11"/>
      <c r="AI161" s="11"/>
      <c r="AJ161" s="11"/>
      <c r="AK161" s="11"/>
      <c r="AL161" s="14"/>
    </row>
    <row r="162" spans="2:38" ht="25.05" customHeight="1">
      <c r="B162" s="13"/>
      <c r="C162" s="29"/>
      <c r="D162" s="30"/>
      <c r="E162" s="19" t="s">
        <v>657</v>
      </c>
      <c r="F162" s="8" t="s">
        <v>42</v>
      </c>
      <c r="G162" s="9">
        <v>0.66736111111111107</v>
      </c>
      <c r="H162" s="9">
        <v>0.67638888888888893</v>
      </c>
      <c r="I162" s="10">
        <f t="shared" si="18"/>
        <v>9.0277777777778567E-3</v>
      </c>
      <c r="J162" s="11">
        <v>9</v>
      </c>
      <c r="K162" s="11">
        <v>137.37</v>
      </c>
      <c r="L162" s="16">
        <f t="shared" si="19"/>
        <v>70.446153846153237</v>
      </c>
      <c r="M162" s="11"/>
      <c r="N162" s="11"/>
      <c r="O162" s="11"/>
      <c r="P162" s="11"/>
      <c r="Q162" s="11"/>
      <c r="R162" s="12"/>
      <c r="S162" s="12"/>
      <c r="T162" s="11"/>
      <c r="U162" s="11"/>
      <c r="V162" s="12">
        <v>2</v>
      </c>
      <c r="W162" s="12"/>
      <c r="X162" s="11"/>
      <c r="Y162" s="11"/>
      <c r="Z162" s="11"/>
      <c r="AA162" s="11"/>
      <c r="AB162" s="11">
        <v>13</v>
      </c>
      <c r="AC162" s="11"/>
      <c r="AD162" s="11"/>
      <c r="AE162" s="11"/>
      <c r="AF162" s="11"/>
      <c r="AG162" s="11"/>
      <c r="AH162" s="11"/>
      <c r="AI162" s="11"/>
      <c r="AJ162" s="11"/>
      <c r="AK162" s="11"/>
      <c r="AL162" s="14"/>
    </row>
    <row r="163" spans="2:38" ht="25.05" customHeight="1">
      <c r="B163" s="13"/>
      <c r="C163" s="29"/>
      <c r="D163" s="30"/>
      <c r="E163" s="19" t="s">
        <v>658</v>
      </c>
      <c r="F163" s="8" t="s">
        <v>42</v>
      </c>
      <c r="G163" s="9">
        <v>0.67847222222222225</v>
      </c>
      <c r="H163" s="9">
        <v>0.6875</v>
      </c>
      <c r="I163" s="10">
        <f t="shared" ref="I163:I181" si="20">H163-G163</f>
        <v>9.0277777777777457E-3</v>
      </c>
      <c r="J163" s="11">
        <v>9</v>
      </c>
      <c r="K163" s="11">
        <v>136.57</v>
      </c>
      <c r="L163" s="16">
        <f t="shared" ref="L163:L181" si="21">IFERROR(((K163/(J163*I163)/24)),"0")</f>
        <v>70.035897435897681</v>
      </c>
      <c r="M163" s="11"/>
      <c r="N163" s="11"/>
      <c r="O163" s="11"/>
      <c r="P163" s="11"/>
      <c r="Q163" s="11"/>
      <c r="R163" s="12"/>
      <c r="S163" s="12"/>
      <c r="T163" s="11"/>
      <c r="U163" s="11"/>
      <c r="V163" s="12"/>
      <c r="W163" s="12">
        <v>2</v>
      </c>
      <c r="X163" s="11"/>
      <c r="Y163" s="11"/>
      <c r="Z163" s="11"/>
      <c r="AA163" s="11"/>
      <c r="AB163" s="11">
        <v>13</v>
      </c>
      <c r="AC163" s="11"/>
      <c r="AD163" s="11"/>
      <c r="AE163" s="11"/>
      <c r="AF163" s="11"/>
      <c r="AG163" s="11"/>
      <c r="AH163" s="11"/>
      <c r="AI163" s="11"/>
      <c r="AJ163" s="11"/>
      <c r="AK163" s="11"/>
      <c r="AL163" s="14"/>
    </row>
    <row r="164" spans="2:38" ht="25.05" customHeight="1">
      <c r="B164" s="13"/>
      <c r="C164" s="29"/>
      <c r="D164" s="30"/>
      <c r="E164" s="19" t="s">
        <v>659</v>
      </c>
      <c r="F164" s="8" t="s">
        <v>42</v>
      </c>
      <c r="G164" s="9">
        <v>0.69027777777777777</v>
      </c>
      <c r="H164" s="9">
        <v>0.69861111111111107</v>
      </c>
      <c r="I164" s="10">
        <f t="shared" si="20"/>
        <v>8.3333333333333037E-3</v>
      </c>
      <c r="J164" s="11">
        <v>9</v>
      </c>
      <c r="K164" s="11">
        <v>137.37</v>
      </c>
      <c r="L164" s="16">
        <f t="shared" si="21"/>
        <v>76.316666666666933</v>
      </c>
      <c r="M164" s="11"/>
      <c r="N164" s="11"/>
      <c r="O164" s="11"/>
      <c r="P164" s="11"/>
      <c r="Q164" s="11"/>
      <c r="R164" s="12"/>
      <c r="S164" s="12"/>
      <c r="T164" s="11"/>
      <c r="U164" s="11"/>
      <c r="V164" s="12">
        <v>2</v>
      </c>
      <c r="W164" s="12"/>
      <c r="X164" s="11"/>
      <c r="Y164" s="11"/>
      <c r="Z164" s="11"/>
      <c r="AA164" s="11"/>
      <c r="AB164" s="11">
        <v>12</v>
      </c>
      <c r="AC164" s="11"/>
      <c r="AD164" s="11"/>
      <c r="AE164" s="11"/>
      <c r="AF164" s="11"/>
      <c r="AG164" s="11"/>
      <c r="AH164" s="11"/>
      <c r="AI164" s="11"/>
      <c r="AJ164" s="11"/>
      <c r="AK164" s="11"/>
      <c r="AL164" s="14"/>
    </row>
    <row r="165" spans="2:38" ht="25.05" customHeight="1">
      <c r="B165" s="13"/>
      <c r="C165" s="29"/>
      <c r="D165" s="30"/>
      <c r="E165" s="19" t="s">
        <v>660</v>
      </c>
      <c r="F165" s="8" t="s">
        <v>42</v>
      </c>
      <c r="G165" s="9">
        <v>0.70138888888888884</v>
      </c>
      <c r="H165" s="9">
        <v>0.70972222222222225</v>
      </c>
      <c r="I165" s="10">
        <f t="shared" si="20"/>
        <v>8.3333333333334147E-3</v>
      </c>
      <c r="J165" s="11">
        <v>9</v>
      </c>
      <c r="K165" s="11">
        <v>140.41</v>
      </c>
      <c r="L165" s="16">
        <f t="shared" si="21"/>
        <v>78.005555555554793</v>
      </c>
      <c r="M165" s="11"/>
      <c r="N165" s="11"/>
      <c r="O165" s="11"/>
      <c r="P165" s="11"/>
      <c r="Q165" s="11"/>
      <c r="R165" s="12"/>
      <c r="S165" s="12"/>
      <c r="T165" s="11"/>
      <c r="U165" s="11"/>
      <c r="V165" s="12"/>
      <c r="W165" s="12">
        <v>2</v>
      </c>
      <c r="X165" s="11"/>
      <c r="Y165" s="11"/>
      <c r="Z165" s="11"/>
      <c r="AA165" s="11"/>
      <c r="AB165" s="11">
        <v>12</v>
      </c>
      <c r="AC165" s="11"/>
      <c r="AD165" s="11"/>
      <c r="AE165" s="11"/>
      <c r="AF165" s="11"/>
      <c r="AG165" s="11"/>
      <c r="AH165" s="11"/>
      <c r="AI165" s="11"/>
      <c r="AJ165" s="11"/>
      <c r="AK165" s="11"/>
      <c r="AL165" s="14"/>
    </row>
    <row r="166" spans="2:38" ht="25.05" customHeight="1">
      <c r="B166" s="13"/>
      <c r="C166" s="29"/>
      <c r="D166" s="30"/>
      <c r="E166" s="19" t="s">
        <v>661</v>
      </c>
      <c r="F166" s="8" t="s">
        <v>42</v>
      </c>
      <c r="G166" s="9">
        <v>0.71319444444444446</v>
      </c>
      <c r="H166" s="9">
        <v>0.72222222222222221</v>
      </c>
      <c r="I166" s="10">
        <f t="shared" si="20"/>
        <v>9.0277777777777457E-3</v>
      </c>
      <c r="J166" s="11">
        <v>9</v>
      </c>
      <c r="K166" s="11">
        <v>140.36000000000001</v>
      </c>
      <c r="L166" s="16">
        <f t="shared" si="21"/>
        <v>71.979487179487435</v>
      </c>
      <c r="M166" s="11"/>
      <c r="N166" s="11"/>
      <c r="O166" s="11"/>
      <c r="P166" s="11"/>
      <c r="Q166" s="11"/>
      <c r="R166" s="12"/>
      <c r="S166" s="12"/>
      <c r="T166" s="11"/>
      <c r="U166" s="11"/>
      <c r="V166" s="12">
        <v>2</v>
      </c>
      <c r="W166" s="12"/>
      <c r="X166" s="11"/>
      <c r="Y166" s="11"/>
      <c r="Z166" s="11"/>
      <c r="AA166" s="11"/>
      <c r="AB166" s="11">
        <v>13</v>
      </c>
      <c r="AC166" s="11"/>
      <c r="AD166" s="11"/>
      <c r="AE166" s="11"/>
      <c r="AF166" s="11"/>
      <c r="AG166" s="11"/>
      <c r="AH166" s="11"/>
      <c r="AI166" s="11"/>
      <c r="AJ166" s="11"/>
      <c r="AK166" s="11"/>
      <c r="AL166" s="14"/>
    </row>
    <row r="167" spans="2:38" ht="25.05" customHeight="1">
      <c r="B167" s="13"/>
      <c r="C167" s="29"/>
      <c r="D167" s="30"/>
      <c r="E167" s="19"/>
      <c r="F167" s="8" t="s">
        <v>42</v>
      </c>
      <c r="G167" s="9"/>
      <c r="H167" s="9"/>
      <c r="I167" s="10">
        <f t="shared" si="20"/>
        <v>0</v>
      </c>
      <c r="J167" s="11"/>
      <c r="K167" s="11"/>
      <c r="L167" s="16" t="str">
        <f t="shared" si="21"/>
        <v>0</v>
      </c>
      <c r="M167" s="11"/>
      <c r="N167" s="11"/>
      <c r="O167" s="11"/>
      <c r="P167" s="11"/>
      <c r="Q167" s="11"/>
      <c r="R167" s="12"/>
      <c r="S167" s="12"/>
      <c r="T167" s="11"/>
      <c r="U167" s="11"/>
      <c r="V167" s="12"/>
      <c r="W167" s="12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4"/>
    </row>
    <row r="168" spans="2:38" ht="25.05" customHeight="1">
      <c r="B168" s="13"/>
      <c r="C168" s="29"/>
      <c r="D168" s="30" t="s">
        <v>83</v>
      </c>
      <c r="E168" s="19" t="s">
        <v>1090</v>
      </c>
      <c r="F168" s="8" t="s">
        <v>42</v>
      </c>
      <c r="G168" s="9">
        <v>0.4826388888888889</v>
      </c>
      <c r="H168" s="9">
        <v>0.48958333333333331</v>
      </c>
      <c r="I168" s="10">
        <f t="shared" si="20"/>
        <v>6.9444444444444198E-3</v>
      </c>
      <c r="J168" s="11">
        <v>1</v>
      </c>
      <c r="K168" s="11">
        <f>0.079*520</f>
        <v>41.08</v>
      </c>
      <c r="L168" s="16">
        <f t="shared" si="21"/>
        <v>246.48000000000084</v>
      </c>
      <c r="M168" s="11"/>
      <c r="N168" s="11"/>
      <c r="O168" s="11"/>
      <c r="P168" s="11"/>
      <c r="Q168" s="11"/>
      <c r="R168" s="12"/>
      <c r="S168" s="12"/>
      <c r="T168" s="11"/>
      <c r="U168" s="11"/>
      <c r="V168" s="12"/>
      <c r="W168" s="12">
        <v>10</v>
      </c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4"/>
    </row>
    <row r="169" spans="2:38" ht="25.05" customHeight="1">
      <c r="B169" s="13"/>
      <c r="C169" s="29"/>
      <c r="D169" s="30"/>
      <c r="E169" s="19" t="s">
        <v>1091</v>
      </c>
      <c r="F169" s="8" t="s">
        <v>42</v>
      </c>
      <c r="G169" s="9">
        <v>0.4909722222222222</v>
      </c>
      <c r="H169" s="9">
        <v>0.49791666666666667</v>
      </c>
      <c r="I169" s="10">
        <f t="shared" si="20"/>
        <v>6.9444444444444753E-3</v>
      </c>
      <c r="J169" s="11">
        <v>1</v>
      </c>
      <c r="K169" s="11">
        <f t="shared" ref="K169:K174" si="22">0.079*520</f>
        <v>41.08</v>
      </c>
      <c r="L169" s="16">
        <f t="shared" si="21"/>
        <v>246.47999999999888</v>
      </c>
      <c r="M169" s="11"/>
      <c r="N169" s="11"/>
      <c r="O169" s="11"/>
      <c r="P169" s="11"/>
      <c r="Q169" s="11"/>
      <c r="R169" s="12"/>
      <c r="S169" s="12"/>
      <c r="T169" s="11"/>
      <c r="U169" s="11"/>
      <c r="V169" s="12"/>
      <c r="W169" s="12">
        <v>10</v>
      </c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4"/>
    </row>
    <row r="170" spans="2:38" ht="25.05" customHeight="1">
      <c r="B170" s="13"/>
      <c r="C170" s="29"/>
      <c r="D170" s="30"/>
      <c r="E170" s="19" t="s">
        <v>1092</v>
      </c>
      <c r="F170" s="8" t="s">
        <v>42</v>
      </c>
      <c r="G170" s="9">
        <v>0.50694444444444442</v>
      </c>
      <c r="H170" s="9">
        <v>0.51388888888888884</v>
      </c>
      <c r="I170" s="10">
        <f t="shared" si="20"/>
        <v>6.9444444444444198E-3</v>
      </c>
      <c r="J170" s="11">
        <v>1</v>
      </c>
      <c r="K170" s="11">
        <f t="shared" si="22"/>
        <v>41.08</v>
      </c>
      <c r="L170" s="16">
        <f t="shared" si="21"/>
        <v>246.48000000000084</v>
      </c>
      <c r="M170" s="11"/>
      <c r="N170" s="11"/>
      <c r="O170" s="11"/>
      <c r="P170" s="11"/>
      <c r="Q170" s="11"/>
      <c r="R170" s="12"/>
      <c r="S170" s="12"/>
      <c r="T170" s="11"/>
      <c r="U170" s="11"/>
      <c r="V170" s="12">
        <v>10</v>
      </c>
      <c r="W170" s="12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4"/>
    </row>
    <row r="171" spans="2:38" ht="25.05" customHeight="1">
      <c r="B171" s="13"/>
      <c r="C171" s="29"/>
      <c r="D171" s="30"/>
      <c r="E171" s="19" t="s">
        <v>1093</v>
      </c>
      <c r="F171" s="8" t="s">
        <v>42</v>
      </c>
      <c r="G171" s="9">
        <v>0.5083333333333333</v>
      </c>
      <c r="H171" s="9">
        <v>0.51527777777777772</v>
      </c>
      <c r="I171" s="10">
        <f t="shared" si="20"/>
        <v>6.9444444444444198E-3</v>
      </c>
      <c r="J171" s="11">
        <v>1</v>
      </c>
      <c r="K171" s="11">
        <f t="shared" si="22"/>
        <v>41.08</v>
      </c>
      <c r="L171" s="16">
        <f t="shared" si="21"/>
        <v>246.48000000000084</v>
      </c>
      <c r="M171" s="11"/>
      <c r="N171" s="11"/>
      <c r="O171" s="11"/>
      <c r="P171" s="11"/>
      <c r="Q171" s="11"/>
      <c r="R171" s="12"/>
      <c r="S171" s="12"/>
      <c r="T171" s="11"/>
      <c r="U171" s="11"/>
      <c r="V171" s="12"/>
      <c r="W171" s="12">
        <v>10</v>
      </c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4"/>
    </row>
    <row r="172" spans="2:38" ht="25.05" customHeight="1">
      <c r="B172" s="13"/>
      <c r="C172" s="29"/>
      <c r="D172" s="30"/>
      <c r="E172" s="19" t="s">
        <v>1094</v>
      </c>
      <c r="F172" s="8" t="s">
        <v>42</v>
      </c>
      <c r="G172" s="9">
        <v>0.52083333333333337</v>
      </c>
      <c r="H172" s="9">
        <v>0.52777777777777779</v>
      </c>
      <c r="I172" s="10">
        <f t="shared" ref="I172:I179" si="23">H172-G172</f>
        <v>6.9444444444444198E-3</v>
      </c>
      <c r="J172" s="11">
        <v>1</v>
      </c>
      <c r="K172" s="11">
        <f t="shared" si="22"/>
        <v>41.08</v>
      </c>
      <c r="L172" s="16">
        <f t="shared" ref="L172:L179" si="24">IFERROR(((K172/(J172*I172)/24)),"0")</f>
        <v>246.48000000000084</v>
      </c>
      <c r="M172" s="11"/>
      <c r="N172" s="11"/>
      <c r="O172" s="11"/>
      <c r="P172" s="11"/>
      <c r="Q172" s="11"/>
      <c r="R172" s="12"/>
      <c r="S172" s="12"/>
      <c r="T172" s="11"/>
      <c r="U172" s="11"/>
      <c r="V172" s="12"/>
      <c r="W172" s="12">
        <v>10</v>
      </c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4"/>
    </row>
    <row r="173" spans="2:38" ht="25.05" customHeight="1">
      <c r="B173" s="13"/>
      <c r="C173" s="29"/>
      <c r="D173" s="30"/>
      <c r="E173" s="19" t="s">
        <v>1095</v>
      </c>
      <c r="F173" s="8" t="s">
        <v>42</v>
      </c>
      <c r="G173" s="9">
        <v>0.52361111111111114</v>
      </c>
      <c r="H173" s="9">
        <v>0.53055555555555556</v>
      </c>
      <c r="I173" s="10">
        <f t="shared" si="23"/>
        <v>6.9444444444444198E-3</v>
      </c>
      <c r="J173" s="11">
        <v>1</v>
      </c>
      <c r="K173" s="11">
        <f t="shared" si="22"/>
        <v>41.08</v>
      </c>
      <c r="L173" s="16">
        <f t="shared" si="24"/>
        <v>246.48000000000084</v>
      </c>
      <c r="M173" s="11"/>
      <c r="N173" s="11"/>
      <c r="O173" s="11"/>
      <c r="P173" s="11"/>
      <c r="Q173" s="11"/>
      <c r="R173" s="12"/>
      <c r="S173" s="12"/>
      <c r="T173" s="11"/>
      <c r="U173" s="11"/>
      <c r="V173" s="12">
        <v>10</v>
      </c>
      <c r="W173" s="12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4"/>
    </row>
    <row r="174" spans="2:38" ht="25.05" customHeight="1">
      <c r="B174" s="13"/>
      <c r="C174" s="29"/>
      <c r="D174" s="30"/>
      <c r="E174" s="19" t="s">
        <v>1369</v>
      </c>
      <c r="F174" s="8" t="s">
        <v>42</v>
      </c>
      <c r="G174" s="9">
        <v>0.61250000000000004</v>
      </c>
      <c r="H174" s="9">
        <v>0.61944444444444446</v>
      </c>
      <c r="I174" s="10">
        <f t="shared" si="23"/>
        <v>6.9444444444444198E-3</v>
      </c>
      <c r="J174" s="11">
        <v>1</v>
      </c>
      <c r="K174" s="11">
        <f t="shared" si="22"/>
        <v>41.08</v>
      </c>
      <c r="L174" s="16">
        <f t="shared" si="24"/>
        <v>246.48000000000084</v>
      </c>
      <c r="M174" s="11"/>
      <c r="N174" s="11"/>
      <c r="O174" s="11"/>
      <c r="P174" s="11"/>
      <c r="Q174" s="11"/>
      <c r="R174" s="12"/>
      <c r="S174" s="12"/>
      <c r="T174" s="11"/>
      <c r="U174" s="11"/>
      <c r="V174" s="12"/>
      <c r="W174" s="12">
        <v>10</v>
      </c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4"/>
    </row>
    <row r="175" spans="2:38" ht="25.05" customHeight="1">
      <c r="B175" s="13"/>
      <c r="C175" s="29"/>
      <c r="D175" s="30"/>
      <c r="E175" s="19" t="s">
        <v>1096</v>
      </c>
      <c r="F175" s="8" t="s">
        <v>42</v>
      </c>
      <c r="G175" s="9">
        <v>0.61250000000000004</v>
      </c>
      <c r="H175" s="9">
        <v>0.61944444444444446</v>
      </c>
      <c r="I175" s="10">
        <f t="shared" si="23"/>
        <v>6.9444444444444198E-3</v>
      </c>
      <c r="J175" s="11">
        <v>1</v>
      </c>
      <c r="K175" s="11">
        <v>41.08</v>
      </c>
      <c r="L175" s="16">
        <f t="shared" si="24"/>
        <v>246.48000000000084</v>
      </c>
      <c r="M175" s="11"/>
      <c r="N175" s="11"/>
      <c r="O175" s="11"/>
      <c r="P175" s="11"/>
      <c r="Q175" s="11"/>
      <c r="R175" s="12"/>
      <c r="S175" s="12"/>
      <c r="T175" s="11"/>
      <c r="U175" s="11"/>
      <c r="V175" s="12"/>
      <c r="W175" s="12">
        <v>10</v>
      </c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4"/>
    </row>
    <row r="176" spans="2:38" ht="25.05" customHeight="1">
      <c r="B176" s="13"/>
      <c r="C176" s="29"/>
      <c r="D176" s="30"/>
      <c r="E176" s="19" t="s">
        <v>1097</v>
      </c>
      <c r="F176" s="8" t="s">
        <v>42</v>
      </c>
      <c r="G176" s="9">
        <v>0.69444444444444442</v>
      </c>
      <c r="H176" s="9">
        <v>0.70138888888888884</v>
      </c>
      <c r="I176" s="10">
        <f t="shared" si="23"/>
        <v>6.9444444444444198E-3</v>
      </c>
      <c r="J176" s="11">
        <v>1</v>
      </c>
      <c r="K176" s="11">
        <v>37.92</v>
      </c>
      <c r="L176" s="16">
        <f t="shared" si="24"/>
        <v>227.52000000000081</v>
      </c>
      <c r="M176" s="11"/>
      <c r="N176" s="11"/>
      <c r="O176" s="11"/>
      <c r="P176" s="11"/>
      <c r="Q176" s="11"/>
      <c r="R176" s="12"/>
      <c r="S176" s="12"/>
      <c r="T176" s="11"/>
      <c r="U176" s="11"/>
      <c r="V176" s="12"/>
      <c r="W176" s="12">
        <v>10</v>
      </c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4"/>
    </row>
    <row r="177" spans="1:38" ht="25.05" customHeight="1">
      <c r="B177" s="13"/>
      <c r="C177" s="29"/>
      <c r="D177" s="30"/>
      <c r="E177" s="19" t="s">
        <v>1098</v>
      </c>
      <c r="F177" s="8" t="s">
        <v>42</v>
      </c>
      <c r="G177" s="9">
        <v>0.70486111111111116</v>
      </c>
      <c r="H177" s="9">
        <v>0.71180555555555558</v>
      </c>
      <c r="I177" s="10">
        <f t="shared" si="23"/>
        <v>6.9444444444444198E-3</v>
      </c>
      <c r="J177" s="11">
        <v>1</v>
      </c>
      <c r="K177" s="11">
        <v>37.92</v>
      </c>
      <c r="L177" s="16">
        <f t="shared" si="24"/>
        <v>227.52000000000081</v>
      </c>
      <c r="M177" s="11"/>
      <c r="N177" s="11"/>
      <c r="O177" s="11"/>
      <c r="P177" s="11"/>
      <c r="Q177" s="11"/>
      <c r="R177" s="12"/>
      <c r="S177" s="12"/>
      <c r="T177" s="11"/>
      <c r="U177" s="11"/>
      <c r="V177" s="12">
        <v>10</v>
      </c>
      <c r="W177" s="12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4"/>
    </row>
    <row r="178" spans="1:38" ht="25.05" customHeight="1">
      <c r="B178" s="13"/>
      <c r="C178" s="29"/>
      <c r="D178" s="30"/>
      <c r="E178" s="19" t="s">
        <v>1099</v>
      </c>
      <c r="F178" s="8" t="s">
        <v>42</v>
      </c>
      <c r="G178" s="9">
        <v>0.71805555555555556</v>
      </c>
      <c r="H178" s="9">
        <v>0.72499999999999998</v>
      </c>
      <c r="I178" s="10">
        <f t="shared" si="23"/>
        <v>6.9444444444444198E-3</v>
      </c>
      <c r="J178" s="11">
        <v>1</v>
      </c>
      <c r="K178" s="11">
        <v>41.08</v>
      </c>
      <c r="L178" s="16">
        <f t="shared" si="24"/>
        <v>246.48000000000084</v>
      </c>
      <c r="M178" s="11"/>
      <c r="N178" s="11"/>
      <c r="O178" s="11"/>
      <c r="P178" s="11"/>
      <c r="Q178" s="11"/>
      <c r="R178" s="12"/>
      <c r="S178" s="12"/>
      <c r="T178" s="11"/>
      <c r="U178" s="11"/>
      <c r="V178" s="12">
        <v>10</v>
      </c>
      <c r="W178" s="12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4"/>
    </row>
    <row r="179" spans="1:38" ht="25.05" customHeight="1">
      <c r="B179" s="13"/>
      <c r="C179" s="29"/>
      <c r="D179" s="30"/>
      <c r="E179" s="19" t="s">
        <v>1100</v>
      </c>
      <c r="F179" s="8" t="s">
        <v>42</v>
      </c>
      <c r="G179" s="9">
        <v>0.73611111111111116</v>
      </c>
      <c r="H179" s="9">
        <v>0.74305555555555558</v>
      </c>
      <c r="I179" s="10">
        <f t="shared" si="23"/>
        <v>6.9444444444444198E-3</v>
      </c>
      <c r="J179" s="11">
        <v>2</v>
      </c>
      <c r="K179" s="11">
        <v>41.08</v>
      </c>
      <c r="L179" s="16">
        <f t="shared" si="24"/>
        <v>123.24000000000042</v>
      </c>
      <c r="M179" s="11"/>
      <c r="N179" s="11"/>
      <c r="O179" s="11"/>
      <c r="P179" s="11"/>
      <c r="Q179" s="11"/>
      <c r="R179" s="12"/>
      <c r="S179" s="12"/>
      <c r="T179" s="11"/>
      <c r="U179" s="11"/>
      <c r="V179" s="12">
        <v>10</v>
      </c>
      <c r="W179" s="12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4"/>
    </row>
    <row r="180" spans="1:38" ht="25.05" customHeight="1">
      <c r="B180" s="13"/>
      <c r="C180" s="29"/>
      <c r="D180" s="30"/>
      <c r="E180" s="19" t="s">
        <v>1101</v>
      </c>
      <c r="F180" s="8" t="s">
        <v>42</v>
      </c>
      <c r="G180" s="9">
        <v>0.73750000000000004</v>
      </c>
      <c r="H180" s="9">
        <v>0.74444444444444446</v>
      </c>
      <c r="I180" s="10">
        <f t="shared" si="20"/>
        <v>6.9444444444444198E-3</v>
      </c>
      <c r="J180" s="11">
        <v>2</v>
      </c>
      <c r="K180" s="11">
        <v>37.92</v>
      </c>
      <c r="L180" s="16">
        <f t="shared" si="21"/>
        <v>113.7600000000004</v>
      </c>
      <c r="M180" s="11"/>
      <c r="N180" s="11"/>
      <c r="O180" s="11"/>
      <c r="P180" s="11"/>
      <c r="Q180" s="11"/>
      <c r="R180" s="12"/>
      <c r="S180" s="12"/>
      <c r="T180" s="11"/>
      <c r="U180" s="11"/>
      <c r="V180" s="12"/>
      <c r="W180" s="12">
        <v>10</v>
      </c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4"/>
    </row>
    <row r="181" spans="1:38" ht="25.05" customHeight="1">
      <c r="B181" s="13"/>
      <c r="C181" s="29"/>
      <c r="D181" s="30"/>
      <c r="E181" s="19" t="s">
        <v>1102</v>
      </c>
      <c r="F181" s="8" t="s">
        <v>42</v>
      </c>
      <c r="G181" s="9">
        <v>0.74444444444444446</v>
      </c>
      <c r="H181" s="9">
        <v>0.75138888888888888</v>
      </c>
      <c r="I181" s="10">
        <f t="shared" si="20"/>
        <v>6.9444444444444198E-3</v>
      </c>
      <c r="J181" s="11">
        <v>2</v>
      </c>
      <c r="K181" s="11">
        <v>41.08</v>
      </c>
      <c r="L181" s="16">
        <f t="shared" si="21"/>
        <v>123.24000000000042</v>
      </c>
      <c r="M181" s="11"/>
      <c r="N181" s="11"/>
      <c r="O181" s="11"/>
      <c r="P181" s="11"/>
      <c r="Q181" s="11"/>
      <c r="R181" s="12"/>
      <c r="S181" s="12"/>
      <c r="T181" s="11"/>
      <c r="U181" s="11"/>
      <c r="V181" s="12">
        <v>10</v>
      </c>
      <c r="W181" s="12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4"/>
    </row>
    <row r="182" spans="1:38" ht="25.05" customHeight="1">
      <c r="B182" s="13"/>
      <c r="C182" s="29"/>
      <c r="D182" s="30"/>
      <c r="E182" s="19" t="s">
        <v>1103</v>
      </c>
      <c r="F182" s="8" t="s">
        <v>42</v>
      </c>
      <c r="G182" s="9">
        <v>0.74652777777777779</v>
      </c>
      <c r="H182" s="9">
        <v>0.75347222222222221</v>
      </c>
      <c r="I182" s="10">
        <f t="shared" si="18"/>
        <v>6.9444444444444198E-3</v>
      </c>
      <c r="J182" s="11">
        <v>2</v>
      </c>
      <c r="K182" s="11">
        <v>41.08</v>
      </c>
      <c r="L182" s="16">
        <f t="shared" si="19"/>
        <v>123.24000000000042</v>
      </c>
      <c r="M182" s="11"/>
      <c r="N182" s="11"/>
      <c r="O182" s="11"/>
      <c r="P182" s="11"/>
      <c r="Q182" s="11"/>
      <c r="R182" s="12"/>
      <c r="S182" s="12"/>
      <c r="T182" s="11"/>
      <c r="U182" s="11"/>
      <c r="V182" s="12"/>
      <c r="W182" s="12">
        <v>10</v>
      </c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4"/>
    </row>
    <row r="183" spans="1:38" ht="25.05" customHeight="1">
      <c r="B183" s="13"/>
      <c r="C183" s="29"/>
      <c r="D183" s="30"/>
      <c r="E183" s="19" t="s">
        <v>1104</v>
      </c>
      <c r="F183" s="8" t="s">
        <v>42</v>
      </c>
      <c r="G183" s="9">
        <v>0.75416666666666665</v>
      </c>
      <c r="H183" s="9">
        <v>0.76111111111111107</v>
      </c>
      <c r="I183" s="10">
        <f t="shared" si="18"/>
        <v>6.9444444444444198E-3</v>
      </c>
      <c r="J183" s="11">
        <v>2</v>
      </c>
      <c r="K183" s="11">
        <v>34.76</v>
      </c>
      <c r="L183" s="16">
        <f t="shared" si="19"/>
        <v>104.28000000000037</v>
      </c>
      <c r="M183" s="11"/>
      <c r="N183" s="11"/>
      <c r="O183" s="11"/>
      <c r="P183" s="11"/>
      <c r="Q183" s="11"/>
      <c r="R183" s="12"/>
      <c r="S183" s="12"/>
      <c r="T183" s="11"/>
      <c r="U183" s="11"/>
      <c r="V183" s="12">
        <v>10</v>
      </c>
      <c r="W183" s="12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4"/>
    </row>
    <row r="184" spans="1:38" ht="25.05" customHeight="1">
      <c r="B184" s="13"/>
      <c r="C184" s="29"/>
      <c r="D184" s="30"/>
      <c r="E184" s="19" t="s">
        <v>1257</v>
      </c>
      <c r="F184" s="8" t="s">
        <v>42</v>
      </c>
      <c r="G184" s="9">
        <v>0.75416666666666665</v>
      </c>
      <c r="H184" s="9">
        <v>0.76249999999999996</v>
      </c>
      <c r="I184" s="10">
        <f t="shared" ref="I184:I189" si="25">H184-G184</f>
        <v>8.3333333333333037E-3</v>
      </c>
      <c r="J184" s="11">
        <v>2</v>
      </c>
      <c r="K184" s="11">
        <v>41.08</v>
      </c>
      <c r="L184" s="16">
        <f t="shared" ref="L184:L189" si="26">IFERROR(((K184/(J184*I184)/24)),"0")</f>
        <v>102.70000000000037</v>
      </c>
      <c r="M184" s="11"/>
      <c r="N184" s="11"/>
      <c r="O184" s="11"/>
      <c r="P184" s="11"/>
      <c r="Q184" s="11"/>
      <c r="R184" s="12"/>
      <c r="S184" s="12"/>
      <c r="T184" s="11"/>
      <c r="U184" s="11"/>
      <c r="V184" s="12"/>
      <c r="W184" s="12">
        <v>10</v>
      </c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4"/>
    </row>
    <row r="185" spans="1:38" ht="25.05" customHeight="1">
      <c r="B185" s="13"/>
      <c r="C185" s="29"/>
      <c r="D185" s="30"/>
      <c r="E185" s="19" t="s">
        <v>1258</v>
      </c>
      <c r="F185" s="8" t="s">
        <v>42</v>
      </c>
      <c r="G185" s="9">
        <v>0.76180555555555551</v>
      </c>
      <c r="H185" s="9">
        <v>0.76875000000000004</v>
      </c>
      <c r="I185" s="10">
        <f t="shared" si="25"/>
        <v>6.9444444444445308E-3</v>
      </c>
      <c r="J185" s="11">
        <v>2</v>
      </c>
      <c r="K185" s="11">
        <v>41.08</v>
      </c>
      <c r="L185" s="16">
        <f t="shared" si="26"/>
        <v>123.23999999999846</v>
      </c>
      <c r="M185" s="11"/>
      <c r="N185" s="11"/>
      <c r="O185" s="11"/>
      <c r="P185" s="11"/>
      <c r="Q185" s="11"/>
      <c r="R185" s="12"/>
      <c r="S185" s="12"/>
      <c r="T185" s="11"/>
      <c r="U185" s="11"/>
      <c r="V185" s="12">
        <v>10</v>
      </c>
      <c r="W185" s="12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4"/>
    </row>
    <row r="186" spans="1:38" ht="25.05" customHeight="1">
      <c r="B186" s="13"/>
      <c r="C186" s="29"/>
      <c r="D186" s="30"/>
      <c r="E186" s="19" t="s">
        <v>1259</v>
      </c>
      <c r="F186" s="8" t="s">
        <v>42</v>
      </c>
      <c r="G186" s="9">
        <v>0.76666666666666672</v>
      </c>
      <c r="H186" s="9">
        <v>0.77361111111111114</v>
      </c>
      <c r="I186" s="10">
        <f t="shared" si="25"/>
        <v>6.9444444444444198E-3</v>
      </c>
      <c r="J186" s="11">
        <v>2</v>
      </c>
      <c r="K186" s="11">
        <v>34.76</v>
      </c>
      <c r="L186" s="16">
        <f t="shared" si="26"/>
        <v>104.28000000000037</v>
      </c>
      <c r="M186" s="11"/>
      <c r="N186" s="11"/>
      <c r="O186" s="11"/>
      <c r="P186" s="11"/>
      <c r="Q186" s="11"/>
      <c r="R186" s="12"/>
      <c r="S186" s="12"/>
      <c r="T186" s="11"/>
      <c r="U186" s="11"/>
      <c r="V186" s="12"/>
      <c r="W186" s="12">
        <v>10</v>
      </c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4"/>
    </row>
    <row r="187" spans="1:38" ht="25.05" customHeight="1">
      <c r="B187" s="13"/>
      <c r="C187" s="29"/>
      <c r="D187" s="30"/>
      <c r="E187" s="19" t="s">
        <v>1260</v>
      </c>
      <c r="F187" s="8" t="s">
        <v>42</v>
      </c>
      <c r="G187" s="9">
        <v>0.77152777777777781</v>
      </c>
      <c r="H187" s="9">
        <v>0.77847222222222223</v>
      </c>
      <c r="I187" s="10">
        <f t="shared" si="25"/>
        <v>6.9444444444444198E-3</v>
      </c>
      <c r="J187" s="11">
        <v>2</v>
      </c>
      <c r="K187" s="11">
        <v>41.08</v>
      </c>
      <c r="L187" s="16">
        <f t="shared" si="26"/>
        <v>123.24000000000042</v>
      </c>
      <c r="M187" s="11"/>
      <c r="N187" s="11"/>
      <c r="O187" s="11"/>
      <c r="P187" s="11"/>
      <c r="Q187" s="11"/>
      <c r="R187" s="12"/>
      <c r="S187" s="12"/>
      <c r="T187" s="11"/>
      <c r="U187" s="11"/>
      <c r="V187" s="12">
        <v>10</v>
      </c>
      <c r="W187" s="12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4"/>
    </row>
    <row r="188" spans="1:38" ht="25.05" customHeight="1">
      <c r="B188" s="13"/>
      <c r="C188" s="29"/>
      <c r="D188" s="30"/>
      <c r="E188" s="19" t="s">
        <v>1261</v>
      </c>
      <c r="F188" s="8" t="s">
        <v>42</v>
      </c>
      <c r="G188" s="9">
        <v>0.77708333333333335</v>
      </c>
      <c r="H188" s="9">
        <v>0.78402777777777777</v>
      </c>
      <c r="I188" s="10">
        <f t="shared" si="25"/>
        <v>6.9444444444444198E-3</v>
      </c>
      <c r="J188" s="11">
        <v>2</v>
      </c>
      <c r="K188" s="11">
        <v>41.08</v>
      </c>
      <c r="L188" s="16">
        <f t="shared" si="26"/>
        <v>123.24000000000042</v>
      </c>
      <c r="M188" s="11"/>
      <c r="N188" s="11"/>
      <c r="O188" s="11"/>
      <c r="P188" s="11"/>
      <c r="Q188" s="11"/>
      <c r="R188" s="12"/>
      <c r="S188" s="12"/>
      <c r="T188" s="11"/>
      <c r="U188" s="11"/>
      <c r="V188" s="12">
        <v>10</v>
      </c>
      <c r="W188" s="12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4"/>
    </row>
    <row r="189" spans="1:38" ht="25.05" customHeight="1">
      <c r="B189" s="13"/>
      <c r="C189" s="29"/>
      <c r="D189" s="30"/>
      <c r="E189" s="19" t="s">
        <v>1262</v>
      </c>
      <c r="F189" s="8" t="s">
        <v>42</v>
      </c>
      <c r="G189" s="9">
        <v>0.78194444444444444</v>
      </c>
      <c r="H189" s="9">
        <v>0.78888888888888886</v>
      </c>
      <c r="I189" s="10">
        <f t="shared" si="25"/>
        <v>6.9444444444444198E-3</v>
      </c>
      <c r="J189" s="11">
        <v>2</v>
      </c>
      <c r="K189" s="11">
        <v>22.12</v>
      </c>
      <c r="L189" s="16">
        <f t="shared" si="26"/>
        <v>66.360000000000241</v>
      </c>
      <c r="M189" s="11"/>
      <c r="N189" s="11"/>
      <c r="O189" s="11"/>
      <c r="P189" s="11"/>
      <c r="Q189" s="11"/>
      <c r="R189" s="12"/>
      <c r="S189" s="12"/>
      <c r="T189" s="11"/>
      <c r="U189" s="11"/>
      <c r="V189" s="12"/>
      <c r="W189" s="12">
        <v>10</v>
      </c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4"/>
    </row>
    <row r="190" spans="1:38" ht="25.05" customHeight="1">
      <c r="B190" s="13"/>
      <c r="C190" s="29"/>
      <c r="D190" s="30"/>
      <c r="E190" s="19"/>
      <c r="F190" s="8"/>
      <c r="G190" s="9"/>
      <c r="H190" s="9"/>
      <c r="I190" s="10"/>
      <c r="J190" s="11"/>
      <c r="K190" s="11"/>
      <c r="L190" s="16"/>
      <c r="M190" s="11"/>
      <c r="N190" s="11"/>
      <c r="O190" s="11"/>
      <c r="P190" s="11"/>
      <c r="Q190" s="11"/>
      <c r="R190" s="12"/>
      <c r="S190" s="12"/>
      <c r="T190" s="11"/>
      <c r="U190" s="11"/>
      <c r="V190" s="12"/>
      <c r="W190" s="12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4"/>
    </row>
    <row r="191" spans="1:38" ht="25.05" customHeight="1">
      <c r="B191" s="13"/>
      <c r="C191" s="29"/>
      <c r="D191" s="30"/>
      <c r="E191" s="19"/>
      <c r="F191" s="8" t="s">
        <v>42</v>
      </c>
      <c r="G191" s="9"/>
      <c r="H191" s="9"/>
      <c r="I191" s="10"/>
      <c r="J191" s="11"/>
      <c r="K191" s="11"/>
      <c r="L191" s="16" t="str">
        <f t="shared" si="17"/>
        <v>0</v>
      </c>
      <c r="M191" s="11"/>
      <c r="N191" s="11"/>
      <c r="O191" s="11"/>
      <c r="P191" s="11"/>
      <c r="Q191" s="11"/>
      <c r="R191" s="12"/>
      <c r="S191" s="12"/>
      <c r="T191" s="11"/>
      <c r="U191" s="11"/>
      <c r="V191" s="12"/>
      <c r="W191" s="12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4"/>
    </row>
    <row r="192" spans="1:38" s="28" customFormat="1" ht="25.5" customHeight="1" thickBot="1">
      <c r="A192" s="2"/>
      <c r="B192" s="32"/>
      <c r="C192" s="33"/>
      <c r="D192" s="34"/>
      <c r="E192" s="35"/>
      <c r="F192" s="35"/>
      <c r="G192" s="36"/>
      <c r="H192" s="36"/>
      <c r="I192" s="37"/>
      <c r="J192" s="38"/>
      <c r="K192" s="38">
        <f t="shared" ref="K192:AL192" si="27">SUM(K39:K191)</f>
        <v>7508.5519999999979</v>
      </c>
      <c r="L192" s="39">
        <f t="shared" si="27"/>
        <v>139696.04742352371</v>
      </c>
      <c r="M192" s="38">
        <f t="shared" si="27"/>
        <v>0</v>
      </c>
      <c r="N192" s="38">
        <f t="shared" si="27"/>
        <v>0</v>
      </c>
      <c r="O192" s="38">
        <f t="shared" si="27"/>
        <v>0</v>
      </c>
      <c r="P192" s="38">
        <f t="shared" si="27"/>
        <v>0</v>
      </c>
      <c r="Q192" s="38">
        <f t="shared" si="27"/>
        <v>0</v>
      </c>
      <c r="R192" s="38">
        <f t="shared" si="27"/>
        <v>0</v>
      </c>
      <c r="S192" s="38">
        <f t="shared" si="27"/>
        <v>0</v>
      </c>
      <c r="T192" s="38">
        <f t="shared" si="27"/>
        <v>0</v>
      </c>
      <c r="U192" s="38">
        <f t="shared" si="27"/>
        <v>0</v>
      </c>
      <c r="V192" s="38">
        <f t="shared" si="27"/>
        <v>214</v>
      </c>
      <c r="W192" s="38">
        <f t="shared" si="27"/>
        <v>218</v>
      </c>
      <c r="X192" s="38">
        <f t="shared" si="27"/>
        <v>90.999999999999943</v>
      </c>
      <c r="Y192" s="38">
        <f t="shared" si="27"/>
        <v>168.50000000000006</v>
      </c>
      <c r="Z192" s="38">
        <f t="shared" si="27"/>
        <v>122</v>
      </c>
      <c r="AA192" s="38">
        <f t="shared" si="27"/>
        <v>57</v>
      </c>
      <c r="AB192" s="38">
        <f t="shared" si="27"/>
        <v>222</v>
      </c>
      <c r="AC192" s="38">
        <f t="shared" si="27"/>
        <v>224</v>
      </c>
      <c r="AD192" s="38">
        <f t="shared" si="27"/>
        <v>127</v>
      </c>
      <c r="AE192" s="38">
        <f t="shared" si="27"/>
        <v>0</v>
      </c>
      <c r="AF192" s="38">
        <f t="shared" si="27"/>
        <v>0</v>
      </c>
      <c r="AG192" s="38">
        <f t="shared" si="27"/>
        <v>95.5</v>
      </c>
      <c r="AH192" s="38">
        <f t="shared" si="27"/>
        <v>95.5</v>
      </c>
      <c r="AI192" s="38">
        <f t="shared" si="27"/>
        <v>95.5</v>
      </c>
      <c r="AJ192" s="38">
        <f t="shared" si="27"/>
        <v>17.5</v>
      </c>
      <c r="AK192" s="38">
        <f t="shared" si="27"/>
        <v>0</v>
      </c>
      <c r="AL192" s="38">
        <f t="shared" si="27"/>
        <v>0</v>
      </c>
    </row>
    <row r="193" spans="2:38" ht="38.1" customHeight="1" thickBot="1">
      <c r="B193" s="40" t="s">
        <v>45</v>
      </c>
      <c r="C193" s="41"/>
      <c r="D193" s="41"/>
      <c r="E193" s="41"/>
      <c r="F193" s="41"/>
      <c r="G193" s="41"/>
      <c r="H193" s="41"/>
      <c r="I193" s="41"/>
      <c r="J193" s="41"/>
      <c r="K193" s="42">
        <f>K31+K38+K192</f>
        <v>12351.759999999998</v>
      </c>
      <c r="L193" s="42">
        <f>L31+L38+L192</f>
        <v>141209.12300228706</v>
      </c>
      <c r="M193" s="43">
        <f t="shared" ref="M193:AL193" si="28">(M31+M38+M192)/(480-15-30)</f>
        <v>0.4091954022988506</v>
      </c>
      <c r="N193" s="43">
        <f t="shared" si="28"/>
        <v>0</v>
      </c>
      <c r="O193" s="43">
        <f t="shared" si="28"/>
        <v>0.73563218390804597</v>
      </c>
      <c r="P193" s="43">
        <f t="shared" si="28"/>
        <v>0.16091954022988506</v>
      </c>
      <c r="Q193" s="43">
        <f t="shared" si="28"/>
        <v>0</v>
      </c>
      <c r="R193" s="43">
        <f t="shared" si="28"/>
        <v>0.18390804597701149</v>
      </c>
      <c r="S193" s="43">
        <f t="shared" si="28"/>
        <v>1.9793103448275862</v>
      </c>
      <c r="T193" s="43">
        <f t="shared" si="28"/>
        <v>0</v>
      </c>
      <c r="U193" s="43">
        <f t="shared" si="28"/>
        <v>0</v>
      </c>
      <c r="V193" s="43">
        <f t="shared" si="28"/>
        <v>0.49195402298850577</v>
      </c>
      <c r="W193" s="43">
        <f t="shared" si="28"/>
        <v>0.50114942528735629</v>
      </c>
      <c r="X193" s="43">
        <f t="shared" si="28"/>
        <v>0.20919540229885045</v>
      </c>
      <c r="Y193" s="43">
        <f t="shared" si="28"/>
        <v>0.38735632183908059</v>
      </c>
      <c r="Z193" s="43">
        <f t="shared" si="28"/>
        <v>0.28045977011494255</v>
      </c>
      <c r="AA193" s="43">
        <f t="shared" si="28"/>
        <v>0.1310344827586207</v>
      </c>
      <c r="AB193" s="43">
        <f t="shared" si="28"/>
        <v>0.51034482758620692</v>
      </c>
      <c r="AC193" s="43">
        <f t="shared" si="28"/>
        <v>0.51494252873563218</v>
      </c>
      <c r="AD193" s="43">
        <f t="shared" si="28"/>
        <v>0.29195402298850576</v>
      </c>
      <c r="AE193" s="43">
        <f t="shared" si="28"/>
        <v>0</v>
      </c>
      <c r="AF193" s="43">
        <f t="shared" si="28"/>
        <v>0</v>
      </c>
      <c r="AG193" s="43">
        <f t="shared" si="28"/>
        <v>0.21954022988505748</v>
      </c>
      <c r="AH193" s="43">
        <f t="shared" si="28"/>
        <v>0.21954022988505748</v>
      </c>
      <c r="AI193" s="43">
        <f t="shared" si="28"/>
        <v>0.21954022988505748</v>
      </c>
      <c r="AJ193" s="43">
        <f t="shared" si="28"/>
        <v>4.0229885057471264E-2</v>
      </c>
      <c r="AK193" s="43">
        <f t="shared" si="28"/>
        <v>0</v>
      </c>
      <c r="AL193" s="43">
        <f t="shared" si="28"/>
        <v>0</v>
      </c>
    </row>
    <row r="194" spans="2:38" ht="25.05" customHeight="1">
      <c r="B194" s="44"/>
      <c r="C194" s="44"/>
      <c r="D194" s="44"/>
      <c r="E194" s="45"/>
      <c r="F194" s="45"/>
      <c r="G194" s="45"/>
      <c r="H194" s="45"/>
      <c r="I194" s="46"/>
      <c r="J194" s="46"/>
      <c r="K194" s="45"/>
      <c r="L194" s="47"/>
      <c r="M194" s="47"/>
      <c r="N194" s="47"/>
      <c r="O194" s="47"/>
      <c r="P194" s="47"/>
      <c r="Q194" s="45"/>
      <c r="R194" s="45"/>
      <c r="S194" s="45"/>
      <c r="T194" s="45"/>
      <c r="U194" s="45"/>
      <c r="V194" s="45"/>
      <c r="W194" s="45"/>
      <c r="X194" s="45"/>
      <c r="Y194" s="45"/>
      <c r="Z194" s="45"/>
      <c r="AA194" s="45"/>
      <c r="AB194" s="45"/>
      <c r="AC194" s="45"/>
      <c r="AD194" s="45"/>
      <c r="AE194" s="45"/>
      <c r="AF194" s="45"/>
      <c r="AG194" s="45"/>
      <c r="AH194" s="45"/>
      <c r="AI194" s="45"/>
      <c r="AJ194" s="45"/>
    </row>
    <row r="195" spans="2:38" ht="25.05" customHeight="1">
      <c r="B195" s="44"/>
      <c r="C195" s="44"/>
      <c r="D195" s="44"/>
      <c r="E195" s="45"/>
      <c r="F195" s="45"/>
      <c r="G195" s="45"/>
      <c r="H195" s="45"/>
      <c r="I195" s="48" t="s">
        <v>46</v>
      </c>
      <c r="J195" s="46"/>
      <c r="K195" s="45"/>
      <c r="L195" s="47"/>
      <c r="M195" s="47"/>
      <c r="N195" s="47"/>
      <c r="O195" s="47"/>
      <c r="P195" s="47"/>
      <c r="Q195" s="45"/>
      <c r="R195" s="45"/>
      <c r="S195" s="45"/>
      <c r="T195" s="45"/>
      <c r="U195" s="45"/>
      <c r="V195" s="45"/>
      <c r="W195" s="45"/>
      <c r="X195" s="45"/>
      <c r="Y195" s="45"/>
      <c r="Z195" s="45"/>
      <c r="AA195" s="45"/>
      <c r="AB195" s="45"/>
      <c r="AC195" s="45"/>
      <c r="AD195" s="45"/>
      <c r="AE195" s="45"/>
      <c r="AF195" s="45"/>
      <c r="AG195" s="45"/>
      <c r="AH195" s="45"/>
      <c r="AI195" s="45"/>
      <c r="AJ195" s="45"/>
    </row>
    <row r="196" spans="2:38" ht="25.05" customHeight="1">
      <c r="B196" s="44"/>
      <c r="C196" s="44"/>
      <c r="D196" s="44"/>
      <c r="E196" s="45"/>
      <c r="F196" s="45"/>
      <c r="G196" s="45"/>
      <c r="H196" s="45"/>
      <c r="I196" s="49" t="s">
        <v>47</v>
      </c>
      <c r="J196" s="9">
        <v>0</v>
      </c>
      <c r="K196" s="11">
        <v>14</v>
      </c>
      <c r="L196" s="11" t="s">
        <v>48</v>
      </c>
      <c r="M196" s="47"/>
      <c r="N196" s="14">
        <v>2</v>
      </c>
      <c r="O196" s="14"/>
      <c r="P196" s="14"/>
      <c r="Q196" s="50" t="s">
        <v>49</v>
      </c>
      <c r="R196" s="51"/>
      <c r="S196" s="45"/>
      <c r="T196" s="45"/>
      <c r="U196" s="45"/>
      <c r="V196" s="45"/>
      <c r="W196" s="45"/>
      <c r="X196" s="45"/>
      <c r="Y196" s="45"/>
      <c r="Z196" s="45"/>
      <c r="AA196" s="45"/>
      <c r="AC196" s="45"/>
      <c r="AD196" s="45"/>
      <c r="AE196" s="45"/>
      <c r="AF196" s="45"/>
      <c r="AG196" s="45"/>
      <c r="AH196" s="45"/>
    </row>
    <row r="197" spans="2:38" ht="25.05" customHeight="1">
      <c r="B197" s="44"/>
      <c r="C197" s="44"/>
      <c r="D197" s="44"/>
      <c r="E197" s="45"/>
      <c r="F197" s="45"/>
      <c r="G197" s="45"/>
      <c r="H197" s="45"/>
      <c r="I197" s="49" t="s">
        <v>50</v>
      </c>
      <c r="J197" s="9">
        <v>0</v>
      </c>
      <c r="K197" s="11">
        <v>3</v>
      </c>
      <c r="L197" s="11" t="s">
        <v>48</v>
      </c>
      <c r="M197" s="47"/>
      <c r="N197" s="14">
        <v>4</v>
      </c>
      <c r="O197" s="14"/>
      <c r="P197" s="14"/>
      <c r="Q197" s="50" t="s">
        <v>51</v>
      </c>
      <c r="R197" s="51"/>
      <c r="S197" s="45"/>
      <c r="T197" s="45"/>
      <c r="U197" s="45"/>
      <c r="V197" s="45"/>
      <c r="W197" s="45"/>
      <c r="X197" s="45"/>
      <c r="Y197" s="45"/>
      <c r="Z197" s="45"/>
      <c r="AA197" s="45"/>
      <c r="AB197" s="45"/>
      <c r="AC197" s="45"/>
      <c r="AD197" s="45"/>
      <c r="AE197" s="45"/>
      <c r="AF197" s="45"/>
      <c r="AG197" s="45"/>
      <c r="AH197" s="45"/>
    </row>
    <row r="198" spans="2:38" ht="25.05" customHeight="1">
      <c r="B198" s="44"/>
      <c r="C198" s="44"/>
      <c r="D198" s="44"/>
      <c r="E198" s="45"/>
      <c r="F198" s="45"/>
      <c r="G198" s="45"/>
      <c r="H198" s="45"/>
      <c r="I198" s="49" t="s">
        <v>52</v>
      </c>
      <c r="J198" s="9">
        <v>0</v>
      </c>
      <c r="K198" s="11">
        <v>19</v>
      </c>
      <c r="L198" s="11" t="s">
        <v>48</v>
      </c>
      <c r="M198" s="47"/>
      <c r="N198" s="14">
        <v>1</v>
      </c>
      <c r="O198" s="14"/>
      <c r="P198" s="14"/>
      <c r="Q198" s="50" t="s">
        <v>53</v>
      </c>
      <c r="R198" s="51"/>
      <c r="S198" s="45"/>
      <c r="T198" s="45"/>
      <c r="U198" s="45"/>
      <c r="V198" s="45"/>
      <c r="W198" s="45"/>
      <c r="X198" s="45"/>
      <c r="Y198" s="45"/>
      <c r="Z198" s="45"/>
      <c r="AA198" s="45"/>
      <c r="AB198" s="45"/>
      <c r="AC198" s="45"/>
      <c r="AD198" s="45"/>
      <c r="AE198" s="45"/>
      <c r="AF198" s="45"/>
      <c r="AG198" s="45"/>
      <c r="AH198" s="45"/>
    </row>
    <row r="199" spans="2:38" ht="25.05" customHeight="1">
      <c r="B199" s="44"/>
      <c r="C199" s="44"/>
      <c r="D199" s="44"/>
      <c r="E199" s="45"/>
      <c r="F199" s="45"/>
      <c r="G199" s="45"/>
      <c r="H199" s="45"/>
      <c r="I199" s="52" t="s">
        <v>54</v>
      </c>
      <c r="J199" s="53">
        <v>0</v>
      </c>
      <c r="K199" s="11">
        <v>7</v>
      </c>
      <c r="L199" s="54" t="s">
        <v>48</v>
      </c>
      <c r="M199" s="47"/>
      <c r="N199" s="14">
        <v>4</v>
      </c>
      <c r="O199" s="14"/>
      <c r="P199" s="14"/>
      <c r="Q199" s="50" t="s">
        <v>55</v>
      </c>
      <c r="R199" s="51"/>
      <c r="S199" s="45"/>
      <c r="T199" s="45"/>
      <c r="U199" s="45"/>
      <c r="V199" s="45"/>
      <c r="W199" s="45"/>
      <c r="X199" s="45"/>
      <c r="Y199" s="45"/>
      <c r="Z199" s="45"/>
      <c r="AA199" s="45"/>
      <c r="AB199" s="45"/>
      <c r="AC199" s="45"/>
      <c r="AD199" s="45"/>
      <c r="AE199" s="45"/>
      <c r="AF199" s="45"/>
      <c r="AG199" s="45"/>
      <c r="AH199" s="45"/>
    </row>
    <row r="200" spans="2:38" ht="25.05" customHeight="1">
      <c r="B200" s="44"/>
      <c r="C200" s="44"/>
      <c r="D200" s="44"/>
      <c r="E200" s="45"/>
      <c r="F200" s="45"/>
      <c r="G200" s="45"/>
      <c r="H200" s="45"/>
      <c r="I200" s="49" t="s">
        <v>56</v>
      </c>
      <c r="J200" s="9">
        <v>0</v>
      </c>
      <c r="K200" s="11">
        <v>43</v>
      </c>
      <c r="L200" s="11" t="s">
        <v>48</v>
      </c>
      <c r="M200" s="47"/>
      <c r="N200"/>
      <c r="O200"/>
      <c r="P200"/>
      <c r="Q200"/>
      <c r="S200" s="45"/>
      <c r="T200" s="45"/>
      <c r="U200" s="45"/>
      <c r="V200" s="45"/>
      <c r="W200" s="45"/>
      <c r="X200" s="45"/>
      <c r="Y200" s="45"/>
      <c r="Z200" s="45"/>
      <c r="AA200" s="45"/>
      <c r="AB200" s="45"/>
      <c r="AC200" s="45"/>
      <c r="AD200" s="45"/>
      <c r="AE200" s="45"/>
      <c r="AF200" s="45"/>
      <c r="AG200" s="45"/>
      <c r="AH200" s="45"/>
    </row>
    <row r="201" spans="2:38" ht="25.05" customHeight="1">
      <c r="B201" s="44"/>
      <c r="C201" s="44"/>
      <c r="D201" s="44"/>
      <c r="E201" s="45"/>
      <c r="F201" s="45"/>
      <c r="G201" s="45"/>
      <c r="H201" s="45"/>
      <c r="M201" s="47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  <c r="AA201" s="45"/>
      <c r="AB201" s="45"/>
      <c r="AC201" s="45"/>
      <c r="AD201" s="45"/>
      <c r="AE201" s="45"/>
      <c r="AF201" s="45"/>
      <c r="AG201" s="45"/>
      <c r="AH201" s="45"/>
    </row>
    <row r="202" spans="2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033D2-85EE-4A45-BB4B-42642075D3B8}">
  <sheetPr>
    <pageSetUpPr fitToPage="1"/>
  </sheetPr>
  <dimension ref="A1:AL118"/>
  <sheetViews>
    <sheetView zoomScale="70" zoomScaleNormal="70" workbookViewId="0">
      <pane xSplit="12" ySplit="3" topLeftCell="M100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/>
      <c r="C4" s="60" t="s">
        <v>40</v>
      </c>
      <c r="D4" s="6"/>
      <c r="E4" s="157" t="s">
        <v>41</v>
      </c>
      <c r="F4" s="8" t="s">
        <v>42</v>
      </c>
      <c r="G4" s="9">
        <v>0.79166666666666663</v>
      </c>
      <c r="H4" s="9">
        <v>0.79513888888888884</v>
      </c>
      <c r="I4" s="10">
        <f t="shared" ref="I4:I18" si="0">H4-G4</f>
        <v>3.4722222222222099E-3</v>
      </c>
      <c r="J4" s="11">
        <v>8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5" t="s">
        <v>1167</v>
      </c>
      <c r="E5" s="156" t="s">
        <v>1370</v>
      </c>
      <c r="F5" s="55" t="s">
        <v>851</v>
      </c>
      <c r="G5" s="9">
        <v>0.86111111111111116</v>
      </c>
      <c r="H5" s="9">
        <v>0.88194444444444442</v>
      </c>
      <c r="I5" s="10">
        <f t="shared" si="0"/>
        <v>2.0833333333333259E-2</v>
      </c>
      <c r="J5" s="11">
        <v>1</v>
      </c>
      <c r="K5" s="11">
        <v>21.1</v>
      </c>
      <c r="L5" s="16">
        <f t="shared" ref="L5:L18" si="1">IFERROR(((K5/(J5*I5)/24)),"0")</f>
        <v>42.200000000000152</v>
      </c>
      <c r="M5" s="11">
        <v>30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31"/>
      <c r="E6" s="156" t="s">
        <v>1371</v>
      </c>
      <c r="F6" s="55" t="s">
        <v>232</v>
      </c>
      <c r="G6" s="9">
        <v>0.88888888888888884</v>
      </c>
      <c r="H6" s="9">
        <v>0.90972222222222221</v>
      </c>
      <c r="I6" s="10">
        <f t="shared" si="0"/>
        <v>2.083333333333337E-2</v>
      </c>
      <c r="J6" s="11">
        <v>2</v>
      </c>
      <c r="K6" s="11">
        <v>118.8</v>
      </c>
      <c r="L6" s="16">
        <f t="shared" si="1"/>
        <v>118.79999999999978</v>
      </c>
      <c r="M6" s="11">
        <v>30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31"/>
      <c r="E7" s="156" t="s">
        <v>1372</v>
      </c>
      <c r="F7" s="57">
        <v>0.9</v>
      </c>
      <c r="G7" s="9">
        <v>0.91319444444444442</v>
      </c>
      <c r="H7" s="9">
        <v>0.98541666666666672</v>
      </c>
      <c r="I7" s="10">
        <f t="shared" si="0"/>
        <v>7.2222222222222299E-2</v>
      </c>
      <c r="J7" s="11">
        <v>2</v>
      </c>
      <c r="K7" s="11">
        <v>118.8</v>
      </c>
      <c r="L7" s="16">
        <f t="shared" si="1"/>
        <v>34.269230769230731</v>
      </c>
      <c r="M7" s="11">
        <v>104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1"/>
      <c r="E8" s="156" t="s">
        <v>1373</v>
      </c>
      <c r="F8" s="55" t="s">
        <v>1283</v>
      </c>
      <c r="G8" s="9">
        <v>0.82638888888888884</v>
      </c>
      <c r="H8" s="9">
        <v>0.98333333333333328</v>
      </c>
      <c r="I8" s="10">
        <f t="shared" si="0"/>
        <v>0.15694444444444444</v>
      </c>
      <c r="J8" s="11">
        <v>6</v>
      </c>
      <c r="K8" s="11">
        <v>108.9</v>
      </c>
      <c r="L8" s="16">
        <f t="shared" si="1"/>
        <v>4.8185840707964607</v>
      </c>
      <c r="M8" s="11"/>
      <c r="N8" s="11"/>
      <c r="O8" s="11"/>
      <c r="P8" s="11"/>
      <c r="Q8" s="11"/>
      <c r="R8" s="12"/>
      <c r="S8" s="12">
        <v>226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31"/>
      <c r="E9" s="156" t="s">
        <v>1374</v>
      </c>
      <c r="F9" s="88" t="s">
        <v>42</v>
      </c>
      <c r="G9" s="9">
        <v>0.98541666666666672</v>
      </c>
      <c r="H9" s="9">
        <v>0.99861111111111112</v>
      </c>
      <c r="I9" s="10">
        <f t="shared" si="0"/>
        <v>1.3194444444444398E-2</v>
      </c>
      <c r="J9" s="11">
        <v>3</v>
      </c>
      <c r="K9" s="11">
        <v>128.25</v>
      </c>
      <c r="L9" s="16">
        <f t="shared" si="1"/>
        <v>135.00000000000048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31"/>
      <c r="E10" s="158" t="s">
        <v>1375</v>
      </c>
      <c r="F10" s="88" t="s">
        <v>42</v>
      </c>
      <c r="G10" s="9">
        <v>4.5138888888888888E-2</v>
      </c>
      <c r="H10" s="9">
        <v>9.7222222222222224E-2</v>
      </c>
      <c r="I10" s="10">
        <f t="shared" si="0"/>
        <v>5.2083333333333336E-2</v>
      </c>
      <c r="J10" s="11">
        <v>8</v>
      </c>
      <c r="K10" s="11">
        <v>135</v>
      </c>
      <c r="L10" s="16">
        <f t="shared" si="1"/>
        <v>13.5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5" t="s">
        <v>1376</v>
      </c>
      <c r="E11" s="156" t="s">
        <v>1377</v>
      </c>
      <c r="F11" s="55" t="s">
        <v>59</v>
      </c>
      <c r="G11" s="9">
        <v>0.88888888888888884</v>
      </c>
      <c r="H11" s="9">
        <v>0.89583333333333337</v>
      </c>
      <c r="I11" s="10">
        <f t="shared" si="0"/>
        <v>6.9444444444445308E-3</v>
      </c>
      <c r="J11" s="11">
        <v>1</v>
      </c>
      <c r="K11" s="11">
        <v>2.48</v>
      </c>
      <c r="L11" s="16">
        <f t="shared" si="1"/>
        <v>14.879999999999816</v>
      </c>
      <c r="M11" s="11">
        <v>10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30" t="s">
        <v>579</v>
      </c>
      <c r="E12" s="159" t="s">
        <v>1378</v>
      </c>
      <c r="F12" s="55" t="s">
        <v>581</v>
      </c>
      <c r="G12" s="9">
        <v>0.80694444444444446</v>
      </c>
      <c r="H12" s="9">
        <v>0.81944444444444442</v>
      </c>
      <c r="I12" s="10">
        <f t="shared" si="0"/>
        <v>1.2499999999999956E-2</v>
      </c>
      <c r="J12" s="11">
        <v>2</v>
      </c>
      <c r="K12" s="11">
        <v>30.9</v>
      </c>
      <c r="L12" s="16">
        <f t="shared" si="1"/>
        <v>51.500000000000178</v>
      </c>
      <c r="M12" s="11"/>
      <c r="N12" s="11"/>
      <c r="O12" s="11"/>
      <c r="P12" s="11"/>
      <c r="Q12" s="11"/>
      <c r="R12" s="12"/>
      <c r="S12" s="12">
        <v>18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7" t="s">
        <v>1379</v>
      </c>
      <c r="F13" s="55" t="s">
        <v>232</v>
      </c>
      <c r="G13" s="9">
        <v>0.81944444444444442</v>
      </c>
      <c r="H13" s="9">
        <v>0.82986111111111116</v>
      </c>
      <c r="I13" s="10">
        <f t="shared" si="0"/>
        <v>1.0416666666666741E-2</v>
      </c>
      <c r="J13" s="11">
        <v>1</v>
      </c>
      <c r="K13" s="11">
        <v>14.4</v>
      </c>
      <c r="L13" s="16">
        <f t="shared" si="1"/>
        <v>57.599999999999596</v>
      </c>
      <c r="M13" s="11">
        <v>15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7" t="s">
        <v>1380</v>
      </c>
      <c r="F14" s="55" t="s">
        <v>232</v>
      </c>
      <c r="G14" s="9">
        <v>0.83680555555555558</v>
      </c>
      <c r="H14" s="9">
        <v>0.85763888888888884</v>
      </c>
      <c r="I14" s="10">
        <f t="shared" si="0"/>
        <v>2.0833333333333259E-2</v>
      </c>
      <c r="J14" s="11">
        <v>1</v>
      </c>
      <c r="K14" s="11">
        <v>14.4</v>
      </c>
      <c r="L14" s="16">
        <f t="shared" si="1"/>
        <v>28.8000000000001</v>
      </c>
      <c r="M14" s="11">
        <v>30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7" t="s">
        <v>1381</v>
      </c>
      <c r="F15" s="55" t="s">
        <v>59</v>
      </c>
      <c r="G15" s="9">
        <v>0.80833333333333335</v>
      </c>
      <c r="H15" s="9">
        <v>0.81597222222222221</v>
      </c>
      <c r="I15" s="10">
        <f t="shared" si="0"/>
        <v>7.6388888888888618E-3</v>
      </c>
      <c r="J15" s="11">
        <v>1</v>
      </c>
      <c r="K15" s="11">
        <v>25.1</v>
      </c>
      <c r="L15" s="16">
        <f t="shared" si="1"/>
        <v>136.90909090909142</v>
      </c>
      <c r="M15" s="11">
        <v>11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5" customHeight="1">
      <c r="B16" s="13"/>
      <c r="C16" s="14"/>
      <c r="D16" s="6"/>
      <c r="E16" s="71" t="s">
        <v>1382</v>
      </c>
      <c r="F16" s="55" t="s">
        <v>677</v>
      </c>
      <c r="G16" s="9">
        <v>0.10416666666666667</v>
      </c>
      <c r="H16" s="9">
        <v>0.2326388888888889</v>
      </c>
      <c r="I16" s="10">
        <f t="shared" si="0"/>
        <v>0.12847222222222221</v>
      </c>
      <c r="J16" s="11">
        <v>6</v>
      </c>
      <c r="K16" s="11">
        <v>125.8</v>
      </c>
      <c r="L16" s="16">
        <f t="shared" si="1"/>
        <v>6.8000000000000007</v>
      </c>
      <c r="M16" s="11"/>
      <c r="N16" s="11"/>
      <c r="O16" s="11">
        <v>185</v>
      </c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/>
      <c r="F17" s="55"/>
      <c r="G17" s="9"/>
      <c r="H17" s="9"/>
      <c r="I17" s="10">
        <f t="shared" si="0"/>
        <v>0</v>
      </c>
      <c r="J17" s="11"/>
      <c r="K17" s="11"/>
      <c r="L17" s="16" t="str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/>
      <c r="E18" s="15"/>
      <c r="F18" s="55"/>
      <c r="G18" s="9"/>
      <c r="H18" s="9"/>
      <c r="I18" s="10">
        <f t="shared" si="0"/>
        <v>0</v>
      </c>
      <c r="J18" s="11"/>
      <c r="K18" s="11"/>
      <c r="L18" s="16" t="str">
        <f t="shared" si="1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s="28" customFormat="1" ht="25.05" customHeight="1">
      <c r="A19" s="2"/>
      <c r="B19" s="21"/>
      <c r="C19" s="22"/>
      <c r="D19" s="23"/>
      <c r="E19" s="24"/>
      <c r="F19" s="24"/>
      <c r="G19" s="25"/>
      <c r="H19" s="25"/>
      <c r="I19" s="26"/>
      <c r="J19" s="27"/>
      <c r="K19" s="27">
        <f t="shared" ref="K19:AL19" si="2">SUM(K4:K16)</f>
        <v>843.93</v>
      </c>
      <c r="L19" s="39">
        <f t="shared" si="2"/>
        <v>645.07690574911862</v>
      </c>
      <c r="M19" s="27">
        <f t="shared" si="2"/>
        <v>230</v>
      </c>
      <c r="N19" s="27">
        <f t="shared" si="2"/>
        <v>0</v>
      </c>
      <c r="O19" s="27">
        <f t="shared" si="2"/>
        <v>185</v>
      </c>
      <c r="P19" s="27">
        <f t="shared" si="2"/>
        <v>0</v>
      </c>
      <c r="Q19" s="27">
        <f t="shared" si="2"/>
        <v>0</v>
      </c>
      <c r="R19" s="27">
        <f t="shared" si="2"/>
        <v>0</v>
      </c>
      <c r="S19" s="27">
        <f t="shared" si="2"/>
        <v>244</v>
      </c>
      <c r="T19" s="27">
        <f t="shared" si="2"/>
        <v>0</v>
      </c>
      <c r="U19" s="27">
        <f t="shared" si="2"/>
        <v>0</v>
      </c>
      <c r="V19" s="27">
        <f t="shared" si="2"/>
        <v>0</v>
      </c>
      <c r="W19" s="27">
        <f t="shared" si="2"/>
        <v>0</v>
      </c>
      <c r="X19" s="27">
        <f t="shared" si="2"/>
        <v>0</v>
      </c>
      <c r="Y19" s="27">
        <f t="shared" si="2"/>
        <v>0</v>
      </c>
      <c r="Z19" s="27">
        <f t="shared" si="2"/>
        <v>0</v>
      </c>
      <c r="AA19" s="27">
        <f t="shared" si="2"/>
        <v>0</v>
      </c>
      <c r="AB19" s="27">
        <f t="shared" si="2"/>
        <v>0</v>
      </c>
      <c r="AC19" s="27">
        <f t="shared" si="2"/>
        <v>0</v>
      </c>
      <c r="AD19" s="27">
        <f t="shared" si="2"/>
        <v>0</v>
      </c>
      <c r="AE19" s="27">
        <f t="shared" si="2"/>
        <v>0</v>
      </c>
      <c r="AF19" s="27">
        <f t="shared" si="2"/>
        <v>0</v>
      </c>
      <c r="AG19" s="27">
        <f t="shared" si="2"/>
        <v>0</v>
      </c>
      <c r="AH19" s="27">
        <f t="shared" si="2"/>
        <v>0</v>
      </c>
      <c r="AI19" s="27">
        <f t="shared" si="2"/>
        <v>0</v>
      </c>
      <c r="AJ19" s="27">
        <f t="shared" si="2"/>
        <v>0</v>
      </c>
      <c r="AK19" s="27">
        <f t="shared" si="2"/>
        <v>0</v>
      </c>
      <c r="AL19" s="27">
        <f t="shared" si="2"/>
        <v>0</v>
      </c>
    </row>
    <row r="20" spans="1:38" ht="25.05" customHeight="1">
      <c r="B20" s="13"/>
      <c r="C20" s="14" t="s">
        <v>43</v>
      </c>
      <c r="D20" s="6"/>
      <c r="E20" s="7" t="s">
        <v>41</v>
      </c>
      <c r="F20" s="8" t="s">
        <v>42</v>
      </c>
      <c r="G20" s="9"/>
      <c r="H20" s="9"/>
      <c r="I20" s="10">
        <f>H20-G20</f>
        <v>0</v>
      </c>
      <c r="J20" s="11"/>
      <c r="K20" s="11"/>
      <c r="L20" s="16" t="str">
        <f>IFERROR(((K20/(J20*I20)/24)),"0")</f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18"/>
      <c r="E21" s="6"/>
      <c r="F21" s="14"/>
      <c r="G21" s="9"/>
      <c r="H21" s="9"/>
      <c r="I21" s="10"/>
      <c r="J21" s="11"/>
      <c r="K21" s="11"/>
      <c r="L21" s="16"/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s="28" customFormat="1" ht="25.05" customHeight="1">
      <c r="A22" s="2"/>
      <c r="B22" s="21"/>
      <c r="C22" s="22"/>
      <c r="D22" s="23"/>
      <c r="E22" s="24"/>
      <c r="F22" s="22"/>
      <c r="G22" s="25"/>
      <c r="H22" s="25"/>
      <c r="I22" s="26"/>
      <c r="J22" s="27"/>
      <c r="K22" s="27">
        <f t="shared" ref="K22:AI22" si="3">SUM(K20:K21)</f>
        <v>0</v>
      </c>
      <c r="L22" s="27">
        <f t="shared" si="3"/>
        <v>0</v>
      </c>
      <c r="M22" s="27">
        <f t="shared" si="3"/>
        <v>0</v>
      </c>
      <c r="N22" s="27">
        <f t="shared" si="3"/>
        <v>0</v>
      </c>
      <c r="O22" s="27">
        <f t="shared" si="3"/>
        <v>0</v>
      </c>
      <c r="P22" s="27">
        <f t="shared" si="3"/>
        <v>0</v>
      </c>
      <c r="Q22" s="27">
        <f t="shared" si="3"/>
        <v>0</v>
      </c>
      <c r="R22" s="27">
        <f t="shared" si="3"/>
        <v>0</v>
      </c>
      <c r="S22" s="27">
        <f t="shared" si="3"/>
        <v>0</v>
      </c>
      <c r="T22" s="27">
        <f t="shared" si="3"/>
        <v>0</v>
      </c>
      <c r="U22" s="27">
        <f t="shared" si="3"/>
        <v>0</v>
      </c>
      <c r="V22" s="27">
        <f t="shared" si="3"/>
        <v>0</v>
      </c>
      <c r="W22" s="27">
        <f t="shared" si="3"/>
        <v>0</v>
      </c>
      <c r="X22" s="27">
        <f t="shared" si="3"/>
        <v>0</v>
      </c>
      <c r="Y22" s="27">
        <f t="shared" si="3"/>
        <v>0</v>
      </c>
      <c r="Z22" s="27">
        <f t="shared" si="3"/>
        <v>0</v>
      </c>
      <c r="AA22" s="27">
        <f t="shared" si="3"/>
        <v>0</v>
      </c>
      <c r="AB22" s="27">
        <f t="shared" si="3"/>
        <v>0</v>
      </c>
      <c r="AC22" s="27">
        <f t="shared" si="3"/>
        <v>0</v>
      </c>
      <c r="AD22" s="27">
        <f t="shared" si="3"/>
        <v>0</v>
      </c>
      <c r="AE22" s="27">
        <f t="shared" si="3"/>
        <v>0</v>
      </c>
      <c r="AF22" s="27">
        <f t="shared" si="3"/>
        <v>0</v>
      </c>
      <c r="AG22" s="27">
        <f t="shared" si="3"/>
        <v>0</v>
      </c>
      <c r="AH22" s="27">
        <f t="shared" si="3"/>
        <v>0</v>
      </c>
      <c r="AI22" s="27">
        <f t="shared" si="3"/>
        <v>0</v>
      </c>
      <c r="AJ22" s="27">
        <f>SUM(AJ20:AJ21)</f>
        <v>0</v>
      </c>
      <c r="AK22" s="27">
        <f>SUM(AK20:AK21)</f>
        <v>0</v>
      </c>
      <c r="AL22" s="27">
        <f>SUM(AL20:AL21)</f>
        <v>0</v>
      </c>
    </row>
    <row r="23" spans="1:38" ht="25.05" customHeight="1">
      <c r="B23" s="5"/>
      <c r="C23" s="29" t="s">
        <v>44</v>
      </c>
      <c r="D23" s="30"/>
      <c r="E23" s="7" t="s">
        <v>41</v>
      </c>
      <c r="F23" s="8" t="s">
        <v>42</v>
      </c>
      <c r="G23" s="9">
        <v>0.79166666666666663</v>
      </c>
      <c r="H23" s="9">
        <v>0.8125</v>
      </c>
      <c r="I23" s="10">
        <f t="shared" ref="I23:I49" si="4">H23-G23</f>
        <v>2.083333333333337E-2</v>
      </c>
      <c r="J23" s="11">
        <v>4</v>
      </c>
      <c r="K23" s="11"/>
      <c r="L23" s="16">
        <f t="shared" ref="L23:L49" si="5">IFERROR(((K23/(J23*I23)/24)),"0")</f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4"/>
    </row>
    <row r="24" spans="1:38" ht="25.05" customHeight="1">
      <c r="B24" s="13"/>
      <c r="C24" s="29"/>
      <c r="D24" s="30" t="s">
        <v>1167</v>
      </c>
      <c r="E24" s="19" t="s">
        <v>1168</v>
      </c>
      <c r="F24" s="8" t="s">
        <v>42</v>
      </c>
      <c r="G24" s="9">
        <v>0.84027777777777779</v>
      </c>
      <c r="H24" s="9">
        <v>0.88749999999999996</v>
      </c>
      <c r="I24" s="10">
        <f t="shared" si="4"/>
        <v>4.7222222222222165E-2</v>
      </c>
      <c r="J24" s="11">
        <v>4</v>
      </c>
      <c r="K24" s="11">
        <v>108.42</v>
      </c>
      <c r="L24" s="16">
        <f t="shared" si="5"/>
        <v>23.916176470588265</v>
      </c>
      <c r="M24" s="11"/>
      <c r="N24" s="11"/>
      <c r="O24" s="11"/>
      <c r="P24" s="11"/>
      <c r="Q24" s="11"/>
      <c r="R24" s="12"/>
      <c r="S24" s="12"/>
      <c r="T24" s="11"/>
      <c r="U24" s="11"/>
      <c r="V24" s="12">
        <v>2</v>
      </c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>
        <f>68/4</f>
        <v>17</v>
      </c>
      <c r="AH24" s="11">
        <f t="shared" ref="AH24:AJ24" si="6">68/4</f>
        <v>17</v>
      </c>
      <c r="AI24" s="11">
        <f t="shared" si="6"/>
        <v>17</v>
      </c>
      <c r="AJ24" s="11">
        <f t="shared" si="6"/>
        <v>17</v>
      </c>
      <c r="AK24" s="11"/>
      <c r="AL24" s="14"/>
    </row>
    <row r="25" spans="1:38" ht="25.05" customHeight="1">
      <c r="B25" s="13"/>
      <c r="C25" s="29"/>
      <c r="D25" s="30"/>
      <c r="E25" s="19" t="s">
        <v>1332</v>
      </c>
      <c r="F25" s="8" t="s">
        <v>42</v>
      </c>
      <c r="G25" s="9">
        <v>0.8881944444444444</v>
      </c>
      <c r="H25" s="9">
        <v>0.94374999999999998</v>
      </c>
      <c r="I25" s="10">
        <f t="shared" si="4"/>
        <v>5.555555555555558E-2</v>
      </c>
      <c r="J25" s="11">
        <v>4</v>
      </c>
      <c r="K25" s="11">
        <v>107.18</v>
      </c>
      <c r="L25" s="16">
        <f t="shared" si="5"/>
        <v>20.096249999999994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>
        <v>2</v>
      </c>
      <c r="X25" s="11"/>
      <c r="Y25" s="11"/>
      <c r="Z25" s="11"/>
      <c r="AA25" s="11"/>
      <c r="AB25" s="11"/>
      <c r="AC25" s="11"/>
      <c r="AD25" s="11"/>
      <c r="AE25" s="11"/>
      <c r="AF25" s="11"/>
      <c r="AG25" s="11">
        <f>80/4</f>
        <v>20</v>
      </c>
      <c r="AH25" s="11">
        <f t="shared" ref="AH25:AJ25" si="7">80/4</f>
        <v>20</v>
      </c>
      <c r="AI25" s="11">
        <f t="shared" si="7"/>
        <v>20</v>
      </c>
      <c r="AJ25" s="11">
        <f t="shared" si="7"/>
        <v>20</v>
      </c>
      <c r="AK25" s="11"/>
      <c r="AL25" s="14"/>
    </row>
    <row r="26" spans="1:38" ht="25.05" customHeight="1">
      <c r="B26" s="13"/>
      <c r="C26" s="29"/>
      <c r="D26" s="30"/>
      <c r="E26" s="19" t="s">
        <v>1333</v>
      </c>
      <c r="F26" s="8" t="s">
        <v>42</v>
      </c>
      <c r="G26" s="9">
        <v>0.94444444444444442</v>
      </c>
      <c r="H26" s="9">
        <v>0.99444444444444446</v>
      </c>
      <c r="I26" s="10">
        <f t="shared" si="4"/>
        <v>5.0000000000000044E-2</v>
      </c>
      <c r="J26" s="11">
        <v>4</v>
      </c>
      <c r="K26" s="11">
        <v>107.84</v>
      </c>
      <c r="L26" s="16">
        <f t="shared" si="5"/>
        <v>22.466666666666651</v>
      </c>
      <c r="M26" s="11"/>
      <c r="N26" s="11"/>
      <c r="O26" s="11"/>
      <c r="P26" s="11"/>
      <c r="Q26" s="11"/>
      <c r="R26" s="12"/>
      <c r="S26" s="12"/>
      <c r="T26" s="11"/>
      <c r="U26" s="11"/>
      <c r="V26" s="12">
        <v>2</v>
      </c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>
        <f>72/4</f>
        <v>18</v>
      </c>
      <c r="AH26" s="11">
        <f t="shared" ref="AH26:AJ26" si="8">72/4</f>
        <v>18</v>
      </c>
      <c r="AI26" s="11">
        <f t="shared" si="8"/>
        <v>18</v>
      </c>
      <c r="AJ26" s="11">
        <f t="shared" si="8"/>
        <v>18</v>
      </c>
      <c r="AK26" s="11"/>
      <c r="AL26" s="14"/>
    </row>
    <row r="27" spans="1:38" ht="25.05" customHeight="1">
      <c r="B27" s="13"/>
      <c r="C27" s="29"/>
      <c r="D27" s="30"/>
      <c r="E27" s="19" t="s">
        <v>1334</v>
      </c>
      <c r="F27" s="8" t="s">
        <v>42</v>
      </c>
      <c r="G27" s="9">
        <v>0.99444444444444446</v>
      </c>
      <c r="H27" s="9">
        <v>1.0347222222222223</v>
      </c>
      <c r="I27" s="10">
        <f t="shared" si="4"/>
        <v>4.0277777777777857E-2</v>
      </c>
      <c r="J27" s="11">
        <v>4</v>
      </c>
      <c r="K27" s="11">
        <v>101.3</v>
      </c>
      <c r="L27" s="16">
        <f t="shared" si="5"/>
        <v>26.198275862068911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>
        <v>2</v>
      </c>
      <c r="X27" s="11"/>
      <c r="Y27" s="11"/>
      <c r="Z27" s="11"/>
      <c r="AA27" s="11"/>
      <c r="AB27" s="11"/>
      <c r="AC27" s="11"/>
      <c r="AD27" s="11"/>
      <c r="AE27" s="11"/>
      <c r="AF27" s="11"/>
      <c r="AG27" s="11">
        <f>58/4</f>
        <v>14.5</v>
      </c>
      <c r="AH27" s="11">
        <f t="shared" ref="AH27:AJ27" si="9">58/4</f>
        <v>14.5</v>
      </c>
      <c r="AI27" s="11">
        <f t="shared" si="9"/>
        <v>14.5</v>
      </c>
      <c r="AJ27" s="11">
        <f t="shared" si="9"/>
        <v>14.5</v>
      </c>
      <c r="AK27" s="11"/>
      <c r="AL27" s="14"/>
    </row>
    <row r="28" spans="1:38" ht="25.05" customHeight="1">
      <c r="B28" s="13"/>
      <c r="C28" s="29"/>
      <c r="D28" s="30"/>
      <c r="E28" s="19" t="s">
        <v>1302</v>
      </c>
      <c r="F28" s="8" t="s">
        <v>42</v>
      </c>
      <c r="G28" s="9">
        <v>0.10486111111111111</v>
      </c>
      <c r="H28" s="9">
        <v>0.15</v>
      </c>
      <c r="I28" s="10">
        <f t="shared" si="4"/>
        <v>4.5138888888888881E-2</v>
      </c>
      <c r="J28" s="11">
        <v>4</v>
      </c>
      <c r="K28" s="11">
        <v>110.66</v>
      </c>
      <c r="L28" s="16">
        <f t="shared" si="5"/>
        <v>25.536923076923078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>
        <f>65/4</f>
        <v>16.25</v>
      </c>
      <c r="AH28" s="11">
        <f t="shared" ref="AH28:AJ28" si="10">65/4</f>
        <v>16.25</v>
      </c>
      <c r="AI28" s="11">
        <f t="shared" si="10"/>
        <v>16.25</v>
      </c>
      <c r="AJ28" s="11">
        <f t="shared" si="10"/>
        <v>16.25</v>
      </c>
      <c r="AK28" s="11"/>
      <c r="AL28" s="14"/>
    </row>
    <row r="29" spans="1:38" ht="25.05" customHeight="1">
      <c r="B29" s="13"/>
      <c r="C29" s="29"/>
      <c r="D29" s="30"/>
      <c r="E29" s="19" t="s">
        <v>1303</v>
      </c>
      <c r="F29" s="8" t="s">
        <v>42</v>
      </c>
      <c r="G29" s="9">
        <v>0.15069444444444444</v>
      </c>
      <c r="H29" s="9">
        <v>0.19305555555555556</v>
      </c>
      <c r="I29" s="10">
        <f t="shared" si="4"/>
        <v>4.2361111111111127E-2</v>
      </c>
      <c r="J29" s="11">
        <v>4</v>
      </c>
      <c r="K29" s="11">
        <v>114.44</v>
      </c>
      <c r="L29" s="16">
        <f t="shared" si="5"/>
        <v>28.140983606557366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>
        <v>2</v>
      </c>
      <c r="X29" s="11"/>
      <c r="Y29" s="11"/>
      <c r="Z29" s="11"/>
      <c r="AA29" s="11"/>
      <c r="AB29" s="11"/>
      <c r="AC29" s="11"/>
      <c r="AD29" s="11"/>
      <c r="AE29" s="11"/>
      <c r="AF29" s="11"/>
      <c r="AG29" s="11">
        <f>61/4</f>
        <v>15.25</v>
      </c>
      <c r="AH29" s="11">
        <f t="shared" ref="AH29:AJ29" si="11">61/4</f>
        <v>15.25</v>
      </c>
      <c r="AI29" s="11">
        <f t="shared" si="11"/>
        <v>15.25</v>
      </c>
      <c r="AJ29" s="11">
        <f t="shared" si="11"/>
        <v>15.25</v>
      </c>
      <c r="AK29" s="11"/>
      <c r="AL29" s="14"/>
    </row>
    <row r="30" spans="1:38" ht="25.05" customHeight="1">
      <c r="B30" s="13"/>
      <c r="C30" s="29"/>
      <c r="D30" s="30"/>
      <c r="E30" s="19" t="s">
        <v>1304</v>
      </c>
      <c r="F30" s="8" t="s">
        <v>42</v>
      </c>
      <c r="G30" s="9">
        <v>0.19375000000000001</v>
      </c>
      <c r="H30" s="9">
        <v>0.23333333333333334</v>
      </c>
      <c r="I30" s="10">
        <f t="shared" si="4"/>
        <v>3.9583333333333331E-2</v>
      </c>
      <c r="J30" s="11">
        <v>4</v>
      </c>
      <c r="K30" s="11">
        <v>106.45</v>
      </c>
      <c r="L30" s="16">
        <f t="shared" si="5"/>
        <v>28.013157894736846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>
        <f>57/4</f>
        <v>14.25</v>
      </c>
      <c r="AH30" s="11">
        <f t="shared" ref="AH30:AJ30" si="12">57/4</f>
        <v>14.25</v>
      </c>
      <c r="AI30" s="11">
        <f t="shared" si="12"/>
        <v>14.25</v>
      </c>
      <c r="AJ30" s="11">
        <f t="shared" si="12"/>
        <v>14.25</v>
      </c>
      <c r="AK30" s="11"/>
      <c r="AL30" s="14"/>
    </row>
    <row r="31" spans="1:38" ht="25.05" customHeight="1">
      <c r="B31" s="13"/>
      <c r="C31" s="29"/>
      <c r="D31" s="30"/>
      <c r="E31" s="19" t="s">
        <v>1383</v>
      </c>
      <c r="F31" s="8" t="s">
        <v>42</v>
      </c>
      <c r="G31" s="9">
        <v>0.23402777777777778</v>
      </c>
      <c r="H31" s="9">
        <v>0.25486111111111109</v>
      </c>
      <c r="I31" s="10">
        <f t="shared" si="4"/>
        <v>2.0833333333333315E-2</v>
      </c>
      <c r="J31" s="11">
        <v>4</v>
      </c>
      <c r="K31" s="11">
        <v>61.6</v>
      </c>
      <c r="L31" s="16">
        <f t="shared" si="5"/>
        <v>30.800000000000029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2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>
        <f>30/4</f>
        <v>7.5</v>
      </c>
      <c r="AH31" s="11">
        <f t="shared" ref="AH31:AJ31" si="13">30/4</f>
        <v>7.5</v>
      </c>
      <c r="AI31" s="11">
        <f t="shared" si="13"/>
        <v>7.5</v>
      </c>
      <c r="AJ31" s="11">
        <f t="shared" si="13"/>
        <v>7.5</v>
      </c>
      <c r="AK31" s="11"/>
      <c r="AL31" s="14"/>
    </row>
    <row r="32" spans="1:38" ht="25.05" customHeight="1">
      <c r="B32" s="13"/>
      <c r="C32" s="29"/>
      <c r="D32" s="30"/>
      <c r="E32" s="19" t="s">
        <v>1384</v>
      </c>
      <c r="F32" s="8" t="s">
        <v>42</v>
      </c>
      <c r="G32" s="9">
        <v>0.10416666666666667</v>
      </c>
      <c r="H32" s="9">
        <v>0.15</v>
      </c>
      <c r="I32" s="10">
        <f t="shared" si="4"/>
        <v>4.5833333333333323E-2</v>
      </c>
      <c r="J32" s="11">
        <v>3</v>
      </c>
      <c r="K32" s="11">
        <v>72.099999999999994</v>
      </c>
      <c r="L32" s="16">
        <f t="shared" si="5"/>
        <v>21.848484848484855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2</v>
      </c>
      <c r="W32" s="12"/>
      <c r="X32" s="11"/>
      <c r="Y32" s="11"/>
      <c r="Z32" s="11"/>
      <c r="AA32" s="11"/>
      <c r="AB32" s="11">
        <v>66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1385</v>
      </c>
      <c r="F33" s="8" t="s">
        <v>42</v>
      </c>
      <c r="G33" s="9">
        <v>0.10555555555555556</v>
      </c>
      <c r="H33" s="9">
        <v>0.15347222222222223</v>
      </c>
      <c r="I33" s="10">
        <f t="shared" si="4"/>
        <v>4.7916666666666677E-2</v>
      </c>
      <c r="J33" s="11">
        <v>3</v>
      </c>
      <c r="K33" s="11">
        <v>70.510000000000005</v>
      </c>
      <c r="L33" s="16">
        <f t="shared" si="5"/>
        <v>20.437681159420283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/>
      <c r="Y33" s="11"/>
      <c r="Z33" s="11"/>
      <c r="AA33" s="11"/>
      <c r="AB33" s="11"/>
      <c r="AC33" s="11"/>
      <c r="AD33" s="11">
        <v>69</v>
      </c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1386</v>
      </c>
      <c r="F34" s="8" t="s">
        <v>42</v>
      </c>
      <c r="G34" s="9">
        <v>0.10555555555555556</v>
      </c>
      <c r="H34" s="9">
        <v>0.15486111111111112</v>
      </c>
      <c r="I34" s="10">
        <f t="shared" si="4"/>
        <v>4.9305555555555561E-2</v>
      </c>
      <c r="J34" s="11">
        <v>3</v>
      </c>
      <c r="K34" s="11">
        <v>72.14</v>
      </c>
      <c r="L34" s="16">
        <f t="shared" si="5"/>
        <v>20.321126760563377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/>
      <c r="AA34" s="11"/>
      <c r="AB34" s="11">
        <v>71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1387</v>
      </c>
      <c r="F35" s="8" t="s">
        <v>42</v>
      </c>
      <c r="G35" s="9">
        <v>0.15625</v>
      </c>
      <c r="H35" s="9">
        <v>0.18958333333333333</v>
      </c>
      <c r="I35" s="10">
        <f t="shared" si="4"/>
        <v>3.3333333333333326E-2</v>
      </c>
      <c r="J35" s="11">
        <v>3</v>
      </c>
      <c r="K35" s="11">
        <v>54.19</v>
      </c>
      <c r="L35" s="16">
        <f t="shared" si="5"/>
        <v>22.579166666666669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/>
      <c r="AA35" s="11"/>
      <c r="AB35" s="11"/>
      <c r="AC35" s="11"/>
      <c r="AD35" s="11">
        <v>48</v>
      </c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1388</v>
      </c>
      <c r="F36" s="8" t="s">
        <v>42</v>
      </c>
      <c r="G36" s="9">
        <v>0.1388888888888889</v>
      </c>
      <c r="H36" s="9">
        <v>0.1701388888888889</v>
      </c>
      <c r="I36" s="10">
        <f t="shared" si="4"/>
        <v>3.125E-2</v>
      </c>
      <c r="J36" s="11">
        <v>4</v>
      </c>
      <c r="K36" s="11">
        <f>20*4.008</f>
        <v>80.16</v>
      </c>
      <c r="L36" s="16">
        <f t="shared" si="5"/>
        <v>26.72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>
        <v>45</v>
      </c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1389</v>
      </c>
      <c r="F37" s="8" t="s">
        <v>42</v>
      </c>
      <c r="G37" s="9">
        <v>0.14652777777777778</v>
      </c>
      <c r="H37" s="9">
        <v>0.17777777777777778</v>
      </c>
      <c r="I37" s="10">
        <f t="shared" si="4"/>
        <v>3.125E-2</v>
      </c>
      <c r="J37" s="11">
        <v>4</v>
      </c>
      <c r="K37" s="11">
        <f t="shared" ref="K37:K44" si="14">20*4.008</f>
        <v>80.16</v>
      </c>
      <c r="L37" s="16">
        <f t="shared" si="5"/>
        <v>26.72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2</v>
      </c>
      <c r="X37" s="11"/>
      <c r="Y37" s="11"/>
      <c r="Z37" s="11"/>
      <c r="AA37" s="11">
        <v>45</v>
      </c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1390</v>
      </c>
      <c r="F38" s="8" t="s">
        <v>42</v>
      </c>
      <c r="G38" s="9">
        <v>0.15555555555555556</v>
      </c>
      <c r="H38" s="9">
        <v>0.18680555555555556</v>
      </c>
      <c r="I38" s="10">
        <f t="shared" si="4"/>
        <v>3.125E-2</v>
      </c>
      <c r="J38" s="11">
        <v>4</v>
      </c>
      <c r="K38" s="11">
        <f t="shared" si="14"/>
        <v>80.16</v>
      </c>
      <c r="L38" s="16">
        <f t="shared" si="5"/>
        <v>26.72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>
        <v>45</v>
      </c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1391</v>
      </c>
      <c r="F39" s="8" t="s">
        <v>42</v>
      </c>
      <c r="G39" s="9">
        <v>0.16388888888888889</v>
      </c>
      <c r="H39" s="9">
        <v>0.19513888888888889</v>
      </c>
      <c r="I39" s="10">
        <f t="shared" si="4"/>
        <v>3.125E-2</v>
      </c>
      <c r="J39" s="11">
        <v>4</v>
      </c>
      <c r="K39" s="11">
        <f t="shared" si="14"/>
        <v>80.16</v>
      </c>
      <c r="L39" s="16">
        <f t="shared" si="5"/>
        <v>26.72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2</v>
      </c>
      <c r="X39" s="11"/>
      <c r="Y39" s="11"/>
      <c r="Z39" s="11">
        <v>45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1392</v>
      </c>
      <c r="F40" s="8" t="s">
        <v>42</v>
      </c>
      <c r="G40" s="9">
        <v>0.18194444444444444</v>
      </c>
      <c r="H40" s="9">
        <v>0.21319444444444444</v>
      </c>
      <c r="I40" s="10">
        <f t="shared" si="4"/>
        <v>3.125E-2</v>
      </c>
      <c r="J40" s="11">
        <v>4</v>
      </c>
      <c r="K40" s="11">
        <f t="shared" si="14"/>
        <v>80.16</v>
      </c>
      <c r="L40" s="16">
        <f t="shared" si="5"/>
        <v>26.72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>
        <v>45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1393</v>
      </c>
      <c r="F41" s="8" t="s">
        <v>42</v>
      </c>
      <c r="G41" s="9">
        <v>0.18402777777777779</v>
      </c>
      <c r="H41" s="9">
        <v>0.21527777777777779</v>
      </c>
      <c r="I41" s="10">
        <f t="shared" si="4"/>
        <v>3.125E-2</v>
      </c>
      <c r="J41" s="11">
        <v>4</v>
      </c>
      <c r="K41" s="11">
        <f t="shared" si="14"/>
        <v>80.16</v>
      </c>
      <c r="L41" s="16">
        <f t="shared" si="5"/>
        <v>26.72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/>
      <c r="AA41" s="11">
        <v>45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1394</v>
      </c>
      <c r="F42" s="8" t="s">
        <v>42</v>
      </c>
      <c r="G42" s="9">
        <v>0.19305555555555556</v>
      </c>
      <c r="H42" s="9">
        <v>0.22430555555555556</v>
      </c>
      <c r="I42" s="10">
        <f t="shared" si="4"/>
        <v>3.125E-2</v>
      </c>
      <c r="J42" s="11">
        <v>4</v>
      </c>
      <c r="K42" s="11">
        <f t="shared" si="14"/>
        <v>80.16</v>
      </c>
      <c r="L42" s="16">
        <f t="shared" si="5"/>
        <v>26.72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>
        <v>45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1395</v>
      </c>
      <c r="F43" s="8" t="s">
        <v>42</v>
      </c>
      <c r="G43" s="9">
        <v>0.19791666666666666</v>
      </c>
      <c r="H43" s="9">
        <v>0.22916666666666666</v>
      </c>
      <c r="I43" s="10">
        <f t="shared" si="4"/>
        <v>3.125E-2</v>
      </c>
      <c r="J43" s="11">
        <v>4</v>
      </c>
      <c r="K43" s="11">
        <f t="shared" si="14"/>
        <v>80.16</v>
      </c>
      <c r="L43" s="16">
        <f t="shared" si="5"/>
        <v>26.72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>
        <v>45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1396</v>
      </c>
      <c r="F44" s="8" t="s">
        <v>42</v>
      </c>
      <c r="G44" s="9">
        <v>0.22638888888888889</v>
      </c>
      <c r="H44" s="9">
        <v>0.25763888888888886</v>
      </c>
      <c r="I44" s="10">
        <f t="shared" si="4"/>
        <v>3.1249999999999972E-2</v>
      </c>
      <c r="J44" s="11">
        <v>4</v>
      </c>
      <c r="K44" s="11">
        <f t="shared" si="14"/>
        <v>80.16</v>
      </c>
      <c r="L44" s="16">
        <f t="shared" si="5"/>
        <v>26.720000000000024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>
        <v>45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1397</v>
      </c>
      <c r="F45" s="8" t="s">
        <v>42</v>
      </c>
      <c r="G45" s="9">
        <v>0.23125000000000001</v>
      </c>
      <c r="H45" s="9">
        <v>0.26250000000000001</v>
      </c>
      <c r="I45" s="10">
        <f t="shared" si="4"/>
        <v>3.125E-2</v>
      </c>
      <c r="J45" s="11">
        <v>4</v>
      </c>
      <c r="K45" s="12">
        <f>19*4.008</f>
        <v>76.152000000000001</v>
      </c>
      <c r="L45" s="16">
        <f t="shared" si="5"/>
        <v>25.384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>
        <v>45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/>
      <c r="F46" s="8" t="s">
        <v>42</v>
      </c>
      <c r="G46" s="9"/>
      <c r="H46" s="9"/>
      <c r="I46" s="10"/>
      <c r="J46" s="11"/>
      <c r="K46" s="11"/>
      <c r="L46" s="16" t="str">
        <f t="shared" si="5"/>
        <v>0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 t="s">
        <v>1376</v>
      </c>
      <c r="E47" s="19" t="s">
        <v>1145</v>
      </c>
      <c r="F47" s="8" t="s">
        <v>42</v>
      </c>
      <c r="G47" s="9">
        <v>0.9555555555555556</v>
      </c>
      <c r="H47" s="9">
        <v>0.98333333333333328</v>
      </c>
      <c r="I47" s="10">
        <f t="shared" si="4"/>
        <v>2.7777777777777679E-2</v>
      </c>
      <c r="J47" s="11">
        <v>4</v>
      </c>
      <c r="K47" s="11">
        <v>80</v>
      </c>
      <c r="L47" s="16">
        <f t="shared" si="5"/>
        <v>30.000000000000103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>
        <v>40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1146</v>
      </c>
      <c r="F48" s="8" t="s">
        <v>42</v>
      </c>
      <c r="G48" s="9">
        <v>0.96944444444444444</v>
      </c>
      <c r="H48" s="9">
        <v>0.99722222222222223</v>
      </c>
      <c r="I48" s="10">
        <f t="shared" si="4"/>
        <v>2.777777777777779E-2</v>
      </c>
      <c r="J48" s="11">
        <v>4</v>
      </c>
      <c r="K48" s="11">
        <v>80</v>
      </c>
      <c r="L48" s="16">
        <f t="shared" si="5"/>
        <v>29.999999999999986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>
        <v>40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1147</v>
      </c>
      <c r="F49" s="14"/>
      <c r="G49" s="9">
        <v>1.0034722222222223</v>
      </c>
      <c r="H49" s="9">
        <v>1.03125</v>
      </c>
      <c r="I49" s="10">
        <f t="shared" si="4"/>
        <v>2.7777777777777679E-2</v>
      </c>
      <c r="J49" s="11">
        <v>4</v>
      </c>
      <c r="K49" s="11">
        <v>32</v>
      </c>
      <c r="L49" s="16">
        <f t="shared" si="5"/>
        <v>12.000000000000043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>
        <v>40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1148</v>
      </c>
      <c r="F50" s="8" t="s">
        <v>42</v>
      </c>
      <c r="G50" s="9">
        <v>1.0034722222222223</v>
      </c>
      <c r="H50" s="9">
        <v>1.03125</v>
      </c>
      <c r="I50" s="10">
        <f t="shared" ref="I50:I58" si="15">H50-G50</f>
        <v>2.7777777777777679E-2</v>
      </c>
      <c r="J50" s="11">
        <v>4</v>
      </c>
      <c r="K50" s="11">
        <v>48</v>
      </c>
      <c r="L50" s="16">
        <f t="shared" ref="L50:L58" si="16">IFERROR(((K50/(J50*I50)/24)),"0")</f>
        <v>18.000000000000064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>
        <v>40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1149</v>
      </c>
      <c r="F51" s="8" t="s">
        <v>42</v>
      </c>
      <c r="G51" s="9">
        <v>1.0069444444444444</v>
      </c>
      <c r="H51" s="9">
        <v>1.0347222222222223</v>
      </c>
      <c r="I51" s="10">
        <f t="shared" si="15"/>
        <v>2.7777777777777901E-2</v>
      </c>
      <c r="J51" s="11">
        <v>4</v>
      </c>
      <c r="K51" s="11">
        <v>80</v>
      </c>
      <c r="L51" s="16">
        <f t="shared" si="16"/>
        <v>29.999999999999869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>
        <v>40</v>
      </c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1150</v>
      </c>
      <c r="F52" s="8" t="s">
        <v>42</v>
      </c>
      <c r="G52" s="9">
        <v>6.7361111111111108E-2</v>
      </c>
      <c r="H52" s="9">
        <v>9.5138888888888884E-2</v>
      </c>
      <c r="I52" s="10">
        <f t="shared" si="15"/>
        <v>2.7777777777777776E-2</v>
      </c>
      <c r="J52" s="11">
        <v>4</v>
      </c>
      <c r="K52" s="11">
        <v>64</v>
      </c>
      <c r="L52" s="16">
        <f t="shared" si="16"/>
        <v>24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>
        <v>40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1151</v>
      </c>
      <c r="F53" s="8" t="s">
        <v>42</v>
      </c>
      <c r="G53" s="9">
        <v>6.7361111111111108E-2</v>
      </c>
      <c r="H53" s="9">
        <v>9.5138888888888884E-2</v>
      </c>
      <c r="I53" s="10">
        <f t="shared" si="15"/>
        <v>2.7777777777777776E-2</v>
      </c>
      <c r="J53" s="11">
        <v>4</v>
      </c>
      <c r="K53" s="11">
        <v>16</v>
      </c>
      <c r="L53" s="16">
        <f t="shared" si="16"/>
        <v>6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>
        <v>40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1152</v>
      </c>
      <c r="F54" s="8" t="s">
        <v>42</v>
      </c>
      <c r="G54" s="9">
        <v>6.805555555555555E-2</v>
      </c>
      <c r="H54" s="9">
        <v>9.583333333333334E-2</v>
      </c>
      <c r="I54" s="10">
        <f t="shared" si="15"/>
        <v>2.777777777777779E-2</v>
      </c>
      <c r="J54" s="11">
        <v>4</v>
      </c>
      <c r="K54" s="11">
        <v>80</v>
      </c>
      <c r="L54" s="16">
        <f t="shared" si="16"/>
        <v>29.999999999999986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>
        <v>40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1153</v>
      </c>
      <c r="F55" s="8" t="s">
        <v>42</v>
      </c>
      <c r="G55" s="9">
        <v>8.7499999999999994E-2</v>
      </c>
      <c r="H55" s="9">
        <v>0.11527777777777778</v>
      </c>
      <c r="I55" s="10">
        <f t="shared" si="15"/>
        <v>2.777777777777779E-2</v>
      </c>
      <c r="J55" s="11">
        <v>4</v>
      </c>
      <c r="K55" s="11">
        <v>80</v>
      </c>
      <c r="L55" s="16">
        <f t="shared" si="16"/>
        <v>29.999999999999986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>
        <v>40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1154</v>
      </c>
      <c r="F56" s="8" t="s">
        <v>42</v>
      </c>
      <c r="G56" s="9">
        <v>9.0277777777777776E-2</v>
      </c>
      <c r="H56" s="9">
        <v>0.11805555555555555</v>
      </c>
      <c r="I56" s="10">
        <f t="shared" si="15"/>
        <v>2.7777777777777776E-2</v>
      </c>
      <c r="J56" s="11">
        <v>4</v>
      </c>
      <c r="K56" s="11">
        <v>16</v>
      </c>
      <c r="L56" s="16">
        <f t="shared" si="16"/>
        <v>6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>
        <v>40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1155</v>
      </c>
      <c r="F57" s="8" t="s">
        <v>42</v>
      </c>
      <c r="G57" s="9">
        <v>9.0277777777777776E-2</v>
      </c>
      <c r="H57" s="9">
        <v>0.11805555555555555</v>
      </c>
      <c r="I57" s="10">
        <f t="shared" si="15"/>
        <v>2.7777777777777776E-2</v>
      </c>
      <c r="J57" s="11">
        <v>4</v>
      </c>
      <c r="K57" s="11">
        <v>64</v>
      </c>
      <c r="L57" s="16">
        <f t="shared" si="16"/>
        <v>24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>
        <v>40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1156</v>
      </c>
      <c r="F58" s="8" t="s">
        <v>42</v>
      </c>
      <c r="G58" s="9">
        <v>0.1</v>
      </c>
      <c r="H58" s="9">
        <v>0.12777777777777777</v>
      </c>
      <c r="I58" s="10">
        <f t="shared" si="15"/>
        <v>2.7777777777777762E-2</v>
      </c>
      <c r="J58" s="11">
        <v>4</v>
      </c>
      <c r="K58" s="11">
        <v>86</v>
      </c>
      <c r="L58" s="16">
        <f t="shared" si="16"/>
        <v>32.250000000000021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/>
      <c r="Y58" s="11"/>
      <c r="Z58" s="11"/>
      <c r="AA58" s="11">
        <v>40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1398</v>
      </c>
      <c r="F59" s="8" t="s">
        <v>42</v>
      </c>
      <c r="G59" s="9">
        <v>0.93125000000000002</v>
      </c>
      <c r="H59" s="9">
        <v>0.9375</v>
      </c>
      <c r="I59" s="10">
        <f t="shared" ref="I59:I72" si="17">H59-G59</f>
        <v>6.2499999999999778E-3</v>
      </c>
      <c r="J59" s="11">
        <v>3</v>
      </c>
      <c r="K59" s="11">
        <v>44.43</v>
      </c>
      <c r="L59" s="16">
        <f t="shared" ref="L59:L82" si="18">IFERROR(((K59/(J59*I59)/24)),"0")</f>
        <v>98.73333333333369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/>
      <c r="AB59" s="11"/>
      <c r="AC59" s="11"/>
      <c r="AD59" s="11">
        <v>9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1127</v>
      </c>
      <c r="F60" s="8" t="s">
        <v>42</v>
      </c>
      <c r="G60" s="9">
        <v>0.91041666666666665</v>
      </c>
      <c r="H60" s="9">
        <v>0.93055555555555558</v>
      </c>
      <c r="I60" s="10">
        <f t="shared" si="17"/>
        <v>2.0138888888888928E-2</v>
      </c>
      <c r="J60" s="11">
        <v>4</v>
      </c>
      <c r="K60" s="11">
        <v>141.59</v>
      </c>
      <c r="L60" s="16">
        <f t="shared" si="18"/>
        <v>73.236206896551579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2">
        <f>29/3</f>
        <v>9.6666666666666661</v>
      </c>
      <c r="Y60" s="12">
        <f>29/3</f>
        <v>9.6666666666666661</v>
      </c>
      <c r="Z60" s="12">
        <f>29/3</f>
        <v>9.6666666666666661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1128</v>
      </c>
      <c r="F61" s="8" t="s">
        <v>42</v>
      </c>
      <c r="G61" s="9">
        <v>0.92361111111111116</v>
      </c>
      <c r="H61" s="9">
        <v>0.94305555555555554</v>
      </c>
      <c r="I61" s="10">
        <f t="shared" si="17"/>
        <v>1.9444444444444375E-2</v>
      </c>
      <c r="J61" s="11">
        <v>4</v>
      </c>
      <c r="K61" s="11">
        <v>140.94</v>
      </c>
      <c r="L61" s="16">
        <f t="shared" si="18"/>
        <v>75.503571428571703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2">
        <f>28/3</f>
        <v>9.3333333333333339</v>
      </c>
      <c r="Y61" s="12">
        <f t="shared" ref="Y61:Z61" si="19">28/3</f>
        <v>9.3333333333333339</v>
      </c>
      <c r="Z61" s="12">
        <f t="shared" si="19"/>
        <v>9.3333333333333339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1129</v>
      </c>
      <c r="F62" s="8" t="s">
        <v>42</v>
      </c>
      <c r="G62" s="9">
        <v>0.93819444444444444</v>
      </c>
      <c r="H62" s="9">
        <v>0.95694444444444449</v>
      </c>
      <c r="I62" s="10">
        <f t="shared" si="17"/>
        <v>1.8750000000000044E-2</v>
      </c>
      <c r="J62" s="11">
        <v>4</v>
      </c>
      <c r="K62" s="11">
        <v>141.6</v>
      </c>
      <c r="L62" s="16">
        <f t="shared" si="18"/>
        <v>78.666666666666472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2">
        <f>27/3</f>
        <v>9</v>
      </c>
      <c r="Y62" s="12">
        <f t="shared" ref="Y62:Z62" si="20">27/3</f>
        <v>9</v>
      </c>
      <c r="Z62" s="12">
        <f t="shared" si="20"/>
        <v>9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1130</v>
      </c>
      <c r="F63" s="8" t="s">
        <v>42</v>
      </c>
      <c r="G63" s="9">
        <v>0.94930555555555551</v>
      </c>
      <c r="H63" s="9">
        <v>0.97083333333333333</v>
      </c>
      <c r="I63" s="10">
        <f t="shared" si="17"/>
        <v>2.1527777777777812E-2</v>
      </c>
      <c r="J63" s="11">
        <v>4</v>
      </c>
      <c r="K63" s="11">
        <v>142.16999999999999</v>
      </c>
      <c r="L63" s="16">
        <f t="shared" si="18"/>
        <v>68.791935483870859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2">
        <f>31/3</f>
        <v>10.333333333333334</v>
      </c>
      <c r="Y63" s="12">
        <f t="shared" ref="Y63:Z63" si="21">31/3</f>
        <v>10.333333333333334</v>
      </c>
      <c r="Z63" s="12">
        <f t="shared" si="21"/>
        <v>10.333333333333334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/>
      <c r="F64" s="8" t="s">
        <v>42</v>
      </c>
      <c r="G64" s="9"/>
      <c r="H64" s="9"/>
      <c r="I64" s="10">
        <f t="shared" si="17"/>
        <v>0</v>
      </c>
      <c r="J64" s="11"/>
      <c r="K64" s="11"/>
      <c r="L64" s="16" t="str">
        <f t="shared" si="18"/>
        <v>0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 t="s">
        <v>579</v>
      </c>
      <c r="E65" s="19" t="s">
        <v>612</v>
      </c>
      <c r="F65" s="8" t="s">
        <v>42</v>
      </c>
      <c r="G65" s="9">
        <v>0.97847222222222219</v>
      </c>
      <c r="H65" s="9">
        <v>0.9916666666666667</v>
      </c>
      <c r="I65" s="10">
        <f t="shared" si="17"/>
        <v>1.3194444444444509E-2</v>
      </c>
      <c r="J65" s="11">
        <v>4</v>
      </c>
      <c r="K65" s="11">
        <v>68.91</v>
      </c>
      <c r="L65" s="16">
        <f t="shared" si="18"/>
        <v>54.402631578947101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>
        <f>19/2</f>
        <v>9.5</v>
      </c>
      <c r="Y65" s="11">
        <f>19/2</f>
        <v>9.5</v>
      </c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613</v>
      </c>
      <c r="F66" s="8" t="s">
        <v>42</v>
      </c>
      <c r="G66" s="9">
        <v>0.98958333333333337</v>
      </c>
      <c r="H66" s="9">
        <v>1</v>
      </c>
      <c r="I66" s="10">
        <f t="shared" si="17"/>
        <v>1.041666666666663E-2</v>
      </c>
      <c r="J66" s="11">
        <v>4</v>
      </c>
      <c r="K66" s="11">
        <v>68.91</v>
      </c>
      <c r="L66" s="16">
        <f t="shared" si="18"/>
        <v>68.910000000000238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>
        <f>15/2</f>
        <v>7.5</v>
      </c>
      <c r="Y66" s="11">
        <f>15/2</f>
        <v>7.5</v>
      </c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614</v>
      </c>
      <c r="F67" s="8" t="s">
        <v>42</v>
      </c>
      <c r="G67" s="9">
        <v>3.472222222222222E-3</v>
      </c>
      <c r="H67" s="9">
        <v>1.2500000000000001E-2</v>
      </c>
      <c r="I67" s="10">
        <f t="shared" si="17"/>
        <v>9.0277777777777787E-3</v>
      </c>
      <c r="J67" s="11">
        <v>4</v>
      </c>
      <c r="K67" s="11">
        <v>68.91</v>
      </c>
      <c r="L67" s="16">
        <f t="shared" si="18"/>
        <v>79.51153846153845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>
        <f>13/2</f>
        <v>6.5</v>
      </c>
      <c r="Y67" s="11"/>
      <c r="Z67" s="11">
        <v>6.5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615</v>
      </c>
      <c r="F68" s="8" t="s">
        <v>42</v>
      </c>
      <c r="G68" s="9">
        <v>1.2500000000000001E-2</v>
      </c>
      <c r="H68" s="9">
        <v>1.9444444444444445E-2</v>
      </c>
      <c r="I68" s="10">
        <f t="shared" si="17"/>
        <v>6.9444444444444441E-3</v>
      </c>
      <c r="J68" s="11">
        <v>4</v>
      </c>
      <c r="K68" s="11">
        <v>68.91</v>
      </c>
      <c r="L68" s="16">
        <f t="shared" si="18"/>
        <v>103.36500000000001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>
        <v>5</v>
      </c>
      <c r="Y68" s="11"/>
      <c r="Z68" s="11">
        <v>5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616</v>
      </c>
      <c r="F69" s="8" t="s">
        <v>42</v>
      </c>
      <c r="G69" s="9">
        <v>1.8749999999999999E-2</v>
      </c>
      <c r="H69" s="9">
        <v>1.0263888888888888</v>
      </c>
      <c r="I69" s="10">
        <f t="shared" si="17"/>
        <v>1.0076388888888888</v>
      </c>
      <c r="J69" s="11">
        <v>4</v>
      </c>
      <c r="K69" s="11">
        <v>68.91</v>
      </c>
      <c r="L69" s="16">
        <f t="shared" si="18"/>
        <v>0.71237077877325994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>
        <f>11/2</f>
        <v>5.5</v>
      </c>
      <c r="Y69" s="11"/>
      <c r="Z69" s="11">
        <v>5.5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843</v>
      </c>
      <c r="F70" s="8" t="s">
        <v>42</v>
      </c>
      <c r="G70" s="9">
        <v>4.027777777777778E-2</v>
      </c>
      <c r="H70" s="9">
        <v>4.791666666666667E-2</v>
      </c>
      <c r="I70" s="10">
        <f t="shared" si="17"/>
        <v>7.6388888888888895E-3</v>
      </c>
      <c r="J70" s="11">
        <v>4</v>
      </c>
      <c r="K70" s="11">
        <v>68.91</v>
      </c>
      <c r="L70" s="16">
        <f t="shared" si="18"/>
        <v>93.968181818181804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>
        <v>5.5</v>
      </c>
      <c r="Y70" s="11"/>
      <c r="Z70" s="11">
        <v>5.5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844</v>
      </c>
      <c r="F71" s="8" t="s">
        <v>42</v>
      </c>
      <c r="G71" s="9">
        <v>0.05</v>
      </c>
      <c r="H71" s="9">
        <v>5.7638888888888892E-2</v>
      </c>
      <c r="I71" s="10">
        <f t="shared" si="17"/>
        <v>7.6388888888888895E-3</v>
      </c>
      <c r="J71" s="11">
        <v>4</v>
      </c>
      <c r="K71" s="11">
        <v>68.91</v>
      </c>
      <c r="L71" s="16">
        <f t="shared" si="18"/>
        <v>93.968181818181804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>
        <v>11</v>
      </c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845</v>
      </c>
      <c r="F72" s="8" t="s">
        <v>42</v>
      </c>
      <c r="G72" s="9">
        <v>5.9027777777777776E-2</v>
      </c>
      <c r="H72" s="9">
        <v>6.5972222222222224E-2</v>
      </c>
      <c r="I72" s="10">
        <f t="shared" si="17"/>
        <v>6.9444444444444475E-3</v>
      </c>
      <c r="J72" s="11">
        <v>4</v>
      </c>
      <c r="K72" s="11">
        <v>68.91</v>
      </c>
      <c r="L72" s="16">
        <f t="shared" si="18"/>
        <v>103.36499999999995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>
        <v>5</v>
      </c>
      <c r="Y72" s="11"/>
      <c r="Z72" s="11">
        <v>5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846</v>
      </c>
      <c r="F73" s="8" t="s">
        <v>42</v>
      </c>
      <c r="G73" s="9">
        <v>6.805555555555555E-2</v>
      </c>
      <c r="H73" s="9">
        <v>7.6388888888888895E-2</v>
      </c>
      <c r="I73" s="10">
        <f t="shared" ref="I73:I81" si="22">H73-G73</f>
        <v>8.3333333333333454E-3</v>
      </c>
      <c r="J73" s="11">
        <v>4</v>
      </c>
      <c r="K73" s="11">
        <v>68.91</v>
      </c>
      <c r="L73" s="16">
        <f t="shared" si="18"/>
        <v>86.137499999999875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>
        <v>6</v>
      </c>
      <c r="Y73" s="11"/>
      <c r="Z73" s="11">
        <v>6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847</v>
      </c>
      <c r="F74" s="8" t="s">
        <v>42</v>
      </c>
      <c r="G74" s="9">
        <v>7.7777777777777779E-2</v>
      </c>
      <c r="H74" s="9">
        <v>8.6805555555555552E-2</v>
      </c>
      <c r="I74" s="10">
        <f t="shared" si="22"/>
        <v>9.0277777777777735E-3</v>
      </c>
      <c r="J74" s="11">
        <v>4</v>
      </c>
      <c r="K74" s="11">
        <v>68.91</v>
      </c>
      <c r="L74" s="16">
        <f t="shared" si="18"/>
        <v>79.511538461538493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>
        <f>13/2</f>
        <v>6.5</v>
      </c>
      <c r="Y74" s="11"/>
      <c r="Z74" s="11">
        <v>6.5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1399</v>
      </c>
      <c r="F75" s="8" t="s">
        <v>42</v>
      </c>
      <c r="G75" s="9">
        <v>0.85277777777777775</v>
      </c>
      <c r="H75" s="9">
        <v>0.875</v>
      </c>
      <c r="I75" s="10">
        <f t="shared" si="22"/>
        <v>2.2222222222222254E-2</v>
      </c>
      <c r="J75" s="11">
        <v>3</v>
      </c>
      <c r="K75" s="11">
        <v>38.94</v>
      </c>
      <c r="L75" s="16">
        <f t="shared" si="18"/>
        <v>24.337499999999963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/>
      <c r="X75" s="11"/>
      <c r="Y75" s="11"/>
      <c r="Z75" s="11"/>
      <c r="AA75" s="11"/>
      <c r="AB75" s="11"/>
      <c r="AC75" s="11">
        <v>32</v>
      </c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1400</v>
      </c>
      <c r="F76" s="8" t="s">
        <v>42</v>
      </c>
      <c r="G76" s="9">
        <v>0.86944444444444446</v>
      </c>
      <c r="H76" s="9">
        <v>0.88124999999999998</v>
      </c>
      <c r="I76" s="10">
        <f t="shared" si="22"/>
        <v>1.1805555555555514E-2</v>
      </c>
      <c r="J76" s="11">
        <v>3</v>
      </c>
      <c r="K76" s="11">
        <v>142.80000000000001</v>
      </c>
      <c r="L76" s="16">
        <f t="shared" si="18"/>
        <v>168.0000000000006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2</v>
      </c>
      <c r="W76" s="12"/>
      <c r="X76" s="11"/>
      <c r="Y76" s="11"/>
      <c r="Z76" s="11"/>
      <c r="AA76" s="11"/>
      <c r="AB76" s="11"/>
      <c r="AC76" s="11"/>
      <c r="AD76" s="11">
        <v>17</v>
      </c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1401</v>
      </c>
      <c r="F77" s="8" t="s">
        <v>42</v>
      </c>
      <c r="G77" s="9">
        <v>0.8930555555555556</v>
      </c>
      <c r="H77" s="9">
        <v>0.90416666666666667</v>
      </c>
      <c r="I77" s="10">
        <f t="shared" si="22"/>
        <v>1.1111111111111072E-2</v>
      </c>
      <c r="J77" s="11">
        <v>3</v>
      </c>
      <c r="K77" s="11">
        <v>145.30000000000001</v>
      </c>
      <c r="L77" s="16">
        <f t="shared" si="18"/>
        <v>181.62500000000065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/>
      <c r="AA77" s="11"/>
      <c r="AB77" s="11"/>
      <c r="AC77" s="11">
        <v>16</v>
      </c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1402</v>
      </c>
      <c r="F78" s="8" t="s">
        <v>42</v>
      </c>
      <c r="G78" s="9">
        <v>0.89375000000000004</v>
      </c>
      <c r="H78" s="9">
        <v>0.90486111111111112</v>
      </c>
      <c r="I78" s="10">
        <f t="shared" si="22"/>
        <v>1.1111111111111072E-2</v>
      </c>
      <c r="J78" s="11">
        <v>3</v>
      </c>
      <c r="K78" s="11">
        <v>145.6</v>
      </c>
      <c r="L78" s="16">
        <f t="shared" si="18"/>
        <v>182.00000000000065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/>
      <c r="Z78" s="11"/>
      <c r="AA78" s="11"/>
      <c r="AB78" s="11"/>
      <c r="AC78" s="11"/>
      <c r="AD78" s="11">
        <v>16</v>
      </c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1403</v>
      </c>
      <c r="F79" s="8" t="s">
        <v>42</v>
      </c>
      <c r="G79" s="9">
        <v>0.91180555555555554</v>
      </c>
      <c r="H79" s="9">
        <v>0.92361111111111116</v>
      </c>
      <c r="I79" s="10">
        <f t="shared" si="22"/>
        <v>1.1805555555555625E-2</v>
      </c>
      <c r="J79" s="11">
        <v>3</v>
      </c>
      <c r="K79" s="11">
        <v>141</v>
      </c>
      <c r="L79" s="16">
        <f>IFERROR(((K79/(J79*I79)/24)),"0")</f>
        <v>165.8823529411755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/>
      <c r="Z79" s="11"/>
      <c r="AA79" s="11"/>
      <c r="AB79" s="11"/>
      <c r="AC79" s="11">
        <v>17</v>
      </c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1404</v>
      </c>
      <c r="F80" s="8" t="s">
        <v>42</v>
      </c>
      <c r="G80" s="9">
        <v>0.91388888888888886</v>
      </c>
      <c r="H80" s="9">
        <v>0.92569444444444449</v>
      </c>
      <c r="I80" s="10">
        <f t="shared" si="22"/>
        <v>1.1805555555555625E-2</v>
      </c>
      <c r="J80" s="11">
        <v>3</v>
      </c>
      <c r="K80" s="11">
        <v>142.66</v>
      </c>
      <c r="L80" s="16">
        <f t="shared" si="18"/>
        <v>167.83529411764607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/>
      <c r="AB80" s="11"/>
      <c r="AC80" s="11"/>
      <c r="AD80" s="11">
        <v>17</v>
      </c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1405</v>
      </c>
      <c r="F81" s="8" t="s">
        <v>42</v>
      </c>
      <c r="G81" s="9">
        <v>0.93888888888888888</v>
      </c>
      <c r="H81" s="9">
        <v>0.95833333333333337</v>
      </c>
      <c r="I81" s="10">
        <f t="shared" si="22"/>
        <v>1.9444444444444486E-2</v>
      </c>
      <c r="J81" s="11">
        <v>3</v>
      </c>
      <c r="K81" s="11">
        <v>84</v>
      </c>
      <c r="L81" s="16">
        <f t="shared" si="18"/>
        <v>59.999999999999865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/>
      <c r="Z81" s="11"/>
      <c r="AA81" s="11"/>
      <c r="AB81" s="11"/>
      <c r="AC81" s="11">
        <v>28</v>
      </c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1406</v>
      </c>
      <c r="F82" s="8" t="s">
        <v>42</v>
      </c>
      <c r="G82" s="9">
        <v>0.93958333333333333</v>
      </c>
      <c r="H82" s="9">
        <v>0.95833333333333337</v>
      </c>
      <c r="I82" s="10">
        <f>H82-G82</f>
        <v>1.8750000000000044E-2</v>
      </c>
      <c r="J82" s="11">
        <v>3</v>
      </c>
      <c r="K82" s="11">
        <v>84.02</v>
      </c>
      <c r="L82" s="16">
        <f t="shared" si="18"/>
        <v>62.237037037036885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/>
      <c r="AB82" s="11"/>
      <c r="AC82" s="11"/>
      <c r="AD82" s="11">
        <v>27</v>
      </c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1407</v>
      </c>
      <c r="F83" s="8" t="s">
        <v>42</v>
      </c>
      <c r="G83" s="9">
        <v>0.94722222222222219</v>
      </c>
      <c r="H83" s="9">
        <v>0.96527777777777779</v>
      </c>
      <c r="I83" s="10">
        <f t="shared" ref="I83:I106" si="23">H83-G83</f>
        <v>1.8055555555555602E-2</v>
      </c>
      <c r="J83" s="11">
        <v>3</v>
      </c>
      <c r="K83" s="11">
        <v>82.14</v>
      </c>
      <c r="L83" s="16">
        <f t="shared" ref="L83:L97" si="24">IFERROR(((K83/(J83*I83)/24)),"0")</f>
        <v>63.184615384615221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2</v>
      </c>
      <c r="X83" s="11"/>
      <c r="Y83" s="11"/>
      <c r="Z83" s="11"/>
      <c r="AA83" s="11"/>
      <c r="AB83" s="11"/>
      <c r="AC83" s="11">
        <v>26</v>
      </c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1408</v>
      </c>
      <c r="F84" s="8" t="s">
        <v>42</v>
      </c>
      <c r="G84" s="9">
        <v>0.96527777777777779</v>
      </c>
      <c r="H84" s="9">
        <v>0.98263888888888884</v>
      </c>
      <c r="I84" s="10">
        <f t="shared" si="23"/>
        <v>1.7361111111111049E-2</v>
      </c>
      <c r="J84" s="11">
        <v>3</v>
      </c>
      <c r="K84" s="11">
        <v>82.14</v>
      </c>
      <c r="L84" s="16">
        <f t="shared" si="24"/>
        <v>65.712000000000231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2</v>
      </c>
      <c r="W84" s="12"/>
      <c r="X84" s="11"/>
      <c r="Y84" s="11"/>
      <c r="Z84" s="11"/>
      <c r="AA84" s="11"/>
      <c r="AB84" s="11"/>
      <c r="AC84" s="11"/>
      <c r="AD84" s="11">
        <v>25</v>
      </c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1409</v>
      </c>
      <c r="F85" s="8" t="s">
        <v>42</v>
      </c>
      <c r="G85" s="9">
        <v>0.96597222222222223</v>
      </c>
      <c r="H85" s="9">
        <v>0.98402777777777772</v>
      </c>
      <c r="I85" s="10">
        <f t="shared" si="23"/>
        <v>1.8055555555555491E-2</v>
      </c>
      <c r="J85" s="11">
        <v>3</v>
      </c>
      <c r="K85" s="11">
        <v>80.53</v>
      </c>
      <c r="L85" s="16">
        <f t="shared" si="24"/>
        <v>61.946153846154068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/>
      <c r="Y85" s="11"/>
      <c r="Z85" s="11"/>
      <c r="AA85" s="11"/>
      <c r="AB85" s="11"/>
      <c r="AC85" s="11">
        <v>26</v>
      </c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1410</v>
      </c>
      <c r="F86" s="8" t="s">
        <v>42</v>
      </c>
      <c r="G86" s="9">
        <v>0.97291666666666665</v>
      </c>
      <c r="H86" s="9">
        <v>0.99027777777777781</v>
      </c>
      <c r="I86" s="10">
        <f t="shared" si="23"/>
        <v>1.736111111111116E-2</v>
      </c>
      <c r="J86" s="11">
        <v>3</v>
      </c>
      <c r="K86" s="11">
        <v>80.53</v>
      </c>
      <c r="L86" s="16">
        <f t="shared" si="24"/>
        <v>64.423999999999822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/>
      <c r="Y86" s="11"/>
      <c r="Z86" s="11"/>
      <c r="AA86" s="11"/>
      <c r="AB86" s="11"/>
      <c r="AC86" s="11"/>
      <c r="AD86" s="11">
        <v>25</v>
      </c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1411</v>
      </c>
      <c r="F87" s="8" t="s">
        <v>42</v>
      </c>
      <c r="G87" s="9">
        <v>0.9868055555555556</v>
      </c>
      <c r="H87" s="9">
        <v>1.0013888888888889</v>
      </c>
      <c r="I87" s="10">
        <f t="shared" si="23"/>
        <v>1.4583333333333282E-2</v>
      </c>
      <c r="J87" s="11">
        <v>3</v>
      </c>
      <c r="K87" s="11">
        <v>82.47</v>
      </c>
      <c r="L87" s="16">
        <f t="shared" si="24"/>
        <v>78.542857142857414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/>
      <c r="AA87" s="11"/>
      <c r="AB87" s="11"/>
      <c r="AC87" s="11">
        <v>21</v>
      </c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1412</v>
      </c>
      <c r="F88" s="8" t="s">
        <v>42</v>
      </c>
      <c r="G88" s="9">
        <v>0.99305555555555558</v>
      </c>
      <c r="H88" s="9">
        <v>1.0111111111111111</v>
      </c>
      <c r="I88" s="10">
        <f t="shared" si="23"/>
        <v>1.8055555555555491E-2</v>
      </c>
      <c r="J88" s="11">
        <v>3</v>
      </c>
      <c r="K88" s="11">
        <v>82.47</v>
      </c>
      <c r="L88" s="16">
        <f t="shared" si="24"/>
        <v>63.438461538461759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2</v>
      </c>
      <c r="W88" s="12"/>
      <c r="X88" s="11"/>
      <c r="Y88" s="11"/>
      <c r="Z88" s="11"/>
      <c r="AA88" s="11"/>
      <c r="AB88" s="11"/>
      <c r="AC88" s="11"/>
      <c r="AD88" s="11">
        <v>26</v>
      </c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1413</v>
      </c>
      <c r="F89" s="8" t="s">
        <v>42</v>
      </c>
      <c r="G89" s="9">
        <v>1.0006944444444446</v>
      </c>
      <c r="H89" s="9">
        <v>1.01875</v>
      </c>
      <c r="I89" s="10">
        <f t="shared" si="23"/>
        <v>1.8055555555555491E-2</v>
      </c>
      <c r="J89" s="11">
        <v>3</v>
      </c>
      <c r="K89" s="11">
        <v>83.57</v>
      </c>
      <c r="L89" s="16">
        <f t="shared" si="24"/>
        <v>64.284615384615606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/>
      <c r="Z89" s="11"/>
      <c r="AA89" s="11"/>
      <c r="AB89" s="11"/>
      <c r="AC89" s="11">
        <v>26</v>
      </c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1414</v>
      </c>
      <c r="F90" s="8" t="s">
        <v>42</v>
      </c>
      <c r="G90" s="9">
        <v>1.0416666666666666E-2</v>
      </c>
      <c r="H90" s="9">
        <v>2.9166666666666667E-2</v>
      </c>
      <c r="I90" s="10">
        <f t="shared" si="23"/>
        <v>1.8750000000000003E-2</v>
      </c>
      <c r="J90" s="11">
        <v>3</v>
      </c>
      <c r="K90" s="11">
        <v>83.57</v>
      </c>
      <c r="L90" s="16">
        <f t="shared" si="24"/>
        <v>61.903703703703691</v>
      </c>
      <c r="M90" s="11"/>
      <c r="N90" s="11"/>
      <c r="O90" s="11"/>
      <c r="P90" s="11"/>
      <c r="Q90" s="11"/>
      <c r="R90" s="12"/>
      <c r="S90" s="12"/>
      <c r="T90" s="11"/>
      <c r="U90" s="11"/>
      <c r="V90" s="12">
        <v>2</v>
      </c>
      <c r="W90" s="12"/>
      <c r="X90" s="11"/>
      <c r="Y90" s="11"/>
      <c r="Z90" s="11"/>
      <c r="AA90" s="11"/>
      <c r="AB90" s="11"/>
      <c r="AC90" s="11"/>
      <c r="AD90" s="11">
        <v>27</v>
      </c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1415</v>
      </c>
      <c r="F91" s="8" t="s">
        <v>42</v>
      </c>
      <c r="G91" s="9">
        <v>0.20555555555555555</v>
      </c>
      <c r="H91" s="9">
        <v>0.21041666666666667</v>
      </c>
      <c r="I91" s="10">
        <f t="shared" si="23"/>
        <v>4.8611111111111216E-3</v>
      </c>
      <c r="J91" s="11">
        <v>3</v>
      </c>
      <c r="K91" s="11" t="s">
        <v>42</v>
      </c>
      <c r="L91" s="16" t="str">
        <f t="shared" si="24"/>
        <v>0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/>
      <c r="X91" s="11"/>
      <c r="Y91" s="11"/>
      <c r="Z91" s="11"/>
      <c r="AA91" s="11"/>
      <c r="AB91" s="11">
        <v>7</v>
      </c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1416</v>
      </c>
      <c r="F92" s="8" t="s">
        <v>42</v>
      </c>
      <c r="G92" s="9">
        <v>0.20555555555555555</v>
      </c>
      <c r="H92" s="9">
        <v>0.21041666666666667</v>
      </c>
      <c r="I92" s="10">
        <f t="shared" si="23"/>
        <v>4.8611111111111216E-3</v>
      </c>
      <c r="J92" s="11">
        <v>3</v>
      </c>
      <c r="K92" s="11" t="s">
        <v>42</v>
      </c>
      <c r="L92" s="16" t="str">
        <f t="shared" si="24"/>
        <v>0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/>
      <c r="X92" s="11"/>
      <c r="Y92" s="11"/>
      <c r="Z92" s="11"/>
      <c r="AA92" s="11"/>
      <c r="AB92" s="11"/>
      <c r="AC92" s="11"/>
      <c r="AD92" s="11">
        <v>7</v>
      </c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1417</v>
      </c>
      <c r="F93" s="8" t="s">
        <v>42</v>
      </c>
      <c r="G93" s="9">
        <v>0.22708333333333333</v>
      </c>
      <c r="H93" s="9">
        <v>0.23194444444444445</v>
      </c>
      <c r="I93" s="10">
        <f t="shared" si="23"/>
        <v>4.8611111111111216E-3</v>
      </c>
      <c r="J93" s="11">
        <v>3</v>
      </c>
      <c r="K93" s="11" t="s">
        <v>42</v>
      </c>
      <c r="L93" s="16" t="str">
        <f t="shared" si="24"/>
        <v>0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/>
      <c r="X93" s="11"/>
      <c r="Y93" s="11"/>
      <c r="Z93" s="11"/>
      <c r="AA93" s="11"/>
      <c r="AB93" s="11">
        <v>7</v>
      </c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1418</v>
      </c>
      <c r="F94" s="8" t="s">
        <v>42</v>
      </c>
      <c r="G94" s="9">
        <v>0.22916666666666666</v>
      </c>
      <c r="H94" s="9">
        <v>0.23402777777777778</v>
      </c>
      <c r="I94" s="10">
        <f t="shared" si="23"/>
        <v>4.8611111111111216E-3</v>
      </c>
      <c r="J94" s="11">
        <v>3</v>
      </c>
      <c r="K94" s="11" t="s">
        <v>42</v>
      </c>
      <c r="L94" s="16" t="str">
        <f t="shared" si="24"/>
        <v>0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/>
      <c r="X94" s="11"/>
      <c r="Y94" s="11"/>
      <c r="Z94" s="11"/>
      <c r="AA94" s="11"/>
      <c r="AB94" s="11"/>
      <c r="AC94" s="11"/>
      <c r="AD94" s="11">
        <v>7</v>
      </c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1419</v>
      </c>
      <c r="F95" s="8" t="s">
        <v>42</v>
      </c>
      <c r="G95" s="9">
        <v>0.2361111111111111</v>
      </c>
      <c r="H95" s="9">
        <v>0.24097222222222223</v>
      </c>
      <c r="I95" s="10">
        <f t="shared" si="23"/>
        <v>4.8611111111111216E-3</v>
      </c>
      <c r="J95" s="11">
        <v>3</v>
      </c>
      <c r="K95" s="11" t="s">
        <v>42</v>
      </c>
      <c r="L95" s="16" t="str">
        <f t="shared" si="24"/>
        <v>0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/>
      <c r="X95" s="11"/>
      <c r="Y95" s="11"/>
      <c r="Z95" s="11"/>
      <c r="AA95" s="11"/>
      <c r="AB95" s="11">
        <v>7</v>
      </c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1420</v>
      </c>
      <c r="F96" s="8" t="s">
        <v>42</v>
      </c>
      <c r="G96" s="9">
        <v>0.23958333333333334</v>
      </c>
      <c r="H96" s="9">
        <v>0.24444444444444444</v>
      </c>
      <c r="I96" s="10">
        <f t="shared" si="23"/>
        <v>4.8611111111110938E-3</v>
      </c>
      <c r="J96" s="11">
        <v>3</v>
      </c>
      <c r="K96" s="11" t="s">
        <v>42</v>
      </c>
      <c r="L96" s="16" t="str">
        <f t="shared" si="24"/>
        <v>0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/>
      <c r="X96" s="11"/>
      <c r="Y96" s="11"/>
      <c r="Z96" s="11"/>
      <c r="AA96" s="11"/>
      <c r="AB96" s="11"/>
      <c r="AC96" s="11"/>
      <c r="AD96" s="11">
        <v>7</v>
      </c>
      <c r="AE96" s="11"/>
      <c r="AF96" s="11"/>
      <c r="AG96" s="11"/>
      <c r="AH96" s="11"/>
      <c r="AI96" s="11"/>
      <c r="AJ96" s="11"/>
      <c r="AK96" s="11"/>
      <c r="AL96" s="14"/>
    </row>
    <row r="97" spans="1:38" ht="25.05" customHeight="1">
      <c r="B97" s="13"/>
      <c r="C97" s="29"/>
      <c r="D97" s="30"/>
      <c r="E97" s="19" t="s">
        <v>1421</v>
      </c>
      <c r="F97" s="8" t="s">
        <v>42</v>
      </c>
      <c r="G97" s="9">
        <v>0.25</v>
      </c>
      <c r="H97" s="9">
        <v>0.25486111111111109</v>
      </c>
      <c r="I97" s="10">
        <f t="shared" si="23"/>
        <v>4.8611111111110938E-3</v>
      </c>
      <c r="J97" s="11">
        <v>3</v>
      </c>
      <c r="K97" s="11" t="s">
        <v>42</v>
      </c>
      <c r="L97" s="16" t="str">
        <f t="shared" si="24"/>
        <v>0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/>
      <c r="Y97" s="11"/>
      <c r="Z97" s="11"/>
      <c r="AA97" s="11"/>
      <c r="AB97" s="11">
        <v>7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1:38" ht="25.05" customHeight="1">
      <c r="B98" s="13"/>
      <c r="C98" s="29"/>
      <c r="D98" s="30"/>
      <c r="E98" s="19" t="s">
        <v>1422</v>
      </c>
      <c r="F98" s="8" t="s">
        <v>42</v>
      </c>
      <c r="G98" s="9">
        <v>0.25555555555555554</v>
      </c>
      <c r="H98" s="9">
        <v>0.26041666666666669</v>
      </c>
      <c r="I98" s="10">
        <f t="shared" si="23"/>
        <v>4.8611111111111494E-3</v>
      </c>
      <c r="J98" s="11">
        <v>3</v>
      </c>
      <c r="K98" s="11" t="s">
        <v>42</v>
      </c>
      <c r="L98" s="16" t="str">
        <f t="shared" ref="L98:L106" si="25">IFERROR(((K98/(J98*I98)/24)),"0")</f>
        <v>0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/>
      <c r="AD98" s="11">
        <v>7</v>
      </c>
      <c r="AE98" s="11"/>
      <c r="AF98" s="11"/>
      <c r="AG98" s="11"/>
      <c r="AH98" s="11"/>
      <c r="AI98" s="11"/>
      <c r="AJ98" s="11"/>
      <c r="AK98" s="11"/>
      <c r="AL98" s="14"/>
    </row>
    <row r="99" spans="1:38" ht="25.05" customHeight="1">
      <c r="B99" s="74"/>
      <c r="C99" s="75"/>
      <c r="D99" s="76"/>
      <c r="E99" s="19" t="s">
        <v>1423</v>
      </c>
      <c r="F99" s="8" t="s">
        <v>42</v>
      </c>
      <c r="G99" s="53">
        <v>0.22222222222222221</v>
      </c>
      <c r="H99" s="53">
        <v>0.22777777777777777</v>
      </c>
      <c r="I99" s="10">
        <f t="shared" si="23"/>
        <v>5.5555555555555636E-3</v>
      </c>
      <c r="J99" s="54">
        <v>4</v>
      </c>
      <c r="K99" s="54">
        <v>81.66</v>
      </c>
      <c r="L99" s="16">
        <f t="shared" si="25"/>
        <v>153.11249999999976</v>
      </c>
      <c r="M99" s="54"/>
      <c r="N99" s="54"/>
      <c r="O99" s="54"/>
      <c r="P99" s="54"/>
      <c r="Q99" s="54"/>
      <c r="R99" s="80"/>
      <c r="S99" s="80"/>
      <c r="T99" s="54"/>
      <c r="U99" s="54"/>
      <c r="V99" s="80">
        <v>2</v>
      </c>
      <c r="W99" s="80"/>
      <c r="X99" s="54"/>
      <c r="Y99" s="54">
        <v>8</v>
      </c>
      <c r="Z99" s="54"/>
      <c r="AA99" s="54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81"/>
    </row>
    <row r="100" spans="1:38" ht="25.05" customHeight="1">
      <c r="B100" s="74"/>
      <c r="C100" s="75"/>
      <c r="D100" s="76"/>
      <c r="E100" s="19" t="s">
        <v>1424</v>
      </c>
      <c r="F100" s="8" t="s">
        <v>42</v>
      </c>
      <c r="G100" s="53">
        <v>0.22569444444444445</v>
      </c>
      <c r="H100" s="53">
        <v>0.23125000000000001</v>
      </c>
      <c r="I100" s="10">
        <f t="shared" si="23"/>
        <v>5.5555555555555636E-3</v>
      </c>
      <c r="J100" s="54">
        <v>4</v>
      </c>
      <c r="K100" s="54">
        <v>59.26</v>
      </c>
      <c r="L100" s="16">
        <f t="shared" si="25"/>
        <v>111.11249999999984</v>
      </c>
      <c r="M100" s="54"/>
      <c r="N100" s="54"/>
      <c r="O100" s="54"/>
      <c r="P100" s="54"/>
      <c r="Q100" s="54"/>
      <c r="R100" s="80"/>
      <c r="S100" s="80"/>
      <c r="T100" s="54"/>
      <c r="U100" s="54"/>
      <c r="V100" s="80"/>
      <c r="W100" s="80">
        <v>2</v>
      </c>
      <c r="X100" s="54"/>
      <c r="Y100" s="54"/>
      <c r="Z100" s="54"/>
      <c r="AA100" s="54">
        <v>8</v>
      </c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81"/>
    </row>
    <row r="101" spans="1:38" ht="25.05" customHeight="1">
      <c r="B101" s="74"/>
      <c r="C101" s="75"/>
      <c r="D101" s="76"/>
      <c r="E101" s="19" t="s">
        <v>1425</v>
      </c>
      <c r="F101" s="8" t="s">
        <v>42</v>
      </c>
      <c r="G101" s="53">
        <v>0.2326388888888889</v>
      </c>
      <c r="H101" s="53">
        <v>0.23819444444444443</v>
      </c>
      <c r="I101" s="10">
        <f t="shared" si="23"/>
        <v>5.5555555555555358E-3</v>
      </c>
      <c r="J101" s="54">
        <v>4</v>
      </c>
      <c r="K101" s="54">
        <v>79.25</v>
      </c>
      <c r="L101" s="16">
        <f t="shared" si="25"/>
        <v>148.59375000000054</v>
      </c>
      <c r="M101" s="54"/>
      <c r="N101" s="54"/>
      <c r="O101" s="54"/>
      <c r="P101" s="54"/>
      <c r="Q101" s="54"/>
      <c r="R101" s="80"/>
      <c r="S101" s="80"/>
      <c r="T101" s="54"/>
      <c r="U101" s="54"/>
      <c r="V101" s="80">
        <v>2</v>
      </c>
      <c r="W101" s="80"/>
      <c r="X101" s="54"/>
      <c r="Y101" s="54"/>
      <c r="Z101" s="54"/>
      <c r="AA101" s="54">
        <v>8</v>
      </c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81"/>
    </row>
    <row r="102" spans="1:38" ht="25.05" customHeight="1">
      <c r="B102" s="74"/>
      <c r="C102" s="75"/>
      <c r="D102" s="76"/>
      <c r="E102" s="19" t="s">
        <v>1426</v>
      </c>
      <c r="F102" s="8" t="s">
        <v>42</v>
      </c>
      <c r="G102" s="53">
        <v>0.23472222222222222</v>
      </c>
      <c r="H102" s="53">
        <v>0.24027777777777778</v>
      </c>
      <c r="I102" s="10">
        <f t="shared" si="23"/>
        <v>5.5555555555555636E-3</v>
      </c>
      <c r="J102" s="54">
        <v>4</v>
      </c>
      <c r="K102" s="54">
        <v>65.12</v>
      </c>
      <c r="L102" s="16">
        <f t="shared" si="25"/>
        <v>122.09999999999984</v>
      </c>
      <c r="M102" s="54"/>
      <c r="N102" s="54"/>
      <c r="O102" s="54"/>
      <c r="P102" s="54"/>
      <c r="Q102" s="54"/>
      <c r="R102" s="80"/>
      <c r="S102" s="80"/>
      <c r="T102" s="54"/>
      <c r="U102" s="54"/>
      <c r="V102" s="80"/>
      <c r="W102" s="80">
        <v>2</v>
      </c>
      <c r="X102" s="54"/>
      <c r="Y102" s="54">
        <v>8</v>
      </c>
      <c r="Z102" s="54"/>
      <c r="AA102" s="54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81"/>
    </row>
    <row r="103" spans="1:38" ht="25.05" customHeight="1">
      <c r="B103" s="74"/>
      <c r="C103" s="75"/>
      <c r="D103" s="76"/>
      <c r="E103" s="19" t="s">
        <v>1427</v>
      </c>
      <c r="F103" s="8" t="s">
        <v>42</v>
      </c>
      <c r="G103" s="53">
        <v>0.24444444444444444</v>
      </c>
      <c r="H103" s="53">
        <v>0.25</v>
      </c>
      <c r="I103" s="10">
        <f t="shared" si="23"/>
        <v>5.5555555555555636E-3</v>
      </c>
      <c r="J103" s="54">
        <v>4</v>
      </c>
      <c r="K103" s="54">
        <v>82.94</v>
      </c>
      <c r="L103" s="16">
        <f t="shared" si="25"/>
        <v>155.51249999999979</v>
      </c>
      <c r="M103" s="54"/>
      <c r="N103" s="54"/>
      <c r="O103" s="54"/>
      <c r="P103" s="54"/>
      <c r="Q103" s="54"/>
      <c r="R103" s="80"/>
      <c r="S103" s="80"/>
      <c r="T103" s="54"/>
      <c r="U103" s="54"/>
      <c r="V103" s="80">
        <v>2</v>
      </c>
      <c r="W103" s="80"/>
      <c r="X103" s="54"/>
      <c r="Y103" s="54"/>
      <c r="Z103" s="54"/>
      <c r="AA103" s="54">
        <v>8</v>
      </c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81"/>
    </row>
    <row r="104" spans="1:38" ht="25.05" customHeight="1">
      <c r="B104" s="74"/>
      <c r="C104" s="75"/>
      <c r="D104" s="76"/>
      <c r="E104" s="19" t="s">
        <v>1428</v>
      </c>
      <c r="F104" s="8" t="s">
        <v>42</v>
      </c>
      <c r="G104" s="53">
        <v>0.24722222222222223</v>
      </c>
      <c r="H104" s="53">
        <v>0.25277777777777777</v>
      </c>
      <c r="I104" s="10">
        <f t="shared" si="23"/>
        <v>5.5555555555555358E-3</v>
      </c>
      <c r="J104" s="54">
        <v>4</v>
      </c>
      <c r="K104" s="54">
        <v>61.83</v>
      </c>
      <c r="L104" s="16">
        <f t="shared" si="25"/>
        <v>115.93125000000042</v>
      </c>
      <c r="M104" s="54"/>
      <c r="N104" s="54"/>
      <c r="O104" s="54"/>
      <c r="P104" s="54"/>
      <c r="Q104" s="54"/>
      <c r="R104" s="80"/>
      <c r="S104" s="80"/>
      <c r="T104" s="54"/>
      <c r="U104" s="54"/>
      <c r="V104" s="80"/>
      <c r="W104" s="80">
        <v>2</v>
      </c>
      <c r="X104" s="54"/>
      <c r="Y104" s="54">
        <v>8</v>
      </c>
      <c r="Z104" s="54"/>
      <c r="AA104" s="54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81"/>
    </row>
    <row r="105" spans="1:38" ht="25.05" customHeight="1">
      <c r="B105" s="74"/>
      <c r="C105" s="75"/>
      <c r="D105" s="76"/>
      <c r="E105" s="19" t="s">
        <v>1429</v>
      </c>
      <c r="F105" s="8" t="s">
        <v>42</v>
      </c>
      <c r="G105" s="53">
        <v>0.25624999999999998</v>
      </c>
      <c r="H105" s="53">
        <v>0.26180555555555557</v>
      </c>
      <c r="I105" s="10">
        <f t="shared" si="23"/>
        <v>5.5555555555555913E-3</v>
      </c>
      <c r="J105" s="54">
        <v>4</v>
      </c>
      <c r="K105" s="54">
        <v>85.52</v>
      </c>
      <c r="L105" s="16">
        <f t="shared" si="25"/>
        <v>160.34999999999897</v>
      </c>
      <c r="M105" s="54"/>
      <c r="N105" s="54"/>
      <c r="O105" s="54"/>
      <c r="P105" s="54"/>
      <c r="Q105" s="54"/>
      <c r="R105" s="80"/>
      <c r="S105" s="80"/>
      <c r="T105" s="54"/>
      <c r="U105" s="54"/>
      <c r="V105" s="80">
        <v>2</v>
      </c>
      <c r="W105" s="80"/>
      <c r="X105" s="54"/>
      <c r="Y105" s="54"/>
      <c r="Z105" s="54"/>
      <c r="AA105" s="54">
        <v>8</v>
      </c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81"/>
    </row>
    <row r="106" spans="1:38" ht="25.05" customHeight="1">
      <c r="B106" s="74"/>
      <c r="C106" s="75"/>
      <c r="D106" s="76"/>
      <c r="E106" s="19" t="s">
        <v>1430</v>
      </c>
      <c r="F106" s="8" t="s">
        <v>42</v>
      </c>
      <c r="G106" s="53">
        <v>0.2590277777777778</v>
      </c>
      <c r="H106" s="53">
        <v>0.26458333333333334</v>
      </c>
      <c r="I106" s="10">
        <f t="shared" si="23"/>
        <v>5.5555555555555358E-3</v>
      </c>
      <c r="J106" s="54">
        <v>4</v>
      </c>
      <c r="K106" s="54">
        <v>54.58</v>
      </c>
      <c r="L106" s="16">
        <f t="shared" si="25"/>
        <v>102.33750000000036</v>
      </c>
      <c r="M106" s="54"/>
      <c r="N106" s="54"/>
      <c r="O106" s="54"/>
      <c r="P106" s="54"/>
      <c r="Q106" s="54"/>
      <c r="R106" s="80"/>
      <c r="S106" s="80"/>
      <c r="T106" s="54"/>
      <c r="U106" s="54"/>
      <c r="V106" s="80"/>
      <c r="W106" s="80">
        <v>2</v>
      </c>
      <c r="X106" s="54"/>
      <c r="Y106" s="54">
        <v>8</v>
      </c>
      <c r="Z106" s="54"/>
      <c r="AA106" s="54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81"/>
    </row>
    <row r="107" spans="1:38" ht="25.05" customHeight="1">
      <c r="B107" s="74"/>
      <c r="C107" s="75"/>
      <c r="D107" s="76"/>
      <c r="E107" s="77"/>
      <c r="F107" s="78"/>
      <c r="G107" s="53"/>
      <c r="H107" s="53"/>
      <c r="I107" s="79"/>
      <c r="J107" s="54"/>
      <c r="K107" s="54"/>
      <c r="L107" s="16"/>
      <c r="M107" s="54"/>
      <c r="N107" s="54"/>
      <c r="O107" s="54"/>
      <c r="P107" s="54"/>
      <c r="Q107" s="54"/>
      <c r="R107" s="80"/>
      <c r="S107" s="80"/>
      <c r="T107" s="54"/>
      <c r="U107" s="54"/>
      <c r="V107" s="80"/>
      <c r="W107" s="80"/>
      <c r="X107" s="54"/>
      <c r="Y107" s="54"/>
      <c r="Z107" s="54"/>
      <c r="AA107" s="54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81"/>
    </row>
    <row r="108" spans="1:38" s="28" customFormat="1" ht="25.5" customHeight="1">
      <c r="A108" s="2"/>
      <c r="B108" s="32"/>
      <c r="C108" s="33"/>
      <c r="D108" s="34"/>
      <c r="E108" s="35"/>
      <c r="F108" s="35"/>
      <c r="G108" s="36"/>
      <c r="H108" s="36"/>
      <c r="I108" s="37"/>
      <c r="J108" s="38"/>
      <c r="K108" s="38">
        <f t="shared" ref="K108:AL108" si="26">SUM(K23:K98)</f>
        <v>5491.9920000000011</v>
      </c>
      <c r="L108" s="39">
        <f t="shared" si="26"/>
        <v>3522.6061408351015</v>
      </c>
      <c r="M108" s="38">
        <f t="shared" si="26"/>
        <v>0</v>
      </c>
      <c r="N108" s="38">
        <f t="shared" si="26"/>
        <v>0</v>
      </c>
      <c r="O108" s="38">
        <f t="shared" si="26"/>
        <v>0</v>
      </c>
      <c r="P108" s="38">
        <f t="shared" si="26"/>
        <v>0</v>
      </c>
      <c r="Q108" s="38">
        <f t="shared" si="26"/>
        <v>0</v>
      </c>
      <c r="R108" s="38">
        <f t="shared" si="26"/>
        <v>0</v>
      </c>
      <c r="S108" s="38">
        <f t="shared" si="26"/>
        <v>0</v>
      </c>
      <c r="T108" s="38">
        <f t="shared" si="26"/>
        <v>0</v>
      </c>
      <c r="U108" s="38">
        <f t="shared" si="26"/>
        <v>0</v>
      </c>
      <c r="V108" s="38">
        <f t="shared" si="26"/>
        <v>54</v>
      </c>
      <c r="W108" s="38">
        <f t="shared" si="26"/>
        <v>54</v>
      </c>
      <c r="X108" s="38">
        <f t="shared" si="26"/>
        <v>281.33333333333337</v>
      </c>
      <c r="Y108" s="38">
        <f t="shared" si="26"/>
        <v>225.33333333333334</v>
      </c>
      <c r="Z108" s="38">
        <f t="shared" si="26"/>
        <v>333.33333333333331</v>
      </c>
      <c r="AA108" s="38">
        <f t="shared" si="26"/>
        <v>330</v>
      </c>
      <c r="AB108" s="38">
        <f t="shared" si="26"/>
        <v>165</v>
      </c>
      <c r="AC108" s="38">
        <f t="shared" si="26"/>
        <v>192</v>
      </c>
      <c r="AD108" s="38">
        <f t="shared" si="26"/>
        <v>334</v>
      </c>
      <c r="AE108" s="38">
        <f t="shared" si="26"/>
        <v>0</v>
      </c>
      <c r="AF108" s="38">
        <f t="shared" si="26"/>
        <v>0</v>
      </c>
      <c r="AG108" s="38">
        <f t="shared" si="26"/>
        <v>122.75</v>
      </c>
      <c r="AH108" s="38">
        <f t="shared" si="26"/>
        <v>122.75</v>
      </c>
      <c r="AI108" s="38">
        <f t="shared" si="26"/>
        <v>122.75</v>
      </c>
      <c r="AJ108" s="38">
        <f t="shared" si="26"/>
        <v>122.75</v>
      </c>
      <c r="AK108" s="38">
        <f t="shared" si="26"/>
        <v>0</v>
      </c>
      <c r="AL108" s="38">
        <f t="shared" si="26"/>
        <v>0</v>
      </c>
    </row>
    <row r="109" spans="1:38" ht="38.1" customHeight="1">
      <c r="B109" s="40" t="s">
        <v>45</v>
      </c>
      <c r="C109" s="41"/>
      <c r="D109" s="41"/>
      <c r="E109" s="41"/>
      <c r="F109" s="41"/>
      <c r="G109" s="41"/>
      <c r="H109" s="41"/>
      <c r="I109" s="41"/>
      <c r="J109" s="41"/>
      <c r="K109" s="42">
        <f>K19+K22+K108</f>
        <v>6335.9220000000014</v>
      </c>
      <c r="L109" s="42">
        <f>L19+L22+L108</f>
        <v>4167.6830465842204</v>
      </c>
      <c r="M109" s="43">
        <f t="shared" ref="M109:AL109" si="27">(M19+M22+M108)/(480-15-30)</f>
        <v>0.52873563218390807</v>
      </c>
      <c r="N109" s="43">
        <f t="shared" si="27"/>
        <v>0</v>
      </c>
      <c r="O109" s="43">
        <f t="shared" si="27"/>
        <v>0.42528735632183906</v>
      </c>
      <c r="P109" s="43">
        <f t="shared" si="27"/>
        <v>0</v>
      </c>
      <c r="Q109" s="43">
        <f t="shared" si="27"/>
        <v>0</v>
      </c>
      <c r="R109" s="43">
        <f t="shared" si="27"/>
        <v>0</v>
      </c>
      <c r="S109" s="43">
        <f t="shared" si="27"/>
        <v>0.56091954022988511</v>
      </c>
      <c r="T109" s="43">
        <f t="shared" si="27"/>
        <v>0</v>
      </c>
      <c r="U109" s="43">
        <f t="shared" si="27"/>
        <v>0</v>
      </c>
      <c r="V109" s="43">
        <f t="shared" si="27"/>
        <v>0.12413793103448276</v>
      </c>
      <c r="W109" s="43">
        <f t="shared" si="27"/>
        <v>0.12413793103448276</v>
      </c>
      <c r="X109" s="43">
        <f t="shared" si="27"/>
        <v>0.64674329501915717</v>
      </c>
      <c r="Y109" s="43">
        <f t="shared" si="27"/>
        <v>0.51800766283524902</v>
      </c>
      <c r="Z109" s="43">
        <f t="shared" si="27"/>
        <v>0.76628352490421447</v>
      </c>
      <c r="AA109" s="43">
        <f t="shared" si="27"/>
        <v>0.75862068965517238</v>
      </c>
      <c r="AB109" s="43">
        <f t="shared" si="27"/>
        <v>0.37931034482758619</v>
      </c>
      <c r="AC109" s="43">
        <f t="shared" si="27"/>
        <v>0.44137931034482758</v>
      </c>
      <c r="AD109" s="43">
        <f t="shared" si="27"/>
        <v>0.76781609195402301</v>
      </c>
      <c r="AE109" s="43">
        <f t="shared" si="27"/>
        <v>0</v>
      </c>
      <c r="AF109" s="43">
        <f t="shared" si="27"/>
        <v>0</v>
      </c>
      <c r="AG109" s="43">
        <f t="shared" si="27"/>
        <v>0.28218390804597704</v>
      </c>
      <c r="AH109" s="43">
        <f t="shared" si="27"/>
        <v>0.28218390804597704</v>
      </c>
      <c r="AI109" s="43">
        <f t="shared" si="27"/>
        <v>0.28218390804597704</v>
      </c>
      <c r="AJ109" s="43">
        <f t="shared" si="27"/>
        <v>0.28218390804597704</v>
      </c>
      <c r="AK109" s="43">
        <f t="shared" si="27"/>
        <v>0</v>
      </c>
      <c r="AL109" s="43">
        <f t="shared" si="27"/>
        <v>0</v>
      </c>
    </row>
    <row r="110" spans="1:38" ht="25.05" customHeight="1">
      <c r="B110" s="44"/>
      <c r="C110" s="44"/>
      <c r="D110" s="44"/>
      <c r="E110" s="45"/>
      <c r="F110" s="45"/>
      <c r="G110" s="45"/>
      <c r="H110" s="45"/>
      <c r="I110" s="46"/>
      <c r="J110" s="46"/>
      <c r="K110" s="45"/>
      <c r="L110" s="47"/>
      <c r="M110" s="47"/>
      <c r="N110" s="47"/>
      <c r="O110" s="47"/>
      <c r="P110" s="47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 spans="1:38" ht="25.05" customHeight="1">
      <c r="B111" s="44"/>
      <c r="C111" s="44"/>
      <c r="D111" s="44"/>
      <c r="E111" s="45"/>
      <c r="F111" s="45"/>
      <c r="G111" s="45"/>
      <c r="H111" s="45"/>
      <c r="I111" s="48" t="s">
        <v>46</v>
      </c>
      <c r="J111" s="46"/>
      <c r="K111" s="45"/>
      <c r="L111" s="47"/>
      <c r="M111" s="47"/>
      <c r="N111" s="47"/>
      <c r="O111" s="47"/>
      <c r="P111" s="47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spans="1:38" ht="25.05" customHeight="1">
      <c r="B112" s="44"/>
      <c r="C112" s="44"/>
      <c r="D112" s="44"/>
      <c r="E112" s="45"/>
      <c r="F112" s="45"/>
      <c r="G112" s="45"/>
      <c r="H112" s="45"/>
      <c r="I112" s="49" t="s">
        <v>47</v>
      </c>
      <c r="J112" s="9">
        <v>0</v>
      </c>
      <c r="K112" s="11">
        <v>6</v>
      </c>
      <c r="L112" s="11" t="s">
        <v>48</v>
      </c>
      <c r="M112" s="47"/>
      <c r="N112" s="14">
        <v>2</v>
      </c>
      <c r="O112" s="14"/>
      <c r="P112" s="14"/>
      <c r="Q112" s="50" t="s">
        <v>49</v>
      </c>
      <c r="R112" s="51"/>
      <c r="S112" s="45"/>
      <c r="T112" s="45"/>
      <c r="U112" s="45"/>
      <c r="V112" s="45"/>
      <c r="W112" s="45"/>
      <c r="X112" s="45"/>
      <c r="Y112" s="45"/>
      <c r="Z112" s="45"/>
      <c r="AA112" s="45"/>
      <c r="AC112" s="45"/>
      <c r="AD112" s="45"/>
      <c r="AE112" s="45"/>
      <c r="AF112" s="45"/>
      <c r="AG112" s="45"/>
      <c r="AH112" s="45"/>
    </row>
    <row r="113" spans="2:34" ht="25.05" customHeight="1">
      <c r="B113" s="44"/>
      <c r="C113" s="44"/>
      <c r="D113" s="44"/>
      <c r="E113" s="45"/>
      <c r="F113" s="45"/>
      <c r="G113" s="45"/>
      <c r="H113" s="45"/>
      <c r="I113" s="49" t="s">
        <v>50</v>
      </c>
      <c r="J113" s="9">
        <v>0</v>
      </c>
      <c r="K113" s="11">
        <v>0</v>
      </c>
      <c r="L113" s="11" t="s">
        <v>48</v>
      </c>
      <c r="M113" s="47"/>
      <c r="N113" s="14">
        <v>0</v>
      </c>
      <c r="O113" s="14"/>
      <c r="P113" s="14"/>
      <c r="Q113" s="50" t="s">
        <v>51</v>
      </c>
      <c r="R113" s="51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</row>
    <row r="114" spans="2:34" ht="25.05" customHeight="1">
      <c r="B114" s="44"/>
      <c r="C114" s="44"/>
      <c r="D114" s="44"/>
      <c r="E114" s="45"/>
      <c r="F114" s="45"/>
      <c r="G114" s="45"/>
      <c r="H114" s="45"/>
      <c r="I114" s="49" t="s">
        <v>52</v>
      </c>
      <c r="J114" s="9">
        <v>0</v>
      </c>
      <c r="K114" s="11">
        <v>12</v>
      </c>
      <c r="L114" s="11" t="s">
        <v>48</v>
      </c>
      <c r="M114" s="47"/>
      <c r="N114" s="14">
        <v>0</v>
      </c>
      <c r="O114" s="14"/>
      <c r="P114" s="14"/>
      <c r="Q114" s="50" t="s">
        <v>53</v>
      </c>
      <c r="R114" s="51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</row>
    <row r="115" spans="2:34" ht="25.05" customHeight="1">
      <c r="B115" s="44"/>
      <c r="C115" s="44"/>
      <c r="D115" s="44"/>
      <c r="E115" s="45"/>
      <c r="F115" s="45"/>
      <c r="G115" s="45"/>
      <c r="H115" s="45"/>
      <c r="I115" s="52" t="s">
        <v>54</v>
      </c>
      <c r="J115" s="53">
        <v>0</v>
      </c>
      <c r="K115" s="11">
        <v>2</v>
      </c>
      <c r="L115" s="54" t="s">
        <v>48</v>
      </c>
      <c r="M115" s="47"/>
      <c r="N115" s="14">
        <v>3</v>
      </c>
      <c r="O115" s="14"/>
      <c r="P115" s="14"/>
      <c r="Q115" s="50" t="s">
        <v>55</v>
      </c>
      <c r="R115" s="51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</row>
    <row r="116" spans="2:34" ht="25.05" customHeight="1">
      <c r="B116" s="44"/>
      <c r="C116" s="44"/>
      <c r="D116" s="44"/>
      <c r="E116" s="45"/>
      <c r="F116" s="45"/>
      <c r="G116" s="45"/>
      <c r="H116" s="45"/>
      <c r="I116" s="49" t="s">
        <v>56</v>
      </c>
      <c r="J116" s="9">
        <v>0</v>
      </c>
      <c r="K116" s="11">
        <v>20</v>
      </c>
      <c r="L116" s="11" t="s">
        <v>48</v>
      </c>
      <c r="M116" s="47"/>
      <c r="N116"/>
      <c r="O116"/>
      <c r="P116"/>
      <c r="Q116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</row>
    <row r="117" spans="2:34" ht="25.05" customHeight="1">
      <c r="B117" s="44"/>
      <c r="C117" s="44"/>
      <c r="D117" s="44"/>
      <c r="E117" s="45"/>
      <c r="F117" s="45"/>
      <c r="G117" s="45"/>
      <c r="H117" s="45"/>
      <c r="M117" s="47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</row>
    <row r="118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2948D-4FBB-4400-8B8D-802C1061C708}">
  <sheetPr>
    <pageSetUpPr fitToPage="1"/>
  </sheetPr>
  <dimension ref="A2:AL153"/>
  <sheetViews>
    <sheetView zoomScale="60" zoomScaleNormal="6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80.44140625" style="2" customWidth="1"/>
    <col min="5" max="5" width="56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2" spans="2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2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2:38" ht="25.05" customHeight="1">
      <c r="B4" s="5" t="s">
        <v>1431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8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2:38" ht="25.05" customHeight="1">
      <c r="B5" s="13"/>
      <c r="C5" s="14"/>
      <c r="D5" s="6" t="s">
        <v>1432</v>
      </c>
      <c r="E5" s="15" t="s">
        <v>1433</v>
      </c>
      <c r="F5" s="55" t="s">
        <v>1434</v>
      </c>
      <c r="G5" s="9">
        <v>0.29166666666666669</v>
      </c>
      <c r="H5" s="9">
        <v>0.30208333333333331</v>
      </c>
      <c r="I5" s="10">
        <f t="shared" si="0"/>
        <v>1.041666666666663E-2</v>
      </c>
      <c r="J5" s="11">
        <v>1</v>
      </c>
      <c r="K5" s="27">
        <v>10.26</v>
      </c>
      <c r="L5" s="16">
        <f t="shared" ref="L5:L28" si="1">IFERROR(((K5/(J5*I5)/24)),"0")</f>
        <v>41.040000000000141</v>
      </c>
      <c r="M5" s="11">
        <v>15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ht="25.5" customHeight="1">
      <c r="B6" s="13"/>
      <c r="C6" s="14"/>
      <c r="D6" s="6"/>
      <c r="E6" s="15" t="s">
        <v>1435</v>
      </c>
      <c r="F6" s="55" t="s">
        <v>1116</v>
      </c>
      <c r="G6" s="9">
        <v>0.3034722222222222</v>
      </c>
      <c r="H6" s="9">
        <v>0.3298611111111111</v>
      </c>
      <c r="I6" s="10">
        <f t="shared" si="0"/>
        <v>2.6388888888888906E-2</v>
      </c>
      <c r="J6" s="11">
        <v>1</v>
      </c>
      <c r="K6" s="27">
        <v>52.2</v>
      </c>
      <c r="L6" s="16">
        <f t="shared" si="1"/>
        <v>82.421052631578902</v>
      </c>
      <c r="M6" s="11">
        <v>28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2:38" ht="25.05" customHeight="1">
      <c r="B7" s="13"/>
      <c r="C7" s="14"/>
      <c r="D7" s="114"/>
      <c r="E7" s="15" t="s">
        <v>1436</v>
      </c>
      <c r="F7" s="55" t="s">
        <v>1437</v>
      </c>
      <c r="G7" s="9">
        <v>0.29166666666666669</v>
      </c>
      <c r="H7" s="9">
        <v>0.3263888888888889</v>
      </c>
      <c r="I7" s="10">
        <f t="shared" si="0"/>
        <v>3.472222222222221E-2</v>
      </c>
      <c r="J7" s="11">
        <v>6</v>
      </c>
      <c r="K7" s="27">
        <v>86.4</v>
      </c>
      <c r="L7" s="16">
        <f t="shared" si="1"/>
        <v>17.280000000000008</v>
      </c>
      <c r="M7" s="11"/>
      <c r="N7" s="11"/>
      <c r="O7" s="11"/>
      <c r="P7" s="11"/>
      <c r="Q7" s="11"/>
      <c r="R7" s="12"/>
      <c r="S7" s="12">
        <v>38</v>
      </c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2:38" ht="25.05" customHeight="1">
      <c r="B8" s="13"/>
      <c r="C8" s="14"/>
      <c r="D8" s="30" t="s">
        <v>1438</v>
      </c>
      <c r="E8" s="15" t="s">
        <v>1439</v>
      </c>
      <c r="F8" s="130" t="s">
        <v>42</v>
      </c>
      <c r="G8" s="9">
        <v>0.29166666666666669</v>
      </c>
      <c r="H8" s="9">
        <v>0.31944444444444442</v>
      </c>
      <c r="I8" s="10">
        <f t="shared" si="0"/>
        <v>2.7777777777777735E-2</v>
      </c>
      <c r="J8" s="11">
        <v>3</v>
      </c>
      <c r="K8" s="27">
        <v>22.19</v>
      </c>
      <c r="L8" s="16">
        <f t="shared" si="1"/>
        <v>11.095000000000018</v>
      </c>
      <c r="M8" s="11"/>
      <c r="N8" s="11"/>
      <c r="O8" s="11"/>
      <c r="P8" s="11"/>
      <c r="Q8" s="11"/>
      <c r="R8" s="12"/>
      <c r="S8" s="12">
        <v>40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2:38" ht="24.75" customHeight="1">
      <c r="B9" s="13"/>
      <c r="C9" s="14"/>
      <c r="D9" s="6"/>
      <c r="E9" s="15" t="s">
        <v>1321</v>
      </c>
      <c r="F9" s="130" t="s">
        <v>42</v>
      </c>
      <c r="G9" s="9">
        <v>0.29166666666666669</v>
      </c>
      <c r="H9" s="9">
        <v>0.3125</v>
      </c>
      <c r="I9" s="10">
        <f t="shared" si="0"/>
        <v>2.0833333333333315E-2</v>
      </c>
      <c r="J9" s="11">
        <v>2</v>
      </c>
      <c r="K9" s="27">
        <v>88</v>
      </c>
      <c r="L9" s="16">
        <f t="shared" si="1"/>
        <v>88.000000000000071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2:38" ht="24.75" customHeight="1">
      <c r="B10" s="13"/>
      <c r="C10" s="14"/>
      <c r="D10" s="6"/>
      <c r="E10" s="15" t="s">
        <v>1322</v>
      </c>
      <c r="F10" s="130" t="s">
        <v>42</v>
      </c>
      <c r="G10" s="9">
        <v>0.29166666666666669</v>
      </c>
      <c r="H10" s="9">
        <v>0.33333333333333331</v>
      </c>
      <c r="I10" s="10">
        <f t="shared" ref="I10:I25" si="2">H10-G10</f>
        <v>4.166666666666663E-2</v>
      </c>
      <c r="J10" s="11">
        <v>2</v>
      </c>
      <c r="K10" s="27">
        <v>258.56</v>
      </c>
      <c r="L10" s="16">
        <f t="shared" ref="L10:L25" si="3">IFERROR(((K10/(J10*I10)/24)),"0")</f>
        <v>129.28000000000011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2:38" ht="24.75" customHeight="1">
      <c r="B11" s="13"/>
      <c r="C11" s="14"/>
      <c r="D11" s="6"/>
      <c r="E11" s="15" t="s">
        <v>1440</v>
      </c>
      <c r="F11" s="130" t="s">
        <v>42</v>
      </c>
      <c r="G11" s="9">
        <v>0.29166666666666669</v>
      </c>
      <c r="H11" s="9">
        <v>0.3125</v>
      </c>
      <c r="I11" s="10">
        <f t="shared" si="2"/>
        <v>2.0833333333333315E-2</v>
      </c>
      <c r="J11" s="11">
        <v>2</v>
      </c>
      <c r="K11" s="27">
        <v>56.49</v>
      </c>
      <c r="L11" s="16">
        <f t="shared" si="3"/>
        <v>56.490000000000059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2:38" ht="24.75" customHeight="1">
      <c r="B12" s="13"/>
      <c r="C12" s="14"/>
      <c r="D12" s="6"/>
      <c r="E12" s="15" t="s">
        <v>1441</v>
      </c>
      <c r="F12" s="130" t="s">
        <v>42</v>
      </c>
      <c r="G12" s="9">
        <v>0.31388888888888888</v>
      </c>
      <c r="H12" s="9">
        <v>0.32083333333333336</v>
      </c>
      <c r="I12" s="10">
        <f t="shared" si="2"/>
        <v>6.9444444444444753E-3</v>
      </c>
      <c r="J12" s="11">
        <v>2</v>
      </c>
      <c r="K12" s="27">
        <v>12</v>
      </c>
      <c r="L12" s="16">
        <f t="shared" si="3"/>
        <v>35.999999999999837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2:38" ht="24.75" customHeight="1">
      <c r="B13" s="13"/>
      <c r="C13" s="14"/>
      <c r="D13" s="6"/>
      <c r="E13" s="15" t="s">
        <v>1442</v>
      </c>
      <c r="F13" s="130" t="s">
        <v>42</v>
      </c>
      <c r="G13" s="9">
        <v>0.34375</v>
      </c>
      <c r="H13" s="9">
        <v>0.375</v>
      </c>
      <c r="I13" s="10">
        <f t="shared" si="2"/>
        <v>3.125E-2</v>
      </c>
      <c r="J13" s="11">
        <v>9</v>
      </c>
      <c r="K13" s="27">
        <v>59</v>
      </c>
      <c r="L13" s="16">
        <f t="shared" si="3"/>
        <v>8.7407407407407405</v>
      </c>
      <c r="M13" s="11"/>
      <c r="N13" s="11"/>
      <c r="O13" s="11"/>
      <c r="P13" s="11"/>
      <c r="Q13" s="11"/>
      <c r="R13" s="12"/>
      <c r="S13" s="12">
        <v>45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2:38" ht="24.75" customHeight="1">
      <c r="B14" s="13"/>
      <c r="C14" s="14"/>
      <c r="D14" s="6"/>
      <c r="E14" s="15" t="s">
        <v>1443</v>
      </c>
      <c r="F14" s="130" t="s">
        <v>42</v>
      </c>
      <c r="G14" s="9">
        <v>0.375</v>
      </c>
      <c r="H14" s="9">
        <v>0.41666666666666669</v>
      </c>
      <c r="I14" s="10">
        <f t="shared" si="2"/>
        <v>4.1666666666666685E-2</v>
      </c>
      <c r="J14" s="11">
        <v>9</v>
      </c>
      <c r="K14" s="27" t="s">
        <v>42</v>
      </c>
      <c r="L14" s="16" t="str">
        <f t="shared" si="3"/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2:38" ht="24.75" customHeight="1">
      <c r="B15" s="13"/>
      <c r="C15" s="14"/>
      <c r="D15" s="6" t="s">
        <v>1004</v>
      </c>
      <c r="E15" s="15" t="s">
        <v>95</v>
      </c>
      <c r="F15" s="130" t="s">
        <v>42</v>
      </c>
      <c r="G15" s="9">
        <v>0.41666666666666669</v>
      </c>
      <c r="H15" s="9">
        <v>0.47569444444444442</v>
      </c>
      <c r="I15" s="10">
        <f t="shared" si="2"/>
        <v>5.9027777777777735E-2</v>
      </c>
      <c r="J15" s="11">
        <v>10</v>
      </c>
      <c r="K15" s="27">
        <v>219</v>
      </c>
      <c r="L15" s="16">
        <f t="shared" si="3"/>
        <v>15.458823529411776</v>
      </c>
      <c r="M15" s="11"/>
      <c r="N15" s="11"/>
      <c r="O15" s="11"/>
      <c r="P15" s="11">
        <v>85</v>
      </c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2:38" ht="24.75" customHeight="1">
      <c r="B16" s="13"/>
      <c r="C16" s="14"/>
      <c r="D16" s="6"/>
      <c r="E16" s="15" t="s">
        <v>1322</v>
      </c>
      <c r="F16" s="130"/>
      <c r="G16" s="9">
        <v>0.41666666666666669</v>
      </c>
      <c r="H16" s="9">
        <v>0.47222222222222221</v>
      </c>
      <c r="I16" s="10">
        <f t="shared" si="2"/>
        <v>5.5555555555555525E-2</v>
      </c>
      <c r="J16" s="11">
        <v>2</v>
      </c>
      <c r="K16" s="27">
        <v>323.2</v>
      </c>
      <c r="L16" s="16">
        <f t="shared" si="3"/>
        <v>121.20000000000006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4.75" customHeight="1">
      <c r="B17" s="13"/>
      <c r="C17" s="14"/>
      <c r="D17" s="6" t="s">
        <v>439</v>
      </c>
      <c r="E17" s="15" t="s">
        <v>1439</v>
      </c>
      <c r="F17" s="130"/>
      <c r="G17" s="9">
        <v>0.4513888888888889</v>
      </c>
      <c r="H17" s="9">
        <v>0.47916666666666669</v>
      </c>
      <c r="I17" s="10">
        <f t="shared" si="2"/>
        <v>2.777777777777779E-2</v>
      </c>
      <c r="J17" s="11">
        <v>4</v>
      </c>
      <c r="K17" s="27">
        <v>50.32</v>
      </c>
      <c r="L17" s="16">
        <f t="shared" si="3"/>
        <v>18.869999999999994</v>
      </c>
      <c r="M17" s="11"/>
      <c r="N17" s="11"/>
      <c r="O17" s="11">
        <v>40</v>
      </c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4.75" customHeight="1">
      <c r="B18" s="13"/>
      <c r="C18" s="14"/>
      <c r="D18" s="6"/>
      <c r="E18" s="15" t="s">
        <v>96</v>
      </c>
      <c r="F18" s="130" t="s">
        <v>42</v>
      </c>
      <c r="G18" s="9">
        <v>0.47916666666666669</v>
      </c>
      <c r="H18" s="9">
        <v>0.49305555555555558</v>
      </c>
      <c r="I18" s="10">
        <f t="shared" si="2"/>
        <v>1.3888888888888895E-2</v>
      </c>
      <c r="J18" s="11">
        <v>14</v>
      </c>
      <c r="K18" s="27" t="s">
        <v>42</v>
      </c>
      <c r="L18" s="16" t="str">
        <f t="shared" si="3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4.75" customHeight="1">
      <c r="B19" s="13"/>
      <c r="C19" s="14"/>
      <c r="D19" s="6" t="s">
        <v>439</v>
      </c>
      <c r="E19" s="15" t="s">
        <v>1439</v>
      </c>
      <c r="F19" s="130"/>
      <c r="G19" s="9">
        <v>0.53472222222222221</v>
      </c>
      <c r="H19" s="9">
        <v>0.58333333333333337</v>
      </c>
      <c r="I19" s="10">
        <f t="shared" si="2"/>
        <v>4.861111111111116E-2</v>
      </c>
      <c r="J19" s="11">
        <v>8</v>
      </c>
      <c r="K19" s="27">
        <v>62.9</v>
      </c>
      <c r="L19" s="16">
        <f t="shared" si="3"/>
        <v>6.7392857142857068</v>
      </c>
      <c r="M19" s="11"/>
      <c r="N19" s="11"/>
      <c r="O19" s="11">
        <v>70</v>
      </c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4.75" customHeight="1">
      <c r="B20" s="13"/>
      <c r="C20" s="14"/>
      <c r="D20" s="6" t="s">
        <v>1004</v>
      </c>
      <c r="E20" s="15" t="s">
        <v>97</v>
      </c>
      <c r="F20" s="130"/>
      <c r="G20" s="9">
        <v>0.53472222222222221</v>
      </c>
      <c r="H20" s="9">
        <v>0.59722222222222221</v>
      </c>
      <c r="I20" s="10">
        <f t="shared" si="2"/>
        <v>6.25E-2</v>
      </c>
      <c r="J20" s="11">
        <v>1</v>
      </c>
      <c r="K20" s="27">
        <v>190</v>
      </c>
      <c r="L20" s="16">
        <f t="shared" si="3"/>
        <v>126.66666666666667</v>
      </c>
      <c r="M20" s="11"/>
      <c r="N20" s="11"/>
      <c r="O20" s="11"/>
      <c r="P20" s="11"/>
      <c r="Q20" s="11"/>
      <c r="R20" s="12">
        <v>90</v>
      </c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4.75" customHeight="1">
      <c r="B21" s="13"/>
      <c r="C21" s="14"/>
      <c r="D21" s="6" t="s">
        <v>439</v>
      </c>
      <c r="E21" s="15" t="s">
        <v>309</v>
      </c>
      <c r="F21" s="130" t="s">
        <v>310</v>
      </c>
      <c r="G21" s="9">
        <v>0.58680555555555558</v>
      </c>
      <c r="H21" s="9">
        <v>0.625</v>
      </c>
      <c r="I21" s="10">
        <f t="shared" si="2"/>
        <v>3.819444444444442E-2</v>
      </c>
      <c r="J21" s="11">
        <v>10</v>
      </c>
      <c r="K21" s="27">
        <v>220.5</v>
      </c>
      <c r="L21" s="16">
        <f t="shared" si="3"/>
        <v>24.054545454545472</v>
      </c>
      <c r="M21" s="11"/>
      <c r="N21" s="11"/>
      <c r="O21" s="11"/>
      <c r="P21" s="11"/>
      <c r="Q21" s="11"/>
      <c r="R21" s="12"/>
      <c r="S21" s="12">
        <v>55</v>
      </c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4.75" customHeight="1">
      <c r="B22" s="13"/>
      <c r="C22" s="14"/>
      <c r="D22" s="6" t="s">
        <v>1167</v>
      </c>
      <c r="E22" s="18" t="s">
        <v>1318</v>
      </c>
      <c r="F22" s="130"/>
      <c r="G22" s="9">
        <v>0.53472222222222221</v>
      </c>
      <c r="H22" s="9">
        <v>0.54861111111111116</v>
      </c>
      <c r="I22" s="10">
        <f t="shared" si="2"/>
        <v>1.3888888888888951E-2</v>
      </c>
      <c r="J22" s="11">
        <v>2</v>
      </c>
      <c r="K22" s="27">
        <v>6</v>
      </c>
      <c r="L22" s="16">
        <f t="shared" si="3"/>
        <v>8.9999999999999591</v>
      </c>
      <c r="M22" s="11"/>
      <c r="N22" s="11"/>
      <c r="O22" s="11"/>
      <c r="P22" s="11"/>
      <c r="Q22" s="11"/>
      <c r="R22" s="12"/>
      <c r="S22" s="12">
        <v>20</v>
      </c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4.75" customHeight="1">
      <c r="B23" s="13"/>
      <c r="C23" s="14"/>
      <c r="D23" s="6"/>
      <c r="E23" s="15" t="s">
        <v>1319</v>
      </c>
      <c r="F23" s="130" t="s">
        <v>42</v>
      </c>
      <c r="G23" s="9">
        <v>0.55000000000000004</v>
      </c>
      <c r="H23" s="9">
        <v>0.5708333333333333</v>
      </c>
      <c r="I23" s="10">
        <f t="shared" si="2"/>
        <v>2.0833333333333259E-2</v>
      </c>
      <c r="J23" s="11">
        <v>2</v>
      </c>
      <c r="K23" s="27">
        <v>4</v>
      </c>
      <c r="L23" s="16">
        <f t="shared" si="3"/>
        <v>4.0000000000000142</v>
      </c>
      <c r="M23" s="11"/>
      <c r="N23" s="11"/>
      <c r="O23" s="11"/>
      <c r="P23" s="11"/>
      <c r="Q23" s="11"/>
      <c r="R23" s="12"/>
      <c r="S23" s="12">
        <v>30</v>
      </c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4.75" customHeight="1">
      <c r="B24" s="13"/>
      <c r="C24" s="14"/>
      <c r="D24" s="6"/>
      <c r="E24" s="15" t="s">
        <v>1320</v>
      </c>
      <c r="F24" s="130" t="s">
        <v>42</v>
      </c>
      <c r="G24" s="9">
        <v>0.57222222222222219</v>
      </c>
      <c r="H24" s="9">
        <v>0.58333333333333337</v>
      </c>
      <c r="I24" s="10">
        <f t="shared" si="2"/>
        <v>1.1111111111111183E-2</v>
      </c>
      <c r="J24" s="11">
        <v>2</v>
      </c>
      <c r="K24" s="27">
        <v>4</v>
      </c>
      <c r="L24" s="16">
        <f t="shared" si="3"/>
        <v>7.4999999999999512</v>
      </c>
      <c r="M24" s="11"/>
      <c r="N24" s="11"/>
      <c r="O24" s="11"/>
      <c r="P24" s="11"/>
      <c r="Q24" s="11"/>
      <c r="R24" s="12"/>
      <c r="S24" s="12">
        <v>16</v>
      </c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4.75" customHeight="1">
      <c r="B25" s="13"/>
      <c r="C25" s="14"/>
      <c r="D25" s="6" t="s">
        <v>1167</v>
      </c>
      <c r="E25" s="15" t="s">
        <v>1180</v>
      </c>
      <c r="F25" s="130" t="s">
        <v>42</v>
      </c>
      <c r="G25" s="9">
        <v>0.61458333333333337</v>
      </c>
      <c r="H25" s="9">
        <v>0.67361111111111116</v>
      </c>
      <c r="I25" s="10">
        <f t="shared" si="2"/>
        <v>5.902777777777779E-2</v>
      </c>
      <c r="J25" s="11">
        <v>2</v>
      </c>
      <c r="K25" s="27">
        <v>108.22499999999999</v>
      </c>
      <c r="L25" s="16">
        <f t="shared" si="3"/>
        <v>38.197058823529403</v>
      </c>
      <c r="M25" s="11">
        <v>85</v>
      </c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30"/>
      <c r="E26" s="15" t="s">
        <v>1323</v>
      </c>
      <c r="F26" s="130" t="s">
        <v>42</v>
      </c>
      <c r="G26" s="9">
        <v>0.625</v>
      </c>
      <c r="H26" s="9">
        <v>0.63888888888888884</v>
      </c>
      <c r="I26" s="10">
        <f t="shared" si="0"/>
        <v>1.388888888888884E-2</v>
      </c>
      <c r="J26" s="11">
        <v>5</v>
      </c>
      <c r="K26" s="27">
        <v>15.4</v>
      </c>
      <c r="L26" s="16">
        <f t="shared" si="1"/>
        <v>9.2400000000000322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30"/>
      <c r="E27" s="15" t="s">
        <v>96</v>
      </c>
      <c r="F27" s="130" t="s">
        <v>42</v>
      </c>
      <c r="G27" s="9">
        <v>0.64583333333333337</v>
      </c>
      <c r="H27" s="9">
        <v>0.66666666666666663</v>
      </c>
      <c r="I27" s="10">
        <f t="shared" si="0"/>
        <v>2.0833333333333259E-2</v>
      </c>
      <c r="J27" s="11">
        <v>12</v>
      </c>
      <c r="K27" s="11" t="s">
        <v>42</v>
      </c>
      <c r="L27" s="16" t="str">
        <f t="shared" si="1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/>
      <c r="E28" s="15"/>
      <c r="F28" s="8"/>
      <c r="G28" s="9"/>
      <c r="H28" s="9"/>
      <c r="I28" s="10">
        <f t="shared" si="0"/>
        <v>0</v>
      </c>
      <c r="J28" s="11"/>
      <c r="K28" s="11"/>
      <c r="L28" s="16" t="str">
        <f t="shared" si="1"/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s="28" customFormat="1" ht="25.05" customHeight="1">
      <c r="A29" s="2"/>
      <c r="B29" s="21"/>
      <c r="C29" s="22"/>
      <c r="D29" s="23"/>
      <c r="E29" s="24"/>
      <c r="F29" s="24"/>
      <c r="G29" s="25"/>
      <c r="H29" s="25"/>
      <c r="I29" s="26"/>
      <c r="J29" s="27"/>
      <c r="K29" s="27">
        <f t="shared" ref="K29:AL29" si="4">SUM(K4:K27)</f>
        <v>1848.645</v>
      </c>
      <c r="L29" s="39">
        <f t="shared" si="4"/>
        <v>851.27317356075901</v>
      </c>
      <c r="M29" s="27">
        <f t="shared" si="4"/>
        <v>128</v>
      </c>
      <c r="N29" s="27">
        <f t="shared" si="4"/>
        <v>0</v>
      </c>
      <c r="O29" s="27">
        <f t="shared" si="4"/>
        <v>110</v>
      </c>
      <c r="P29" s="27">
        <f t="shared" si="4"/>
        <v>85</v>
      </c>
      <c r="Q29" s="27">
        <f t="shared" si="4"/>
        <v>0</v>
      </c>
      <c r="R29" s="27">
        <f t="shared" si="4"/>
        <v>90</v>
      </c>
      <c r="S29" s="27">
        <f t="shared" si="4"/>
        <v>244</v>
      </c>
      <c r="T29" s="27">
        <f t="shared" si="4"/>
        <v>0</v>
      </c>
      <c r="U29" s="27">
        <f t="shared" si="4"/>
        <v>0</v>
      </c>
      <c r="V29" s="27">
        <f t="shared" si="4"/>
        <v>0</v>
      </c>
      <c r="W29" s="27">
        <f t="shared" si="4"/>
        <v>0</v>
      </c>
      <c r="X29" s="27">
        <f t="shared" si="4"/>
        <v>0</v>
      </c>
      <c r="Y29" s="27">
        <f t="shared" si="4"/>
        <v>0</v>
      </c>
      <c r="Z29" s="27">
        <f t="shared" si="4"/>
        <v>0</v>
      </c>
      <c r="AA29" s="27">
        <f t="shared" si="4"/>
        <v>0</v>
      </c>
      <c r="AB29" s="27">
        <f t="shared" si="4"/>
        <v>0</v>
      </c>
      <c r="AC29" s="27">
        <f t="shared" si="4"/>
        <v>0</v>
      </c>
      <c r="AD29" s="27">
        <f t="shared" si="4"/>
        <v>0</v>
      </c>
      <c r="AE29" s="27">
        <f t="shared" si="4"/>
        <v>0</v>
      </c>
      <c r="AF29" s="27">
        <f t="shared" si="4"/>
        <v>0</v>
      </c>
      <c r="AG29" s="27">
        <f t="shared" si="4"/>
        <v>0</v>
      </c>
      <c r="AH29" s="27">
        <f t="shared" si="4"/>
        <v>0</v>
      </c>
      <c r="AI29" s="27">
        <f t="shared" si="4"/>
        <v>0</v>
      </c>
      <c r="AJ29" s="27">
        <f t="shared" si="4"/>
        <v>0</v>
      </c>
      <c r="AK29" s="27">
        <f t="shared" si="4"/>
        <v>0</v>
      </c>
      <c r="AL29" s="27">
        <f t="shared" si="4"/>
        <v>0</v>
      </c>
    </row>
    <row r="30" spans="1:38" ht="25.05" customHeight="1">
      <c r="B30" s="5" t="s">
        <v>1431</v>
      </c>
      <c r="C30" s="14" t="s">
        <v>43</v>
      </c>
      <c r="D30" s="6"/>
      <c r="E30" s="7" t="s">
        <v>41</v>
      </c>
      <c r="F30" s="8" t="s">
        <v>42</v>
      </c>
      <c r="G30" s="9">
        <v>0.29166666666666669</v>
      </c>
      <c r="H30" s="9">
        <v>0.33333333333333331</v>
      </c>
      <c r="I30" s="10">
        <f t="shared" ref="I30:I35" si="5">H30-G30</f>
        <v>4.166666666666663E-2</v>
      </c>
      <c r="J30" s="11">
        <v>3</v>
      </c>
      <c r="K30" s="62" t="s">
        <v>42</v>
      </c>
      <c r="L30" s="64" t="s">
        <v>42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4"/>
      <c r="D31" s="6" t="s">
        <v>1013</v>
      </c>
      <c r="E31" s="19" t="s">
        <v>1014</v>
      </c>
      <c r="F31" s="8" t="s">
        <v>42</v>
      </c>
      <c r="G31" s="9">
        <v>0.33333333333333331</v>
      </c>
      <c r="H31" s="9">
        <v>0.5</v>
      </c>
      <c r="I31" s="10">
        <f t="shared" si="5"/>
        <v>0.16666666666666669</v>
      </c>
      <c r="J31" s="11">
        <v>12</v>
      </c>
      <c r="K31" s="11">
        <f>235*2</f>
        <v>470</v>
      </c>
      <c r="L31" s="16">
        <f t="shared" ref="L31:L35" si="6">IFERROR(((K31/(J31*I31)/24)),"0")</f>
        <v>9.7916666666666661</v>
      </c>
      <c r="M31" s="11"/>
      <c r="N31" s="11"/>
      <c r="O31" s="11"/>
      <c r="P31" s="11"/>
      <c r="Q31" s="11"/>
      <c r="R31" s="12"/>
      <c r="S31" s="12">
        <v>240</v>
      </c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5.05" customHeight="1">
      <c r="B32" s="13"/>
      <c r="C32" s="14"/>
      <c r="D32" s="6"/>
      <c r="E32" s="15" t="s">
        <v>104</v>
      </c>
      <c r="F32" s="8" t="s">
        <v>42</v>
      </c>
      <c r="G32" s="9">
        <v>0.5</v>
      </c>
      <c r="H32" s="9">
        <v>0.54166666666666663</v>
      </c>
      <c r="I32" s="10">
        <f t="shared" si="5"/>
        <v>4.166666666666663E-2</v>
      </c>
      <c r="J32" s="11">
        <v>12</v>
      </c>
      <c r="K32" s="62" t="s">
        <v>42</v>
      </c>
      <c r="L32" s="16" t="str">
        <f t="shared" si="6"/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25.05" customHeight="1">
      <c r="B33" s="13"/>
      <c r="C33" s="14"/>
      <c r="D33" s="6" t="s">
        <v>1013</v>
      </c>
      <c r="E33" s="19" t="s">
        <v>1014</v>
      </c>
      <c r="F33" s="8" t="s">
        <v>42</v>
      </c>
      <c r="G33" s="9">
        <v>0.54166666666666663</v>
      </c>
      <c r="H33" s="9">
        <v>0.6875</v>
      </c>
      <c r="I33" s="10">
        <f t="shared" si="5"/>
        <v>0.14583333333333337</v>
      </c>
      <c r="J33" s="11">
        <v>12</v>
      </c>
      <c r="K33" s="62">
        <f>235*2</f>
        <v>470</v>
      </c>
      <c r="L33" s="16"/>
      <c r="M33" s="11"/>
      <c r="N33" s="11"/>
      <c r="O33" s="11"/>
      <c r="P33" s="11"/>
      <c r="Q33" s="11"/>
      <c r="R33" s="12"/>
      <c r="S33" s="12">
        <v>210</v>
      </c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ht="25.05" customHeight="1">
      <c r="B34" s="13"/>
      <c r="C34" s="14"/>
      <c r="D34" s="6"/>
      <c r="E34" s="15" t="s">
        <v>96</v>
      </c>
      <c r="F34" s="8" t="s">
        <v>42</v>
      </c>
      <c r="G34" s="9">
        <v>0.6875</v>
      </c>
      <c r="H34" s="9">
        <v>0.70833333333333337</v>
      </c>
      <c r="I34" s="10">
        <f t="shared" si="5"/>
        <v>2.083333333333337E-2</v>
      </c>
      <c r="J34" s="11">
        <v>12</v>
      </c>
      <c r="K34" s="62"/>
      <c r="L34" s="16">
        <f t="shared" si="6"/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25.05" customHeight="1">
      <c r="B35" s="13"/>
      <c r="C35" s="14"/>
      <c r="D35" s="18"/>
      <c r="E35" s="6"/>
      <c r="F35" s="8"/>
      <c r="G35" s="9"/>
      <c r="H35" s="9"/>
      <c r="I35" s="10">
        <f t="shared" si="5"/>
        <v>0</v>
      </c>
      <c r="J35" s="11"/>
      <c r="K35" s="62"/>
      <c r="L35" s="16" t="str">
        <f t="shared" si="6"/>
        <v>0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s="28" customFormat="1" ht="25.05" customHeight="1">
      <c r="A36" s="2"/>
      <c r="B36" s="21"/>
      <c r="C36" s="22"/>
      <c r="D36" s="23"/>
      <c r="E36" s="24"/>
      <c r="F36" s="22"/>
      <c r="G36" s="25"/>
      <c r="H36" s="25"/>
      <c r="I36" s="26"/>
      <c r="J36" s="27"/>
      <c r="K36" s="27">
        <f t="shared" ref="K36:AL36" si="7">SUM(K30:K35)</f>
        <v>940</v>
      </c>
      <c r="L36" s="27">
        <f t="shared" si="7"/>
        <v>9.7916666666666661</v>
      </c>
      <c r="M36" s="27">
        <f t="shared" si="7"/>
        <v>0</v>
      </c>
      <c r="N36" s="27">
        <f t="shared" si="7"/>
        <v>0</v>
      </c>
      <c r="O36" s="27">
        <f t="shared" si="7"/>
        <v>0</v>
      </c>
      <c r="P36" s="27">
        <f t="shared" si="7"/>
        <v>0</v>
      </c>
      <c r="Q36" s="27">
        <f t="shared" si="7"/>
        <v>0</v>
      </c>
      <c r="R36" s="27">
        <f t="shared" si="7"/>
        <v>0</v>
      </c>
      <c r="S36" s="27">
        <f t="shared" si="7"/>
        <v>450</v>
      </c>
      <c r="T36" s="27">
        <f t="shared" si="7"/>
        <v>0</v>
      </c>
      <c r="U36" s="27">
        <f t="shared" si="7"/>
        <v>0</v>
      </c>
      <c r="V36" s="27">
        <f t="shared" si="7"/>
        <v>0</v>
      </c>
      <c r="W36" s="27">
        <f t="shared" si="7"/>
        <v>0</v>
      </c>
      <c r="X36" s="27">
        <f t="shared" si="7"/>
        <v>0</v>
      </c>
      <c r="Y36" s="27">
        <f t="shared" si="7"/>
        <v>0</v>
      </c>
      <c r="Z36" s="27">
        <f t="shared" si="7"/>
        <v>0</v>
      </c>
      <c r="AA36" s="27">
        <f t="shared" si="7"/>
        <v>0</v>
      </c>
      <c r="AB36" s="27">
        <f t="shared" si="7"/>
        <v>0</v>
      </c>
      <c r="AC36" s="27">
        <f t="shared" si="7"/>
        <v>0</v>
      </c>
      <c r="AD36" s="27">
        <f t="shared" si="7"/>
        <v>0</v>
      </c>
      <c r="AE36" s="27">
        <f t="shared" si="7"/>
        <v>0</v>
      </c>
      <c r="AF36" s="27">
        <f t="shared" si="7"/>
        <v>0</v>
      </c>
      <c r="AG36" s="27">
        <f t="shared" si="7"/>
        <v>0</v>
      </c>
      <c r="AH36" s="27">
        <f t="shared" si="7"/>
        <v>0</v>
      </c>
      <c r="AI36" s="27">
        <f t="shared" si="7"/>
        <v>0</v>
      </c>
      <c r="AJ36" s="27">
        <f t="shared" si="7"/>
        <v>0</v>
      </c>
      <c r="AK36" s="27">
        <f t="shared" si="7"/>
        <v>0</v>
      </c>
      <c r="AL36" s="27">
        <f t="shared" si="7"/>
        <v>0</v>
      </c>
    </row>
    <row r="37" spans="1:38" ht="25.05" customHeight="1">
      <c r="B37" s="5" t="s">
        <v>1431</v>
      </c>
      <c r="C37" s="29" t="s">
        <v>44</v>
      </c>
      <c r="D37" s="30"/>
      <c r="E37" s="7" t="s">
        <v>41</v>
      </c>
      <c r="F37" s="8" t="s">
        <v>42</v>
      </c>
      <c r="G37" s="9">
        <v>0.29166666666666669</v>
      </c>
      <c r="H37" s="9">
        <v>0.2986111111111111</v>
      </c>
      <c r="I37" s="10">
        <f t="shared" ref="I37:I98" si="8">H37-G37</f>
        <v>6.9444444444444198E-3</v>
      </c>
      <c r="J37" s="11">
        <v>5</v>
      </c>
      <c r="K37" s="62" t="s">
        <v>42</v>
      </c>
      <c r="L37" s="64" t="s">
        <v>42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 t="s">
        <v>1432</v>
      </c>
      <c r="E38" s="19" t="s">
        <v>1444</v>
      </c>
      <c r="F38" s="8"/>
      <c r="G38" s="9">
        <v>0.34791666666666665</v>
      </c>
      <c r="H38" s="9">
        <v>0.35833333333333334</v>
      </c>
      <c r="I38" s="10">
        <f t="shared" si="8"/>
        <v>1.0416666666666685E-2</v>
      </c>
      <c r="J38" s="11">
        <v>5</v>
      </c>
      <c r="K38" s="11">
        <v>64.8</v>
      </c>
      <c r="L38" s="16">
        <f t="shared" ref="L38:L98" si="9">IFERROR(((K38/(J38*I38)/24)),"0")</f>
        <v>51.839999999999911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/>
      <c r="AC38" s="11"/>
      <c r="AD38" s="11">
        <v>15</v>
      </c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 t="s">
        <v>1445</v>
      </c>
      <c r="F39" s="8"/>
      <c r="G39" s="9">
        <v>0.34861111111111109</v>
      </c>
      <c r="H39" s="9">
        <v>0.35972222222222222</v>
      </c>
      <c r="I39" s="10">
        <f t="shared" si="8"/>
        <v>1.1111111111111127E-2</v>
      </c>
      <c r="J39" s="11">
        <v>5</v>
      </c>
      <c r="K39" s="11">
        <v>64.760000000000005</v>
      </c>
      <c r="L39" s="16">
        <f t="shared" si="9"/>
        <v>48.569999999999936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2</v>
      </c>
      <c r="X39" s="11"/>
      <c r="Y39" s="11"/>
      <c r="Z39" s="11"/>
      <c r="AA39" s="11"/>
      <c r="AB39" s="11">
        <v>16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 t="s">
        <v>1446</v>
      </c>
      <c r="F40" s="8"/>
      <c r="G40" s="9">
        <v>0.36041666666666666</v>
      </c>
      <c r="H40" s="9">
        <v>0.36944444444444446</v>
      </c>
      <c r="I40" s="10">
        <f t="shared" si="8"/>
        <v>9.0277777777778012E-3</v>
      </c>
      <c r="J40" s="11">
        <v>5</v>
      </c>
      <c r="K40" s="11">
        <v>69.72</v>
      </c>
      <c r="L40" s="16">
        <f t="shared" si="9"/>
        <v>64.356923076922911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/>
      <c r="AD40" s="11">
        <v>13</v>
      </c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1447</v>
      </c>
      <c r="F41" s="8"/>
      <c r="G41" s="9">
        <v>0.36180555555555555</v>
      </c>
      <c r="H41" s="9">
        <v>0.37361111111111112</v>
      </c>
      <c r="I41" s="10">
        <f t="shared" si="8"/>
        <v>1.1805555555555569E-2</v>
      </c>
      <c r="J41" s="11">
        <v>5</v>
      </c>
      <c r="K41" s="11">
        <v>69.099999999999994</v>
      </c>
      <c r="L41" s="16">
        <f t="shared" si="9"/>
        <v>48.776470588235235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/>
      <c r="AA41" s="11"/>
      <c r="AB41" s="11">
        <v>17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1448</v>
      </c>
      <c r="F42" s="8"/>
      <c r="G42" s="9">
        <v>0.37916666666666665</v>
      </c>
      <c r="H42" s="9">
        <v>0.39166666666666666</v>
      </c>
      <c r="I42" s="10">
        <f t="shared" si="8"/>
        <v>1.2500000000000011E-2</v>
      </c>
      <c r="J42" s="11">
        <v>5</v>
      </c>
      <c r="K42" s="11">
        <v>69.13</v>
      </c>
      <c r="L42" s="16">
        <f t="shared" si="9"/>
        <v>46.086666666666623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/>
      <c r="Z42" s="11"/>
      <c r="AA42" s="11"/>
      <c r="AB42" s="11"/>
      <c r="AC42" s="11"/>
      <c r="AD42" s="11">
        <v>18</v>
      </c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 t="s">
        <v>1449</v>
      </c>
      <c r="F43" s="8"/>
      <c r="G43" s="9">
        <v>0.38055555555555554</v>
      </c>
      <c r="H43" s="9">
        <v>0.3923611111111111</v>
      </c>
      <c r="I43" s="10">
        <f t="shared" si="8"/>
        <v>1.1805555555555569E-2</v>
      </c>
      <c r="J43" s="11">
        <v>5</v>
      </c>
      <c r="K43" s="11">
        <v>69.209999999999994</v>
      </c>
      <c r="L43" s="16">
        <f t="shared" si="9"/>
        <v>48.854117647058764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>
        <v>17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1450</v>
      </c>
      <c r="F44" s="8"/>
      <c r="G44" s="9">
        <v>0.39444444444444443</v>
      </c>
      <c r="H44" s="9">
        <v>0.40416666666666667</v>
      </c>
      <c r="I44" s="10">
        <f t="shared" si="8"/>
        <v>9.7222222222222432E-3</v>
      </c>
      <c r="J44" s="11">
        <v>5</v>
      </c>
      <c r="K44" s="11">
        <v>66.63</v>
      </c>
      <c r="L44" s="16">
        <f t="shared" si="9"/>
        <v>57.111428571428441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/>
      <c r="AC44" s="11"/>
      <c r="AD44" s="11">
        <v>14</v>
      </c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1451</v>
      </c>
      <c r="F45" s="8"/>
      <c r="G45" s="9">
        <v>0.39583333333333331</v>
      </c>
      <c r="H45" s="9">
        <v>0.40625</v>
      </c>
      <c r="I45" s="10">
        <f t="shared" si="8"/>
        <v>1.0416666666666685E-2</v>
      </c>
      <c r="J45" s="11">
        <v>5</v>
      </c>
      <c r="K45" s="11">
        <v>66.7</v>
      </c>
      <c r="L45" s="16">
        <f t="shared" si="9"/>
        <v>53.359999999999907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>
        <v>15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1452</v>
      </c>
      <c r="F46" s="8"/>
      <c r="G46" s="9">
        <v>0.40763888888888888</v>
      </c>
      <c r="H46" s="9">
        <v>0.41666666666666669</v>
      </c>
      <c r="I46" s="10">
        <f t="shared" si="8"/>
        <v>9.0277777777778012E-3</v>
      </c>
      <c r="J46" s="11">
        <v>5</v>
      </c>
      <c r="K46" s="11">
        <v>65.53</v>
      </c>
      <c r="L46" s="16">
        <f t="shared" si="9"/>
        <v>60.489230769230609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/>
      <c r="AA46" s="11"/>
      <c r="AB46" s="11"/>
      <c r="AC46" s="11"/>
      <c r="AD46" s="11">
        <v>13</v>
      </c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/>
      <c r="F47" s="8"/>
      <c r="G47" s="9"/>
      <c r="H47" s="9"/>
      <c r="I47" s="10">
        <f t="shared" si="8"/>
        <v>0</v>
      </c>
      <c r="J47" s="11"/>
      <c r="K47" s="11"/>
      <c r="L47" s="16" t="str">
        <f t="shared" si="9"/>
        <v>0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 t="s">
        <v>439</v>
      </c>
      <c r="E48" s="19" t="s">
        <v>643</v>
      </c>
      <c r="F48" s="8"/>
      <c r="G48" s="9">
        <v>0.4236111111111111</v>
      </c>
      <c r="H48" s="9">
        <v>0.4284722222222222</v>
      </c>
      <c r="I48" s="10">
        <f t="shared" si="8"/>
        <v>4.8611111111110938E-3</v>
      </c>
      <c r="J48" s="11">
        <v>5</v>
      </c>
      <c r="K48" s="11">
        <v>65.56</v>
      </c>
      <c r="L48" s="16">
        <f t="shared" si="9"/>
        <v>112.38857142857184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/>
      <c r="AA48" s="11"/>
      <c r="AB48" s="11"/>
      <c r="AC48" s="11"/>
      <c r="AD48" s="11">
        <v>7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644</v>
      </c>
      <c r="F49" s="8"/>
      <c r="G49" s="9">
        <v>0.43402777777777779</v>
      </c>
      <c r="H49" s="9">
        <v>0.43958333333333333</v>
      </c>
      <c r="I49" s="10">
        <f t="shared" si="8"/>
        <v>5.5555555555555358E-3</v>
      </c>
      <c r="J49" s="11">
        <v>5</v>
      </c>
      <c r="K49" s="11">
        <v>70.16</v>
      </c>
      <c r="L49" s="16">
        <f t="shared" si="9"/>
        <v>105.24000000000036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/>
      <c r="AC49" s="11"/>
      <c r="AD49" s="11">
        <v>8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645</v>
      </c>
      <c r="F50" s="8"/>
      <c r="G50" s="9">
        <v>0.44374999999999998</v>
      </c>
      <c r="H50" s="9">
        <v>0.44722222222222224</v>
      </c>
      <c r="I50" s="10">
        <f t="shared" si="8"/>
        <v>3.4722222222222654E-3</v>
      </c>
      <c r="J50" s="11">
        <v>5</v>
      </c>
      <c r="K50" s="11">
        <v>72.53</v>
      </c>
      <c r="L50" s="16">
        <f t="shared" si="9"/>
        <v>174.07199999999784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/>
      <c r="AD50" s="11">
        <v>5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646</v>
      </c>
      <c r="F51" s="8"/>
      <c r="G51" s="9">
        <v>0.45069444444444445</v>
      </c>
      <c r="H51" s="9">
        <v>0.45555555555555555</v>
      </c>
      <c r="I51" s="10">
        <f t="shared" si="8"/>
        <v>4.8611111111110938E-3</v>
      </c>
      <c r="J51" s="11">
        <v>5</v>
      </c>
      <c r="K51" s="11">
        <v>72.540000000000006</v>
      </c>
      <c r="L51" s="16">
        <f t="shared" si="9"/>
        <v>124.35428571428616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>
        <v>7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647</v>
      </c>
      <c r="F52" s="8"/>
      <c r="G52" s="9">
        <v>0.58750000000000002</v>
      </c>
      <c r="H52" s="9">
        <v>0.59166666666666667</v>
      </c>
      <c r="I52" s="10">
        <f t="shared" si="8"/>
        <v>4.1666666666666519E-3</v>
      </c>
      <c r="J52" s="11">
        <v>5</v>
      </c>
      <c r="K52" s="11">
        <v>74.41</v>
      </c>
      <c r="L52" s="16">
        <f t="shared" si="9"/>
        <v>148.82000000000053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/>
      <c r="AC52" s="11">
        <v>6</v>
      </c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648</v>
      </c>
      <c r="F53" s="8"/>
      <c r="G53" s="9">
        <v>0.59652777777777777</v>
      </c>
      <c r="H53" s="9">
        <v>0.6</v>
      </c>
      <c r="I53" s="10">
        <f t="shared" si="8"/>
        <v>3.4722222222222099E-3</v>
      </c>
      <c r="J53" s="11">
        <v>5</v>
      </c>
      <c r="K53" s="11">
        <v>73.739999999999995</v>
      </c>
      <c r="L53" s="16">
        <f t="shared" si="9"/>
        <v>176.9760000000006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>
        <v>5</v>
      </c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649</v>
      </c>
      <c r="F54" s="8"/>
      <c r="G54" s="9">
        <v>0.60416666666666663</v>
      </c>
      <c r="H54" s="9">
        <v>0.60763888888888884</v>
      </c>
      <c r="I54" s="10">
        <f t="shared" si="8"/>
        <v>3.4722222222222099E-3</v>
      </c>
      <c r="J54" s="11">
        <v>5</v>
      </c>
      <c r="K54" s="11">
        <v>76.540000000000006</v>
      </c>
      <c r="L54" s="16">
        <f t="shared" si="9"/>
        <v>183.69600000000068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>
        <v>5</v>
      </c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650</v>
      </c>
      <c r="F55" s="8"/>
      <c r="G55" s="9">
        <v>0.6118055555555556</v>
      </c>
      <c r="H55" s="9">
        <v>0.61527777777777781</v>
      </c>
      <c r="I55" s="10">
        <f t="shared" si="8"/>
        <v>3.4722222222222099E-3</v>
      </c>
      <c r="J55" s="11">
        <v>5</v>
      </c>
      <c r="K55" s="11">
        <v>73.2</v>
      </c>
      <c r="L55" s="16">
        <f t="shared" si="9"/>
        <v>175.68000000000063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/>
      <c r="AC55" s="11">
        <v>5</v>
      </c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651</v>
      </c>
      <c r="F56" s="8"/>
      <c r="G56" s="9">
        <v>0.62083333333333335</v>
      </c>
      <c r="H56" s="9">
        <v>0.62430555555555556</v>
      </c>
      <c r="I56" s="10">
        <f t="shared" si="8"/>
        <v>3.4722222222222099E-3</v>
      </c>
      <c r="J56" s="11">
        <v>5</v>
      </c>
      <c r="K56" s="11">
        <v>73.650000000000006</v>
      </c>
      <c r="L56" s="16">
        <f t="shared" si="9"/>
        <v>176.76000000000064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>
        <v>5</v>
      </c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440</v>
      </c>
      <c r="F57" s="8"/>
      <c r="G57" s="9">
        <v>0.46736111111111112</v>
      </c>
      <c r="H57" s="9">
        <v>0.47847222222222224</v>
      </c>
      <c r="I57" s="10">
        <f t="shared" si="8"/>
        <v>1.1111111111111127E-2</v>
      </c>
      <c r="J57" s="11">
        <v>10</v>
      </c>
      <c r="K57" s="11">
        <v>133.97999999999999</v>
      </c>
      <c r="L57" s="16">
        <f t="shared" si="9"/>
        <v>50.242499999999922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3</v>
      </c>
      <c r="W57" s="12"/>
      <c r="X57" s="11"/>
      <c r="Y57" s="11"/>
      <c r="Z57" s="11"/>
      <c r="AA57" s="11"/>
      <c r="AB57" s="11">
        <v>16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441</v>
      </c>
      <c r="F58" s="8"/>
      <c r="G58" s="9">
        <v>0.48055555555555557</v>
      </c>
      <c r="H58" s="9">
        <v>0.49027777777777776</v>
      </c>
      <c r="I58" s="10">
        <f t="shared" si="8"/>
        <v>9.7222222222221877E-3</v>
      </c>
      <c r="J58" s="11">
        <v>10</v>
      </c>
      <c r="K58" s="11">
        <v>135</v>
      </c>
      <c r="L58" s="16">
        <f t="shared" si="9"/>
        <v>57.85714285714306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3</v>
      </c>
      <c r="W58" s="12"/>
      <c r="X58" s="11"/>
      <c r="Y58" s="11"/>
      <c r="Z58" s="11"/>
      <c r="AA58" s="11"/>
      <c r="AB58" s="11">
        <v>14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442</v>
      </c>
      <c r="F59" s="8"/>
      <c r="G59" s="9">
        <v>0.49305555555555558</v>
      </c>
      <c r="H59" s="9">
        <v>0.50416666666666665</v>
      </c>
      <c r="I59" s="10">
        <f t="shared" si="8"/>
        <v>1.1111111111111072E-2</v>
      </c>
      <c r="J59" s="11">
        <v>10</v>
      </c>
      <c r="K59" s="11">
        <v>160.93</v>
      </c>
      <c r="L59" s="16">
        <f t="shared" si="9"/>
        <v>60.348750000000216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3</v>
      </c>
      <c r="W59" s="12"/>
      <c r="X59" s="11"/>
      <c r="Y59" s="11"/>
      <c r="Z59" s="11"/>
      <c r="AA59" s="11"/>
      <c r="AB59" s="11">
        <v>16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443</v>
      </c>
      <c r="F60" s="8"/>
      <c r="G60" s="9">
        <v>0.5708333333333333</v>
      </c>
      <c r="H60" s="9">
        <v>0.5854166666666667</v>
      </c>
      <c r="I60" s="10">
        <f t="shared" si="8"/>
        <v>1.4583333333333393E-2</v>
      </c>
      <c r="J60" s="11">
        <v>10</v>
      </c>
      <c r="K60" s="11">
        <v>150.43</v>
      </c>
      <c r="L60" s="16">
        <f t="shared" si="9"/>
        <v>42.979999999999826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3</v>
      </c>
      <c r="W60" s="12"/>
      <c r="X60" s="11"/>
      <c r="Y60" s="11"/>
      <c r="Z60" s="11"/>
      <c r="AA60" s="11"/>
      <c r="AB60" s="11">
        <v>21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444</v>
      </c>
      <c r="F61" s="8"/>
      <c r="G61" s="9">
        <v>0.58750000000000002</v>
      </c>
      <c r="H61" s="9">
        <v>0.59444444444444444</v>
      </c>
      <c r="I61" s="10">
        <f t="shared" si="8"/>
        <v>6.9444444444444198E-3</v>
      </c>
      <c r="J61" s="11">
        <v>10</v>
      </c>
      <c r="K61" s="11">
        <v>101.43</v>
      </c>
      <c r="L61" s="16">
        <f t="shared" si="9"/>
        <v>60.858000000000224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3</v>
      </c>
      <c r="W61" s="12"/>
      <c r="X61" s="11"/>
      <c r="Y61" s="11"/>
      <c r="Z61" s="11"/>
      <c r="AA61" s="11"/>
      <c r="AB61" s="11">
        <v>10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657</v>
      </c>
      <c r="F62" s="8"/>
      <c r="G62" s="9">
        <v>0.59930555555555554</v>
      </c>
      <c r="H62" s="9">
        <v>0.60902777777777772</v>
      </c>
      <c r="I62" s="10">
        <f t="shared" si="8"/>
        <v>9.7222222222221877E-3</v>
      </c>
      <c r="J62" s="11">
        <v>10</v>
      </c>
      <c r="K62" s="11">
        <v>141.51</v>
      </c>
      <c r="L62" s="16">
        <f t="shared" si="9"/>
        <v>60.647142857143074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3</v>
      </c>
      <c r="W62" s="12"/>
      <c r="X62" s="11"/>
      <c r="Y62" s="11"/>
      <c r="Z62" s="11"/>
      <c r="AA62" s="11"/>
      <c r="AB62" s="11">
        <v>14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658</v>
      </c>
      <c r="F63" s="8"/>
      <c r="G63" s="9">
        <v>0.6118055555555556</v>
      </c>
      <c r="H63" s="9">
        <v>0.62291666666666667</v>
      </c>
      <c r="I63" s="10">
        <f t="shared" si="8"/>
        <v>1.1111111111111072E-2</v>
      </c>
      <c r="J63" s="11">
        <v>10</v>
      </c>
      <c r="K63" s="11">
        <v>143.9</v>
      </c>
      <c r="L63" s="16">
        <f t="shared" si="9"/>
        <v>53.962500000000198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3</v>
      </c>
      <c r="W63" s="12"/>
      <c r="X63" s="11"/>
      <c r="Y63" s="11"/>
      <c r="Z63" s="11"/>
      <c r="AA63" s="11"/>
      <c r="AB63" s="11">
        <v>16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659</v>
      </c>
      <c r="F64" s="8"/>
      <c r="G64" s="9">
        <v>0.62569444444444444</v>
      </c>
      <c r="H64" s="9">
        <v>0.6381944444444444</v>
      </c>
      <c r="I64" s="10">
        <f t="shared" si="8"/>
        <v>1.2499999999999956E-2</v>
      </c>
      <c r="J64" s="11">
        <v>10</v>
      </c>
      <c r="K64" s="11">
        <v>137.37</v>
      </c>
      <c r="L64" s="16">
        <f t="shared" si="9"/>
        <v>45.790000000000163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3</v>
      </c>
      <c r="W64" s="12"/>
      <c r="X64" s="11"/>
      <c r="Y64" s="11"/>
      <c r="Z64" s="11"/>
      <c r="AA64" s="11"/>
      <c r="AB64" s="11">
        <v>18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660</v>
      </c>
      <c r="F65" s="8"/>
      <c r="G65" s="9">
        <v>0.64166666666666672</v>
      </c>
      <c r="H65" s="9">
        <v>0.65277777777777779</v>
      </c>
      <c r="I65" s="10">
        <f t="shared" si="8"/>
        <v>1.1111111111111072E-2</v>
      </c>
      <c r="J65" s="11">
        <v>10</v>
      </c>
      <c r="K65" s="11">
        <v>134.75</v>
      </c>
      <c r="L65" s="16">
        <f t="shared" si="9"/>
        <v>50.531250000000178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3</v>
      </c>
      <c r="W65" s="12"/>
      <c r="X65" s="11"/>
      <c r="Y65" s="11"/>
      <c r="Z65" s="11"/>
      <c r="AA65" s="11"/>
      <c r="AB65" s="11">
        <v>16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562</v>
      </c>
      <c r="F66" s="8"/>
      <c r="G66" s="9">
        <v>0.37569444444444444</v>
      </c>
      <c r="H66" s="9">
        <v>0.37586805555555558</v>
      </c>
      <c r="I66" s="10">
        <f t="shared" si="8"/>
        <v>1.7361111111113825E-4</v>
      </c>
      <c r="J66" s="11">
        <v>5</v>
      </c>
      <c r="K66" s="11">
        <v>70.52</v>
      </c>
      <c r="L66" s="16">
        <f t="shared" si="9"/>
        <v>3384.9599999994703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2</v>
      </c>
      <c r="X66" s="11"/>
      <c r="Y66" s="11"/>
      <c r="Z66" s="11"/>
      <c r="AA66" s="11"/>
      <c r="AB66" s="11"/>
      <c r="AC66" s="11">
        <v>1</v>
      </c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563</v>
      </c>
      <c r="F67" s="8"/>
      <c r="G67" s="9">
        <v>0.38055555555555554</v>
      </c>
      <c r="H67" s="9">
        <v>0.38072916666666667</v>
      </c>
      <c r="I67" s="10">
        <f t="shared" si="8"/>
        <v>1.7361111111113825E-4</v>
      </c>
      <c r="J67" s="11">
        <v>5</v>
      </c>
      <c r="K67" s="11">
        <v>71.709999999999994</v>
      </c>
      <c r="L67" s="16">
        <f t="shared" si="9"/>
        <v>3442.0799999994615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2</v>
      </c>
      <c r="X67" s="11"/>
      <c r="Y67" s="11"/>
      <c r="Z67" s="11"/>
      <c r="AA67" s="11"/>
      <c r="AB67" s="11"/>
      <c r="AC67" s="11">
        <v>1</v>
      </c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564</v>
      </c>
      <c r="F68" s="8"/>
      <c r="G68" s="9">
        <v>0.38611111111111113</v>
      </c>
      <c r="H68" s="9">
        <v>0.38628472222222221</v>
      </c>
      <c r="I68" s="10">
        <f t="shared" si="8"/>
        <v>1.7361111111108274E-4</v>
      </c>
      <c r="J68" s="11">
        <v>5</v>
      </c>
      <c r="K68" s="11">
        <v>69.13</v>
      </c>
      <c r="L68" s="16">
        <f t="shared" si="9"/>
        <v>3318.2400000005418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2</v>
      </c>
      <c r="X68" s="11"/>
      <c r="Y68" s="11"/>
      <c r="Z68" s="11"/>
      <c r="AA68" s="11"/>
      <c r="AB68" s="11"/>
      <c r="AC68" s="11">
        <v>1</v>
      </c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565</v>
      </c>
      <c r="F69" s="8"/>
      <c r="G69" s="9">
        <v>0.39305555555555555</v>
      </c>
      <c r="H69" s="9">
        <v>0.39322916666666669</v>
      </c>
      <c r="I69" s="10">
        <f t="shared" si="8"/>
        <v>1.7361111111113825E-4</v>
      </c>
      <c r="J69" s="11">
        <v>5</v>
      </c>
      <c r="K69" s="11">
        <v>71.52</v>
      </c>
      <c r="L69" s="16">
        <f t="shared" si="9"/>
        <v>3432.959999999463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2</v>
      </c>
      <c r="X69" s="11"/>
      <c r="Y69" s="11"/>
      <c r="Z69" s="11"/>
      <c r="AA69" s="11"/>
      <c r="AB69" s="11"/>
      <c r="AC69" s="11">
        <v>1</v>
      </c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566</v>
      </c>
      <c r="F70" s="8"/>
      <c r="G70" s="9">
        <v>0.42499999999999999</v>
      </c>
      <c r="H70" s="9">
        <v>0.42517361111111113</v>
      </c>
      <c r="I70" s="10">
        <f t="shared" si="8"/>
        <v>1.7361111111113825E-4</v>
      </c>
      <c r="J70" s="11">
        <v>5</v>
      </c>
      <c r="K70" s="11">
        <v>68.11</v>
      </c>
      <c r="L70" s="16">
        <f t="shared" si="9"/>
        <v>3269.2799999994891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2</v>
      </c>
      <c r="X70" s="11"/>
      <c r="Y70" s="11"/>
      <c r="Z70" s="11"/>
      <c r="AA70" s="11"/>
      <c r="AB70" s="11"/>
      <c r="AC70" s="11">
        <v>1</v>
      </c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636</v>
      </c>
      <c r="F71" s="8"/>
      <c r="G71" s="9">
        <v>0.42986111111111114</v>
      </c>
      <c r="H71" s="9">
        <v>0.43003472222222222</v>
      </c>
      <c r="I71" s="10">
        <f t="shared" si="8"/>
        <v>1.7361111111108274E-4</v>
      </c>
      <c r="J71" s="11">
        <v>5</v>
      </c>
      <c r="K71" s="11">
        <v>69.290000000000006</v>
      </c>
      <c r="L71" s="16">
        <f t="shared" si="9"/>
        <v>3325.920000000544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1"/>
      <c r="Y71" s="11"/>
      <c r="Z71" s="11"/>
      <c r="AA71" s="11"/>
      <c r="AB71" s="11"/>
      <c r="AC71" s="11">
        <v>1</v>
      </c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637</v>
      </c>
      <c r="F72" s="8"/>
      <c r="G72" s="9">
        <v>0.44166666666666665</v>
      </c>
      <c r="H72" s="9">
        <v>0.44184027777777779</v>
      </c>
      <c r="I72" s="10">
        <f t="shared" si="8"/>
        <v>1.7361111111113825E-4</v>
      </c>
      <c r="J72" s="11">
        <v>5</v>
      </c>
      <c r="K72" s="11">
        <v>70.53</v>
      </c>
      <c r="L72" s="16">
        <f t="shared" si="9"/>
        <v>3385.4399999994707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/>
      <c r="Z72" s="11"/>
      <c r="AA72" s="11"/>
      <c r="AB72" s="11"/>
      <c r="AC72" s="11">
        <v>1</v>
      </c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638</v>
      </c>
      <c r="F73" s="8"/>
      <c r="G73" s="9">
        <v>0.45208333333333334</v>
      </c>
      <c r="H73" s="9">
        <v>0.45225694444444442</v>
      </c>
      <c r="I73" s="10">
        <f t="shared" si="8"/>
        <v>1.7361111111108274E-4</v>
      </c>
      <c r="J73" s="11">
        <v>5</v>
      </c>
      <c r="K73" s="11">
        <v>69.430000000000007</v>
      </c>
      <c r="L73" s="16">
        <f t="shared" si="9"/>
        <v>3332.6400000005451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/>
      <c r="Y73" s="11"/>
      <c r="Z73" s="11"/>
      <c r="AA73" s="11"/>
      <c r="AB73" s="11"/>
      <c r="AC73" s="11">
        <v>1</v>
      </c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639</v>
      </c>
      <c r="F74" s="8"/>
      <c r="G74" s="9">
        <v>0.47013888888888888</v>
      </c>
      <c r="H74" s="9">
        <v>0.47031250000000002</v>
      </c>
      <c r="I74" s="10">
        <f t="shared" si="8"/>
        <v>1.7361111111113825E-4</v>
      </c>
      <c r="J74" s="11">
        <v>5</v>
      </c>
      <c r="K74" s="11">
        <v>69.27</v>
      </c>
      <c r="L74" s="16">
        <f t="shared" si="9"/>
        <v>3324.9599999994803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/>
      <c r="Z74" s="11"/>
      <c r="AA74" s="11"/>
      <c r="AB74" s="11"/>
      <c r="AC74" s="11">
        <v>1</v>
      </c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132</v>
      </c>
      <c r="F75" s="8"/>
      <c r="G75" s="9">
        <v>0.48958333333333331</v>
      </c>
      <c r="H75" s="9">
        <v>0.48964120370370373</v>
      </c>
      <c r="I75" s="10">
        <f t="shared" si="8"/>
        <v>5.7870370370416424E-5</v>
      </c>
      <c r="J75" s="11">
        <v>5</v>
      </c>
      <c r="K75" s="11">
        <v>15.34</v>
      </c>
      <c r="L75" s="16">
        <f t="shared" si="9"/>
        <v>2208.959999998242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/>
      <c r="Z75" s="11"/>
      <c r="AA75" s="11"/>
      <c r="AB75" s="11"/>
      <c r="AC75" s="11">
        <v>1</v>
      </c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133</v>
      </c>
      <c r="F76" s="8"/>
      <c r="G76" s="9">
        <v>0.4909722222222222</v>
      </c>
      <c r="H76" s="9">
        <v>0.49103009259259262</v>
      </c>
      <c r="I76" s="10">
        <f t="shared" si="8"/>
        <v>5.7870370370416424E-5</v>
      </c>
      <c r="J76" s="11">
        <v>5</v>
      </c>
      <c r="K76" s="11">
        <v>15.04</v>
      </c>
      <c r="L76" s="16">
        <f t="shared" si="9"/>
        <v>2165.7599999982763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/>
      <c r="AA76" s="11"/>
      <c r="AB76" s="11"/>
      <c r="AC76" s="11">
        <v>1</v>
      </c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134</v>
      </c>
      <c r="F77" s="8"/>
      <c r="G77" s="9">
        <v>0.49236111111111114</v>
      </c>
      <c r="H77" s="9">
        <v>0.4924189814814815</v>
      </c>
      <c r="I77" s="10">
        <f t="shared" si="8"/>
        <v>5.7870370370360913E-5</v>
      </c>
      <c r="J77" s="11">
        <v>5</v>
      </c>
      <c r="K77" s="11">
        <v>15.45</v>
      </c>
      <c r="L77" s="16">
        <f t="shared" si="9"/>
        <v>2224.8000000003635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/>
      <c r="AA77" s="11"/>
      <c r="AB77" s="11"/>
      <c r="AC77" s="11">
        <v>1</v>
      </c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135</v>
      </c>
      <c r="F78" s="8"/>
      <c r="G78" s="9">
        <v>0.49375000000000002</v>
      </c>
      <c r="H78" s="9">
        <v>0.49380787037037038</v>
      </c>
      <c r="I78" s="10">
        <f t="shared" si="8"/>
        <v>5.7870370370360913E-5</v>
      </c>
      <c r="J78" s="11">
        <v>5</v>
      </c>
      <c r="K78" s="11">
        <v>13.37</v>
      </c>
      <c r="L78" s="16">
        <f t="shared" si="9"/>
        <v>1925.2800000003144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/>
      <c r="Z78" s="11"/>
      <c r="AA78" s="11"/>
      <c r="AB78" s="11"/>
      <c r="AC78" s="11">
        <v>1</v>
      </c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136</v>
      </c>
      <c r="F79" s="8"/>
      <c r="G79" s="9">
        <v>0.57638888888888884</v>
      </c>
      <c r="H79" s="9">
        <v>0.57644675925925926</v>
      </c>
      <c r="I79" s="10">
        <f t="shared" si="8"/>
        <v>5.7870370370416424E-5</v>
      </c>
      <c r="J79" s="11">
        <v>5</v>
      </c>
      <c r="K79" s="11">
        <v>14.7</v>
      </c>
      <c r="L79" s="16">
        <f t="shared" si="9"/>
        <v>2116.7999999983153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/>
      <c r="Z79" s="11"/>
      <c r="AA79" s="11"/>
      <c r="AB79" s="11"/>
      <c r="AC79" s="11">
        <v>1</v>
      </c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137</v>
      </c>
      <c r="F80" s="8"/>
      <c r="G80" s="9">
        <v>0.57777777777777772</v>
      </c>
      <c r="H80" s="9">
        <v>0.57783564814814814</v>
      </c>
      <c r="I80" s="10">
        <f t="shared" si="8"/>
        <v>5.7870370370416424E-5</v>
      </c>
      <c r="J80" s="11">
        <v>5</v>
      </c>
      <c r="K80" s="11">
        <v>14.73</v>
      </c>
      <c r="L80" s="16">
        <f t="shared" si="9"/>
        <v>2121.1199999983123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/>
      <c r="Y80" s="11"/>
      <c r="Z80" s="11"/>
      <c r="AA80" s="11"/>
      <c r="AB80" s="11"/>
      <c r="AC80" s="11">
        <v>1</v>
      </c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138</v>
      </c>
      <c r="F81" s="8"/>
      <c r="G81" s="9">
        <v>0.57916666666666672</v>
      </c>
      <c r="H81" s="9">
        <v>0.57922453703703702</v>
      </c>
      <c r="I81" s="10">
        <f t="shared" si="8"/>
        <v>5.7870370370305402E-5</v>
      </c>
      <c r="J81" s="11">
        <v>5</v>
      </c>
      <c r="K81" s="11">
        <v>15.19</v>
      </c>
      <c r="L81" s="16">
        <f t="shared" si="9"/>
        <v>2187.3600000024558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/>
      <c r="Z81" s="11"/>
      <c r="AA81" s="11"/>
      <c r="AB81" s="11"/>
      <c r="AC81" s="11">
        <v>1</v>
      </c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139</v>
      </c>
      <c r="F82" s="8"/>
      <c r="G82" s="9">
        <v>0.5805555555555556</v>
      </c>
      <c r="H82" s="9">
        <v>0.58061342592592591</v>
      </c>
      <c r="I82" s="10">
        <f t="shared" si="8"/>
        <v>5.7870370370305402E-5</v>
      </c>
      <c r="J82" s="11">
        <v>5</v>
      </c>
      <c r="K82" s="11">
        <v>15</v>
      </c>
      <c r="L82" s="16">
        <f t="shared" si="9"/>
        <v>2160.0000000024252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2</v>
      </c>
      <c r="X82" s="11"/>
      <c r="Y82" s="11"/>
      <c r="Z82" s="11"/>
      <c r="AA82" s="11"/>
      <c r="AB82" s="11"/>
      <c r="AC82" s="11">
        <v>1</v>
      </c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140</v>
      </c>
      <c r="F83" s="8"/>
      <c r="G83" s="9">
        <v>0.99861111111111112</v>
      </c>
      <c r="H83" s="9">
        <v>0.99866898148148153</v>
      </c>
      <c r="I83" s="10">
        <f t="shared" si="8"/>
        <v>5.7870370370416424E-5</v>
      </c>
      <c r="J83" s="11">
        <v>5</v>
      </c>
      <c r="K83" s="11">
        <v>14.72</v>
      </c>
      <c r="L83" s="16">
        <f t="shared" si="9"/>
        <v>2119.6799999983132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2</v>
      </c>
      <c r="X83" s="11"/>
      <c r="Y83" s="11"/>
      <c r="Z83" s="11"/>
      <c r="AA83" s="11"/>
      <c r="AB83" s="11"/>
      <c r="AC83" s="11">
        <v>1</v>
      </c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/>
      <c r="F84" s="8"/>
      <c r="G84" s="9"/>
      <c r="H84" s="9"/>
      <c r="I84" s="10">
        <f t="shared" si="8"/>
        <v>0</v>
      </c>
      <c r="J84" s="11"/>
      <c r="K84" s="11"/>
      <c r="L84" s="16" t="str">
        <f t="shared" si="9"/>
        <v>0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 t="s">
        <v>1438</v>
      </c>
      <c r="E85" s="19" t="s">
        <v>1183</v>
      </c>
      <c r="F85" s="8"/>
      <c r="G85" s="9">
        <v>0.3527777777777778</v>
      </c>
      <c r="H85" s="9">
        <v>0.35289351851851852</v>
      </c>
      <c r="I85" s="10">
        <f t="shared" si="8"/>
        <v>1.1574074074072183E-4</v>
      </c>
      <c r="J85" s="11">
        <v>5</v>
      </c>
      <c r="K85" s="11">
        <v>16.53</v>
      </c>
      <c r="L85" s="16">
        <f t="shared" si="9"/>
        <v>1190.1600000001947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1184</v>
      </c>
      <c r="F86" s="8"/>
      <c r="G86" s="9">
        <v>0.35416666666666669</v>
      </c>
      <c r="H86" s="9">
        <v>0.35428240740740741</v>
      </c>
      <c r="I86" s="10">
        <f t="shared" si="8"/>
        <v>1.1574074074072183E-4</v>
      </c>
      <c r="J86" s="11">
        <v>5</v>
      </c>
      <c r="K86" s="11">
        <v>16.53</v>
      </c>
      <c r="L86" s="16">
        <f t="shared" si="9"/>
        <v>1190.1600000001947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1185</v>
      </c>
      <c r="F87" s="8"/>
      <c r="G87" s="9">
        <v>0.35555555555555557</v>
      </c>
      <c r="H87" s="9">
        <v>0.35567129629629629</v>
      </c>
      <c r="I87" s="10">
        <f t="shared" si="8"/>
        <v>1.1574074074072183E-4</v>
      </c>
      <c r="J87" s="11">
        <v>5</v>
      </c>
      <c r="K87" s="11">
        <v>16.43</v>
      </c>
      <c r="L87" s="16">
        <f t="shared" si="9"/>
        <v>1182.9600000001933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1453</v>
      </c>
      <c r="F88" s="8"/>
      <c r="G88" s="9">
        <v>0.35694444444444445</v>
      </c>
      <c r="H88" s="9">
        <v>0.35706018518518517</v>
      </c>
      <c r="I88" s="10">
        <f t="shared" si="8"/>
        <v>1.1574074074072183E-4</v>
      </c>
      <c r="J88" s="11">
        <v>5</v>
      </c>
      <c r="K88" s="11">
        <v>7.79</v>
      </c>
      <c r="L88" s="16">
        <f t="shared" si="9"/>
        <v>560.88000000009163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1192</v>
      </c>
      <c r="F89" s="8"/>
      <c r="G89" s="9">
        <v>0.34444444444444444</v>
      </c>
      <c r="H89" s="9">
        <v>0.3445023148148148</v>
      </c>
      <c r="I89" s="10">
        <f t="shared" si="8"/>
        <v>5.7870370370360913E-5</v>
      </c>
      <c r="J89" s="11">
        <v>5</v>
      </c>
      <c r="K89" s="11">
        <v>27.22</v>
      </c>
      <c r="L89" s="16">
        <f t="shared" si="9"/>
        <v>3919.6800000006406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1193</v>
      </c>
      <c r="F90" s="8"/>
      <c r="G90" s="9">
        <v>0.34583333333333333</v>
      </c>
      <c r="H90" s="9">
        <v>0.34589120370370369</v>
      </c>
      <c r="I90" s="10">
        <f t="shared" si="8"/>
        <v>5.7870370370360913E-5</v>
      </c>
      <c r="J90" s="11">
        <v>5</v>
      </c>
      <c r="K90" s="11">
        <v>27.47</v>
      </c>
      <c r="L90" s="16">
        <f t="shared" si="9"/>
        <v>3955.680000000646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1194</v>
      </c>
      <c r="F91" s="8"/>
      <c r="G91" s="9">
        <v>0.34722222222222221</v>
      </c>
      <c r="H91" s="9">
        <v>0.34728009259259257</v>
      </c>
      <c r="I91" s="10">
        <f t="shared" si="8"/>
        <v>5.7870370370360913E-5</v>
      </c>
      <c r="J91" s="11">
        <v>5</v>
      </c>
      <c r="K91" s="11">
        <v>27.62</v>
      </c>
      <c r="L91" s="16">
        <f t="shared" si="9"/>
        <v>3977.28000000065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1454</v>
      </c>
      <c r="F92" s="8"/>
      <c r="G92" s="9">
        <v>0.34861111111111109</v>
      </c>
      <c r="H92" s="9">
        <v>0.34866898148148145</v>
      </c>
      <c r="I92" s="10">
        <f t="shared" si="8"/>
        <v>5.7870370370360913E-5</v>
      </c>
      <c r="J92" s="11">
        <v>5</v>
      </c>
      <c r="K92" s="11">
        <v>13.29</v>
      </c>
      <c r="L92" s="16">
        <f t="shared" si="9"/>
        <v>1913.7600000003129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1455</v>
      </c>
      <c r="F93" s="8"/>
      <c r="G93" s="9">
        <v>0.35833333333333334</v>
      </c>
      <c r="H93" s="9">
        <v>0.35844907407407406</v>
      </c>
      <c r="I93" s="10">
        <f t="shared" si="8"/>
        <v>1.1574074074072183E-4</v>
      </c>
      <c r="J93" s="11">
        <v>5</v>
      </c>
      <c r="K93" s="11">
        <v>3.65</v>
      </c>
      <c r="L93" s="16">
        <f t="shared" si="9"/>
        <v>262.80000000004293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2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1456</v>
      </c>
      <c r="F94" s="8"/>
      <c r="G94" s="9">
        <v>0.35902777777777778</v>
      </c>
      <c r="H94" s="9">
        <v>0.3591435185185185</v>
      </c>
      <c r="I94" s="10">
        <f t="shared" si="8"/>
        <v>1.1574074074072183E-4</v>
      </c>
      <c r="J94" s="11">
        <v>5</v>
      </c>
      <c r="K94" s="11">
        <v>3.62</v>
      </c>
      <c r="L94" s="16">
        <f t="shared" si="9"/>
        <v>260.64000000004262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2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1457</v>
      </c>
      <c r="F95" s="8"/>
      <c r="G95" s="9">
        <v>0.35972222222222222</v>
      </c>
      <c r="H95" s="9">
        <v>0.35983796296296294</v>
      </c>
      <c r="I95" s="10">
        <f t="shared" si="8"/>
        <v>1.1574074074072183E-4</v>
      </c>
      <c r="J95" s="11">
        <v>5</v>
      </c>
      <c r="K95" s="11">
        <v>3.41</v>
      </c>
      <c r="L95" s="16">
        <f t="shared" si="9"/>
        <v>245.52000000004014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2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1458</v>
      </c>
      <c r="F96" s="8"/>
      <c r="G96" s="9">
        <v>0.36041666666666666</v>
      </c>
      <c r="H96" s="9">
        <v>0.36053240740740738</v>
      </c>
      <c r="I96" s="10">
        <f t="shared" si="8"/>
        <v>1.1574074074072183E-4</v>
      </c>
      <c r="J96" s="11">
        <v>5</v>
      </c>
      <c r="K96" s="11">
        <v>1.75</v>
      </c>
      <c r="L96" s="16">
        <f t="shared" si="9"/>
        <v>126.00000000002059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2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1459</v>
      </c>
      <c r="F97" s="8"/>
      <c r="G97" s="9">
        <v>0.40416666666666667</v>
      </c>
      <c r="H97" s="9">
        <v>0.40625</v>
      </c>
      <c r="I97" s="10">
        <f t="shared" si="8"/>
        <v>2.0833333333333259E-3</v>
      </c>
      <c r="J97" s="11">
        <v>5</v>
      </c>
      <c r="K97" s="11">
        <v>26.6</v>
      </c>
      <c r="L97" s="16">
        <f t="shared" si="9"/>
        <v>106.40000000000038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3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1460</v>
      </c>
      <c r="F98" s="8"/>
      <c r="G98" s="9">
        <v>0.40208333333333335</v>
      </c>
      <c r="H98" s="9">
        <v>0.40625</v>
      </c>
      <c r="I98" s="10">
        <f t="shared" si="8"/>
        <v>4.1666666666666519E-3</v>
      </c>
      <c r="J98" s="11">
        <v>5</v>
      </c>
      <c r="K98" s="11">
        <v>57.06</v>
      </c>
      <c r="L98" s="16">
        <f t="shared" si="9"/>
        <v>114.1200000000004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2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1461</v>
      </c>
      <c r="F99" s="8"/>
      <c r="G99" s="9">
        <v>0.41597222222222224</v>
      </c>
      <c r="H99" s="9">
        <v>0.42291666666666666</v>
      </c>
      <c r="I99" s="10">
        <f t="shared" ref="I99:I128" si="10">H99-G99</f>
        <v>6.9444444444444198E-3</v>
      </c>
      <c r="J99" s="11">
        <v>5</v>
      </c>
      <c r="K99" s="11">
        <v>37.54</v>
      </c>
      <c r="L99" s="16">
        <f t="shared" ref="L99:L128" si="11">IFERROR(((K99/(J99*I99)/24)),"0")</f>
        <v>45.048000000000165</v>
      </c>
      <c r="M99" s="11"/>
      <c r="N99" s="11"/>
      <c r="O99" s="11"/>
      <c r="P99" s="11"/>
      <c r="Q99" s="11"/>
      <c r="R99" s="12"/>
      <c r="S99" s="12"/>
      <c r="T99" s="11"/>
      <c r="U99" s="11"/>
      <c r="V99" s="12">
        <v>2</v>
      </c>
      <c r="W99" s="12"/>
      <c r="X99" s="11"/>
      <c r="Y99" s="11"/>
      <c r="Z99" s="11"/>
      <c r="AA99" s="11"/>
      <c r="AB99" s="11">
        <v>10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1462</v>
      </c>
      <c r="F100" s="8"/>
      <c r="G100" s="9">
        <v>0.42708333333333331</v>
      </c>
      <c r="H100" s="9">
        <v>0.43402777777777779</v>
      </c>
      <c r="I100" s="10">
        <f t="shared" si="10"/>
        <v>6.9444444444444753E-3</v>
      </c>
      <c r="J100" s="11">
        <v>5</v>
      </c>
      <c r="K100" s="11">
        <v>36.880000000000003</v>
      </c>
      <c r="L100" s="16">
        <f t="shared" si="11"/>
        <v>44.255999999999808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>
        <v>2</v>
      </c>
      <c r="W100" s="12"/>
      <c r="X100" s="11"/>
      <c r="Y100" s="11"/>
      <c r="Z100" s="11"/>
      <c r="AA100" s="11"/>
      <c r="AB100" s="11">
        <v>10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1463</v>
      </c>
      <c r="F101" s="8"/>
      <c r="G101" s="9">
        <v>0.43819444444444444</v>
      </c>
      <c r="H101" s="9">
        <v>0.44722222222222224</v>
      </c>
      <c r="I101" s="10">
        <f t="shared" si="10"/>
        <v>9.0277777777778012E-3</v>
      </c>
      <c r="J101" s="11">
        <v>5</v>
      </c>
      <c r="K101" s="11">
        <v>56.7</v>
      </c>
      <c r="L101" s="16">
        <f t="shared" si="11"/>
        <v>52.338461538461409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2</v>
      </c>
      <c r="W101" s="12"/>
      <c r="X101" s="11"/>
      <c r="Y101" s="11"/>
      <c r="Z101" s="11"/>
      <c r="AA101" s="11"/>
      <c r="AB101" s="11">
        <v>13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1464</v>
      </c>
      <c r="F102" s="8"/>
      <c r="G102" s="9">
        <v>0.36458333333333331</v>
      </c>
      <c r="H102" s="9">
        <v>0.39583333333333331</v>
      </c>
      <c r="I102" s="10">
        <f t="shared" si="10"/>
        <v>3.125E-2</v>
      </c>
      <c r="J102" s="11">
        <v>5</v>
      </c>
      <c r="K102" s="11">
        <f>4.363*20</f>
        <v>87.26</v>
      </c>
      <c r="L102" s="16">
        <f t="shared" si="11"/>
        <v>23.269333333333336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>
        <v>2</v>
      </c>
      <c r="W102" s="12"/>
      <c r="X102" s="11">
        <v>45</v>
      </c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1465</v>
      </c>
      <c r="F103" s="8"/>
      <c r="G103" s="9">
        <v>0.36875000000000002</v>
      </c>
      <c r="H103" s="9">
        <v>0.4</v>
      </c>
      <c r="I103" s="10">
        <f t="shared" si="10"/>
        <v>3.125E-2</v>
      </c>
      <c r="J103" s="11">
        <v>5</v>
      </c>
      <c r="K103" s="11">
        <f t="shared" ref="K103:K110" si="12">4.363*20</f>
        <v>87.26</v>
      </c>
      <c r="L103" s="16">
        <f t="shared" si="11"/>
        <v>23.269333333333336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>
        <v>2</v>
      </c>
      <c r="W103" s="12"/>
      <c r="X103" s="11"/>
      <c r="Y103" s="11">
        <v>45</v>
      </c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1466</v>
      </c>
      <c r="F104" s="8"/>
      <c r="G104" s="9">
        <v>0.38472222222222224</v>
      </c>
      <c r="H104" s="9">
        <v>0.41597222222222224</v>
      </c>
      <c r="I104" s="10">
        <f t="shared" si="10"/>
        <v>3.125E-2</v>
      </c>
      <c r="J104" s="11">
        <v>5</v>
      </c>
      <c r="K104" s="11">
        <f>4.363*2</f>
        <v>8.7260000000000009</v>
      </c>
      <c r="L104" s="16">
        <f t="shared" si="11"/>
        <v>2.3269333333333333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>
        <v>2</v>
      </c>
      <c r="W104" s="12"/>
      <c r="X104" s="11"/>
      <c r="Y104" s="11"/>
      <c r="Z104" s="11">
        <v>45</v>
      </c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1467</v>
      </c>
      <c r="F105" s="8"/>
      <c r="G105" s="9">
        <v>0.38472222222222224</v>
      </c>
      <c r="H105" s="9">
        <v>0.41597222222222224</v>
      </c>
      <c r="I105" s="10">
        <f t="shared" si="10"/>
        <v>3.125E-2</v>
      </c>
      <c r="J105" s="11">
        <v>5</v>
      </c>
      <c r="K105" s="11">
        <f>4.363*18</f>
        <v>78.534000000000006</v>
      </c>
      <c r="L105" s="16">
        <f t="shared" si="11"/>
        <v>20.942400000000003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>
        <v>2</v>
      </c>
      <c r="W105" s="12"/>
      <c r="X105" s="11"/>
      <c r="Y105" s="11"/>
      <c r="Z105" s="11">
        <v>45</v>
      </c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1468</v>
      </c>
      <c r="F106" s="8"/>
      <c r="G106" s="9">
        <v>0.38819444444444445</v>
      </c>
      <c r="H106" s="9">
        <v>0.41944444444444445</v>
      </c>
      <c r="I106" s="10">
        <f t="shared" si="10"/>
        <v>3.125E-2</v>
      </c>
      <c r="J106" s="11">
        <v>5</v>
      </c>
      <c r="K106" s="11">
        <f t="shared" si="12"/>
        <v>87.26</v>
      </c>
      <c r="L106" s="16">
        <f t="shared" si="11"/>
        <v>23.269333333333336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2</v>
      </c>
      <c r="W106" s="12"/>
      <c r="X106" s="11"/>
      <c r="Y106" s="11"/>
      <c r="Z106" s="11"/>
      <c r="AA106" s="11">
        <v>45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1469</v>
      </c>
      <c r="F107" s="8"/>
      <c r="G107" s="9">
        <v>0.41319444444444442</v>
      </c>
      <c r="H107" s="9">
        <v>0.44444444444444442</v>
      </c>
      <c r="I107" s="10">
        <f t="shared" si="10"/>
        <v>3.125E-2</v>
      </c>
      <c r="J107" s="11">
        <v>5</v>
      </c>
      <c r="K107" s="11">
        <f>4.363*4</f>
        <v>17.452000000000002</v>
      </c>
      <c r="L107" s="16">
        <f t="shared" si="11"/>
        <v>4.6538666666666666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>
        <v>2</v>
      </c>
      <c r="W107" s="12"/>
      <c r="X107" s="11"/>
      <c r="Y107" s="11">
        <v>45</v>
      </c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1470</v>
      </c>
      <c r="F108" s="8"/>
      <c r="G108" s="9">
        <v>0.41319444444444442</v>
      </c>
      <c r="H108" s="9">
        <v>0.44444444444444442</v>
      </c>
      <c r="I108" s="10">
        <f t="shared" si="10"/>
        <v>3.125E-2</v>
      </c>
      <c r="J108" s="11">
        <v>5</v>
      </c>
      <c r="K108" s="11">
        <f>4.363*16</f>
        <v>69.808000000000007</v>
      </c>
      <c r="L108" s="16">
        <f t="shared" si="11"/>
        <v>18.615466666666666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>
        <v>2</v>
      </c>
      <c r="W108" s="12"/>
      <c r="X108" s="11"/>
      <c r="Y108" s="11">
        <v>45</v>
      </c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1471</v>
      </c>
      <c r="F109" s="8"/>
      <c r="G109" s="9">
        <v>0.41666666666666669</v>
      </c>
      <c r="H109" s="9">
        <v>0.44791666666666669</v>
      </c>
      <c r="I109" s="10">
        <f t="shared" si="10"/>
        <v>3.125E-2</v>
      </c>
      <c r="J109" s="11">
        <v>5</v>
      </c>
      <c r="K109" s="11">
        <f t="shared" si="12"/>
        <v>87.26</v>
      </c>
      <c r="L109" s="16">
        <f t="shared" si="11"/>
        <v>23.269333333333336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>
        <v>2</v>
      </c>
      <c r="W109" s="12"/>
      <c r="X109" s="11">
        <v>45</v>
      </c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1472</v>
      </c>
      <c r="F110" s="8"/>
      <c r="G110" s="9">
        <v>0.42708333333333331</v>
      </c>
      <c r="H110" s="9">
        <v>0.45833333333333331</v>
      </c>
      <c r="I110" s="10">
        <f t="shared" si="10"/>
        <v>3.125E-2</v>
      </c>
      <c r="J110" s="11">
        <v>5</v>
      </c>
      <c r="K110" s="11">
        <f t="shared" si="12"/>
        <v>87.26</v>
      </c>
      <c r="L110" s="16">
        <f t="shared" si="11"/>
        <v>23.269333333333336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>
        <v>2</v>
      </c>
      <c r="W110" s="12"/>
      <c r="X110" s="11"/>
      <c r="Y110" s="11"/>
      <c r="Z110" s="11">
        <v>45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1473</v>
      </c>
      <c r="F111" s="8"/>
      <c r="G111" s="9">
        <v>0.43541666666666667</v>
      </c>
      <c r="H111" s="9">
        <v>0.46666666666666667</v>
      </c>
      <c r="I111" s="10">
        <f t="shared" si="10"/>
        <v>3.125E-2</v>
      </c>
      <c r="J111" s="11">
        <v>5</v>
      </c>
      <c r="K111" s="11">
        <f>4.363*7</f>
        <v>30.541000000000004</v>
      </c>
      <c r="L111" s="16">
        <f t="shared" si="11"/>
        <v>8.1442666666666685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>
        <v>2</v>
      </c>
      <c r="W111" s="12"/>
      <c r="X111" s="11"/>
      <c r="Y111" s="11"/>
      <c r="Z111" s="11"/>
      <c r="AA111" s="11">
        <v>45</v>
      </c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/>
      <c r="F112" s="8"/>
      <c r="G112" s="9"/>
      <c r="H112" s="9"/>
      <c r="I112" s="10">
        <f t="shared" si="10"/>
        <v>0</v>
      </c>
      <c r="J112" s="11"/>
      <c r="K112" s="11"/>
      <c r="L112" s="16" t="str">
        <f t="shared" si="11"/>
        <v>0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 t="s">
        <v>1013</v>
      </c>
      <c r="E113" s="19" t="s">
        <v>1090</v>
      </c>
      <c r="F113" s="8"/>
      <c r="G113" s="9">
        <v>0.38333333333333336</v>
      </c>
      <c r="H113" s="9">
        <v>0.39027777777777778</v>
      </c>
      <c r="I113" s="10">
        <f t="shared" si="10"/>
        <v>6.9444444444444198E-3</v>
      </c>
      <c r="J113" s="11">
        <v>1</v>
      </c>
      <c r="K113" s="11">
        <f>0.09*520</f>
        <v>46.8</v>
      </c>
      <c r="L113" s="16">
        <f t="shared" si="11"/>
        <v>280.80000000000098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>
        <v>10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 t="s">
        <v>1091</v>
      </c>
      <c r="F114" s="8"/>
      <c r="G114" s="9">
        <v>0.4777777777777778</v>
      </c>
      <c r="H114" s="9">
        <v>0.48472222222222222</v>
      </c>
      <c r="I114" s="10">
        <f t="shared" si="10"/>
        <v>6.9444444444444198E-3</v>
      </c>
      <c r="J114" s="11">
        <v>1</v>
      </c>
      <c r="K114" s="11">
        <f t="shared" ref="K114:K125" si="13">0.09*520</f>
        <v>46.8</v>
      </c>
      <c r="L114" s="16">
        <f t="shared" si="11"/>
        <v>280.80000000000098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>
        <v>10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9" t="s">
        <v>1092</v>
      </c>
      <c r="F115" s="8"/>
      <c r="G115" s="9">
        <v>0.48749999999999999</v>
      </c>
      <c r="H115" s="9">
        <v>0.49444444444444446</v>
      </c>
      <c r="I115" s="10">
        <f t="shared" si="10"/>
        <v>6.9444444444444753E-3</v>
      </c>
      <c r="J115" s="11">
        <v>1</v>
      </c>
      <c r="K115" s="11">
        <f t="shared" si="13"/>
        <v>46.8</v>
      </c>
      <c r="L115" s="16">
        <f t="shared" si="11"/>
        <v>280.79999999999876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>
        <v>10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2:38" ht="25.05" customHeight="1">
      <c r="B116" s="13"/>
      <c r="C116" s="29"/>
      <c r="D116" s="30"/>
      <c r="E116" s="19" t="s">
        <v>1093</v>
      </c>
      <c r="F116" s="8"/>
      <c r="G116" s="9">
        <v>0.5</v>
      </c>
      <c r="H116" s="9">
        <v>0.50694444444444442</v>
      </c>
      <c r="I116" s="10">
        <f t="shared" si="10"/>
        <v>6.9444444444444198E-3</v>
      </c>
      <c r="J116" s="11">
        <v>1</v>
      </c>
      <c r="K116" s="11">
        <f t="shared" si="13"/>
        <v>46.8</v>
      </c>
      <c r="L116" s="16">
        <f t="shared" si="11"/>
        <v>280.80000000000098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10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2:38" ht="25.05" customHeight="1">
      <c r="B117" s="13"/>
      <c r="C117" s="29"/>
      <c r="D117" s="30"/>
      <c r="E117" s="19" t="s">
        <v>1094</v>
      </c>
      <c r="F117" s="8"/>
      <c r="G117" s="9">
        <v>0.50902777777777775</v>
      </c>
      <c r="H117" s="9">
        <v>0.51597222222222228</v>
      </c>
      <c r="I117" s="10">
        <f t="shared" si="10"/>
        <v>6.9444444444445308E-3</v>
      </c>
      <c r="J117" s="11">
        <v>1</v>
      </c>
      <c r="K117" s="11">
        <f t="shared" si="13"/>
        <v>46.8</v>
      </c>
      <c r="L117" s="16">
        <f t="shared" si="11"/>
        <v>280.79999999999649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>
        <v>10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2:38" ht="25.05" customHeight="1">
      <c r="B118" s="13"/>
      <c r="C118" s="29"/>
      <c r="D118" s="30"/>
      <c r="E118" s="19" t="s">
        <v>1095</v>
      </c>
      <c r="F118" s="8"/>
      <c r="G118" s="9">
        <v>0.51736111111111116</v>
      </c>
      <c r="H118" s="9">
        <v>0.52430555555555558</v>
      </c>
      <c r="I118" s="10">
        <f t="shared" si="10"/>
        <v>6.9444444444444198E-3</v>
      </c>
      <c r="J118" s="11">
        <v>1</v>
      </c>
      <c r="K118" s="11">
        <f t="shared" si="13"/>
        <v>46.8</v>
      </c>
      <c r="L118" s="16">
        <f t="shared" si="11"/>
        <v>280.80000000000098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>
        <v>10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2:38" ht="25.05" customHeight="1">
      <c r="B119" s="13"/>
      <c r="C119" s="29"/>
      <c r="D119" s="30"/>
      <c r="E119" s="19" t="s">
        <v>1369</v>
      </c>
      <c r="F119" s="8"/>
      <c r="G119" s="9">
        <v>0.56944444444444442</v>
      </c>
      <c r="H119" s="9">
        <v>0.57638888888888884</v>
      </c>
      <c r="I119" s="10">
        <f t="shared" si="10"/>
        <v>6.9444444444444198E-3</v>
      </c>
      <c r="J119" s="11">
        <v>1</v>
      </c>
      <c r="K119" s="11">
        <f t="shared" si="13"/>
        <v>46.8</v>
      </c>
      <c r="L119" s="16">
        <f t="shared" si="11"/>
        <v>280.80000000000098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/>
      <c r="E120" s="19" t="s">
        <v>1096</v>
      </c>
      <c r="F120" s="8"/>
      <c r="G120" s="9">
        <v>0.65694444444444444</v>
      </c>
      <c r="H120" s="9">
        <v>0.66388888888888886</v>
      </c>
      <c r="I120" s="10">
        <f t="shared" si="10"/>
        <v>6.9444444444444198E-3</v>
      </c>
      <c r="J120" s="11">
        <v>1</v>
      </c>
      <c r="K120" s="11">
        <f t="shared" si="13"/>
        <v>46.8</v>
      </c>
      <c r="L120" s="16">
        <f t="shared" si="11"/>
        <v>280.80000000000098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>
        <v>10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 t="s">
        <v>1097</v>
      </c>
      <c r="F121" s="8"/>
      <c r="G121" s="9">
        <v>0.66736111111111107</v>
      </c>
      <c r="H121" s="9">
        <v>0.6743055555555556</v>
      </c>
      <c r="I121" s="10">
        <f t="shared" si="10"/>
        <v>6.9444444444445308E-3</v>
      </c>
      <c r="J121" s="11">
        <v>1</v>
      </c>
      <c r="K121" s="11">
        <f t="shared" si="13"/>
        <v>46.8</v>
      </c>
      <c r="L121" s="16">
        <f t="shared" si="11"/>
        <v>280.79999999999649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>
        <v>10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30"/>
      <c r="E122" s="19" t="s">
        <v>1098</v>
      </c>
      <c r="F122" s="8"/>
      <c r="G122" s="9">
        <v>0.68888888888888888</v>
      </c>
      <c r="H122" s="9">
        <v>0.6958333333333333</v>
      </c>
      <c r="I122" s="10">
        <f t="shared" si="10"/>
        <v>6.9444444444444198E-3</v>
      </c>
      <c r="J122" s="11">
        <v>1</v>
      </c>
      <c r="K122" s="11">
        <f t="shared" si="13"/>
        <v>46.8</v>
      </c>
      <c r="L122" s="16">
        <f t="shared" si="11"/>
        <v>280.80000000000098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>
        <v>10</v>
      </c>
      <c r="W122" s="12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/>
      <c r="E123" s="19" t="s">
        <v>1099</v>
      </c>
      <c r="F123" s="8"/>
      <c r="G123" s="9">
        <v>0.69722222222222219</v>
      </c>
      <c r="H123" s="9">
        <v>0.70416666666666672</v>
      </c>
      <c r="I123" s="10">
        <f t="shared" si="10"/>
        <v>6.9444444444445308E-3</v>
      </c>
      <c r="J123" s="11">
        <v>1</v>
      </c>
      <c r="K123" s="11">
        <f t="shared" si="13"/>
        <v>46.8</v>
      </c>
      <c r="L123" s="16">
        <f t="shared" si="11"/>
        <v>280.79999999999649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/>
      <c r="W123" s="12">
        <v>10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2:38" ht="25.05" customHeight="1">
      <c r="B124" s="13"/>
      <c r="C124" s="29"/>
      <c r="D124" s="30"/>
      <c r="E124" s="19" t="s">
        <v>1100</v>
      </c>
      <c r="F124" s="8"/>
      <c r="G124" s="9">
        <v>0.7104166666666667</v>
      </c>
      <c r="H124" s="9">
        <v>0.71736111111111112</v>
      </c>
      <c r="I124" s="10">
        <f t="shared" si="10"/>
        <v>6.9444444444444198E-3</v>
      </c>
      <c r="J124" s="11">
        <v>1</v>
      </c>
      <c r="K124" s="11">
        <f t="shared" si="13"/>
        <v>46.8</v>
      </c>
      <c r="L124" s="16">
        <f t="shared" si="11"/>
        <v>280.80000000000098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>
        <v>10</v>
      </c>
      <c r="W124" s="12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/>
      <c r="E125" s="19" t="s">
        <v>1101</v>
      </c>
      <c r="F125" s="8"/>
      <c r="G125" s="9">
        <v>0.72361111111111109</v>
      </c>
      <c r="H125" s="9">
        <v>0.73055555555555551</v>
      </c>
      <c r="I125" s="10">
        <f t="shared" si="10"/>
        <v>6.9444444444444198E-3</v>
      </c>
      <c r="J125" s="11">
        <v>1</v>
      </c>
      <c r="K125" s="11">
        <f t="shared" si="13"/>
        <v>46.8</v>
      </c>
      <c r="L125" s="16">
        <f t="shared" si="11"/>
        <v>280.80000000000098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>
        <v>10</v>
      </c>
      <c r="W125" s="12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19" t="s">
        <v>1474</v>
      </c>
      <c r="F126" s="8"/>
      <c r="G126" s="9">
        <v>0.72777777777777775</v>
      </c>
      <c r="H126" s="9">
        <v>0.73472222222222228</v>
      </c>
      <c r="I126" s="10">
        <f t="shared" si="10"/>
        <v>6.9444444444445308E-3</v>
      </c>
      <c r="J126" s="11">
        <v>1</v>
      </c>
      <c r="K126" s="11">
        <v>19.350000000000001</v>
      </c>
      <c r="L126" s="16">
        <f t="shared" si="11"/>
        <v>116.09999999999856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>
        <v>10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0"/>
      <c r="E127" s="19"/>
      <c r="F127" s="8"/>
      <c r="G127" s="9"/>
      <c r="H127" s="9"/>
      <c r="I127" s="10">
        <f t="shared" si="10"/>
        <v>0</v>
      </c>
      <c r="J127" s="11"/>
      <c r="K127" s="11"/>
      <c r="L127" s="16" t="str">
        <f t="shared" si="11"/>
        <v>0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/>
      <c r="W127" s="12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0" t="s">
        <v>1475</v>
      </c>
      <c r="E128" s="19" t="s">
        <v>1476</v>
      </c>
      <c r="F128" s="8"/>
      <c r="G128" s="9">
        <v>0.62152777777777779</v>
      </c>
      <c r="H128" s="9">
        <v>0.63888888888888884</v>
      </c>
      <c r="I128" s="10">
        <f t="shared" si="10"/>
        <v>1.7361111111111049E-2</v>
      </c>
      <c r="J128" s="11">
        <v>2</v>
      </c>
      <c r="K128" s="11"/>
      <c r="L128" s="16">
        <f t="shared" si="11"/>
        <v>0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>
        <v>2</v>
      </c>
      <c r="W128" s="12"/>
      <c r="X128" s="11"/>
      <c r="Y128" s="11"/>
      <c r="Z128" s="11"/>
      <c r="AA128" s="11"/>
      <c r="AB128" s="11"/>
      <c r="AC128" s="11"/>
      <c r="AD128" s="11">
        <v>25</v>
      </c>
      <c r="AE128" s="11"/>
      <c r="AF128" s="11"/>
      <c r="AG128" s="11"/>
      <c r="AH128" s="11"/>
      <c r="AI128" s="11"/>
      <c r="AJ128" s="11"/>
      <c r="AK128" s="11"/>
      <c r="AL128" s="14"/>
    </row>
    <row r="129" spans="1:38" ht="25.05" customHeight="1">
      <c r="B129" s="13"/>
      <c r="C129" s="29"/>
      <c r="D129" s="30" t="s">
        <v>1477</v>
      </c>
      <c r="E129" s="19" t="s">
        <v>1478</v>
      </c>
      <c r="F129" s="8"/>
      <c r="G129" s="9">
        <v>0.46805555555555556</v>
      </c>
      <c r="H129" s="9">
        <v>0.49444444444444446</v>
      </c>
      <c r="I129" s="10">
        <f t="shared" ref="I129:I141" si="14">H129-G129</f>
        <v>2.6388888888888906E-2</v>
      </c>
      <c r="J129" s="11">
        <v>2</v>
      </c>
      <c r="K129" s="11">
        <v>1.36</v>
      </c>
      <c r="L129" s="16">
        <f t="shared" ref="L129:L136" si="15">IFERROR(((K129/(J129*I129)/24)),"0")</f>
        <v>1.0736842105263151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>
        <v>2</v>
      </c>
      <c r="W129" s="12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>
        <v>38</v>
      </c>
      <c r="AL129" s="14"/>
    </row>
    <row r="130" spans="1:38" ht="25.05" customHeight="1">
      <c r="B130" s="13"/>
      <c r="C130" s="29"/>
      <c r="D130" s="30"/>
      <c r="E130" s="19" t="s">
        <v>1479</v>
      </c>
      <c r="F130" s="8"/>
      <c r="G130" s="9">
        <v>0.49305555555555558</v>
      </c>
      <c r="H130" s="9">
        <v>0.50358796296296293</v>
      </c>
      <c r="I130" s="10">
        <f t="shared" si="14"/>
        <v>1.0532407407407351E-2</v>
      </c>
      <c r="J130" s="11">
        <v>2</v>
      </c>
      <c r="K130" s="62" t="s">
        <v>42</v>
      </c>
      <c r="L130" s="16" t="str">
        <f t="shared" si="15"/>
        <v>0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>
        <v>2</v>
      </c>
      <c r="W130" s="12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4"/>
    </row>
    <row r="131" spans="1:38" ht="25.05" customHeight="1">
      <c r="B131" s="13"/>
      <c r="C131" s="29"/>
      <c r="D131" s="30"/>
      <c r="E131" s="19" t="s">
        <v>1480</v>
      </c>
      <c r="F131" s="8"/>
      <c r="G131" s="9">
        <v>0.58958333333333335</v>
      </c>
      <c r="H131" s="9">
        <v>0.60486111111111107</v>
      </c>
      <c r="I131" s="10">
        <f t="shared" si="14"/>
        <v>1.5277777777777724E-2</v>
      </c>
      <c r="J131" s="11">
        <v>2</v>
      </c>
      <c r="K131" s="11">
        <v>7.63</v>
      </c>
      <c r="L131" s="16">
        <f t="shared" si="15"/>
        <v>10.404545454545492</v>
      </c>
      <c r="M131" s="11"/>
      <c r="N131" s="11"/>
      <c r="O131" s="11"/>
      <c r="P131" s="11"/>
      <c r="Q131" s="11"/>
      <c r="R131" s="12"/>
      <c r="S131" s="12"/>
      <c r="T131" s="11"/>
      <c r="U131" s="11"/>
      <c r="V131" s="12">
        <v>2</v>
      </c>
      <c r="W131" s="12"/>
      <c r="X131" s="11"/>
      <c r="Y131" s="11"/>
      <c r="Z131" s="11"/>
      <c r="AA131" s="11"/>
      <c r="AB131" s="11"/>
      <c r="AC131" s="11"/>
      <c r="AD131" s="11"/>
      <c r="AE131" s="11">
        <v>22</v>
      </c>
      <c r="AF131" s="11"/>
      <c r="AG131" s="11"/>
      <c r="AH131" s="11"/>
      <c r="AI131" s="11"/>
      <c r="AJ131" s="11"/>
      <c r="AK131" s="11"/>
      <c r="AL131" s="14"/>
    </row>
    <row r="132" spans="1:38" ht="25.05" customHeight="1">
      <c r="B132" s="13"/>
      <c r="C132" s="29"/>
      <c r="D132" s="30"/>
      <c r="E132" s="30" t="s">
        <v>1481</v>
      </c>
      <c r="F132" s="8"/>
      <c r="G132" s="9">
        <v>0.60069444444444442</v>
      </c>
      <c r="H132" s="9">
        <v>0.61319444444444449</v>
      </c>
      <c r="I132" s="10">
        <f t="shared" si="14"/>
        <v>1.2500000000000067E-2</v>
      </c>
      <c r="J132" s="11">
        <v>2</v>
      </c>
      <c r="K132" s="11">
        <v>39.659999999999997</v>
      </c>
      <c r="L132" s="16">
        <f t="shared" si="15"/>
        <v>66.099999999999639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>
        <v>2</v>
      </c>
      <c r="W132" s="12"/>
      <c r="X132" s="11"/>
      <c r="Y132" s="11"/>
      <c r="Z132" s="11"/>
      <c r="AA132" s="11"/>
      <c r="AB132" s="11"/>
      <c r="AC132" s="11"/>
      <c r="AD132" s="11">
        <v>18</v>
      </c>
      <c r="AE132" s="11"/>
      <c r="AF132" s="11"/>
      <c r="AG132" s="11"/>
      <c r="AH132" s="11"/>
      <c r="AI132" s="11"/>
      <c r="AJ132" s="11"/>
      <c r="AK132" s="11"/>
      <c r="AL132" s="14"/>
    </row>
    <row r="133" spans="1:38" ht="25.05" customHeight="1">
      <c r="B133" s="13"/>
      <c r="C133" s="29"/>
      <c r="D133" s="30"/>
      <c r="E133" s="19" t="s">
        <v>1482</v>
      </c>
      <c r="F133" s="8"/>
      <c r="G133" s="9">
        <v>0.59027777777777779</v>
      </c>
      <c r="H133" s="9">
        <v>0.59039351851851851</v>
      </c>
      <c r="I133" s="10">
        <f t="shared" si="14"/>
        <v>1.1574074074072183E-4</v>
      </c>
      <c r="J133" s="11">
        <v>2</v>
      </c>
      <c r="K133" s="11">
        <v>1.46</v>
      </c>
      <c r="L133" s="16">
        <f t="shared" si="15"/>
        <v>262.80000000004293</v>
      </c>
      <c r="M133" s="11"/>
      <c r="N133" s="11"/>
      <c r="O133" s="11"/>
      <c r="P133" s="11"/>
      <c r="Q133" s="11"/>
      <c r="R133" s="12"/>
      <c r="S133" s="12"/>
      <c r="T133" s="11"/>
      <c r="U133" s="11"/>
      <c r="V133" s="12">
        <v>2</v>
      </c>
      <c r="W133" s="12"/>
      <c r="X133" s="11"/>
      <c r="Y133" s="11"/>
      <c r="Z133" s="11"/>
      <c r="AA133" s="11"/>
      <c r="AB133" s="11"/>
      <c r="AC133" s="11"/>
      <c r="AD133" s="11">
        <v>1</v>
      </c>
      <c r="AE133" s="11"/>
      <c r="AF133" s="11"/>
      <c r="AG133" s="11"/>
      <c r="AH133" s="11"/>
      <c r="AI133" s="11"/>
      <c r="AJ133" s="11"/>
      <c r="AK133" s="11"/>
      <c r="AL133" s="14"/>
    </row>
    <row r="134" spans="1:38" ht="25.05" customHeight="1">
      <c r="B134" s="13"/>
      <c r="C134" s="29"/>
      <c r="D134" s="30"/>
      <c r="E134" s="19" t="s">
        <v>1483</v>
      </c>
      <c r="F134" s="8"/>
      <c r="G134" s="9"/>
      <c r="H134" s="9"/>
      <c r="I134" s="10">
        <f t="shared" si="14"/>
        <v>0</v>
      </c>
      <c r="J134" s="11">
        <v>2</v>
      </c>
      <c r="K134" s="11"/>
      <c r="L134" s="16" t="str">
        <f t="shared" si="15"/>
        <v>0</v>
      </c>
      <c r="M134" s="11"/>
      <c r="N134" s="11"/>
      <c r="O134" s="11"/>
      <c r="P134" s="11"/>
      <c r="Q134" s="11"/>
      <c r="R134" s="12"/>
      <c r="S134" s="12"/>
      <c r="T134" s="11"/>
      <c r="U134" s="11"/>
      <c r="V134" s="12">
        <v>2</v>
      </c>
      <c r="W134" s="12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spans="1:38" ht="25.05" customHeight="1">
      <c r="B135" s="13"/>
      <c r="C135" s="29"/>
      <c r="D135" s="30"/>
      <c r="E135" s="19" t="s">
        <v>1484</v>
      </c>
      <c r="F135" s="8"/>
      <c r="G135" s="9">
        <v>0.59375</v>
      </c>
      <c r="H135" s="9">
        <v>0.59375</v>
      </c>
      <c r="I135" s="10">
        <f t="shared" si="14"/>
        <v>0</v>
      </c>
      <c r="J135" s="11">
        <v>2</v>
      </c>
      <c r="K135" s="11">
        <v>3.74</v>
      </c>
      <c r="L135" s="16" t="str">
        <f t="shared" si="15"/>
        <v>0</v>
      </c>
      <c r="M135" s="11"/>
      <c r="N135" s="11"/>
      <c r="O135" s="11"/>
      <c r="P135" s="11"/>
      <c r="Q135" s="11"/>
      <c r="R135" s="12"/>
      <c r="S135" s="12"/>
      <c r="T135" s="11"/>
      <c r="U135" s="11"/>
      <c r="V135" s="12">
        <v>2</v>
      </c>
      <c r="W135" s="12"/>
      <c r="X135" s="11"/>
      <c r="Y135" s="11"/>
      <c r="Z135" s="11"/>
      <c r="AA135" s="11"/>
      <c r="AB135" s="11"/>
      <c r="AC135" s="11"/>
      <c r="AD135" s="11">
        <v>1</v>
      </c>
      <c r="AE135" s="11"/>
      <c r="AF135" s="11"/>
      <c r="AG135" s="11"/>
      <c r="AH135" s="11"/>
      <c r="AI135" s="11"/>
      <c r="AJ135" s="11"/>
      <c r="AK135" s="11"/>
      <c r="AL135" s="14"/>
    </row>
    <row r="136" spans="1:38" ht="25.05" customHeight="1">
      <c r="B136" s="13"/>
      <c r="C136" s="29"/>
      <c r="D136" s="30"/>
      <c r="E136" s="19" t="s">
        <v>1485</v>
      </c>
      <c r="F136" s="8"/>
      <c r="G136" s="9">
        <v>0.59236111111111112</v>
      </c>
      <c r="H136" s="9">
        <v>0.59236111111111112</v>
      </c>
      <c r="I136" s="10">
        <f t="shared" si="14"/>
        <v>0</v>
      </c>
      <c r="J136" s="11">
        <v>2</v>
      </c>
      <c r="K136" s="11">
        <v>6.48</v>
      </c>
      <c r="L136" s="16" t="str">
        <f t="shared" si="15"/>
        <v>0</v>
      </c>
      <c r="M136" s="11"/>
      <c r="N136" s="11"/>
      <c r="O136" s="11"/>
      <c r="P136" s="11"/>
      <c r="Q136" s="11"/>
      <c r="R136" s="12"/>
      <c r="S136" s="12"/>
      <c r="T136" s="11"/>
      <c r="U136" s="11"/>
      <c r="V136" s="12">
        <v>2</v>
      </c>
      <c r="W136" s="12"/>
      <c r="X136" s="11"/>
      <c r="Y136" s="11"/>
      <c r="Z136" s="11"/>
      <c r="AA136" s="11"/>
      <c r="AB136" s="11"/>
      <c r="AC136" s="11"/>
      <c r="AD136" s="11">
        <v>1</v>
      </c>
      <c r="AE136" s="11"/>
      <c r="AF136" s="11"/>
      <c r="AG136" s="11"/>
      <c r="AH136" s="11"/>
      <c r="AI136" s="11"/>
      <c r="AJ136" s="11"/>
      <c r="AK136" s="11"/>
      <c r="AL136" s="14"/>
    </row>
    <row r="137" spans="1:38" ht="25.05" customHeight="1">
      <c r="B137" s="13"/>
      <c r="C137" s="29"/>
      <c r="D137" s="30"/>
      <c r="E137" s="19"/>
      <c r="F137" s="8"/>
      <c r="G137" s="9"/>
      <c r="H137" s="9"/>
      <c r="I137" s="10">
        <f t="shared" si="14"/>
        <v>0</v>
      </c>
      <c r="J137" s="11"/>
      <c r="K137" s="11"/>
      <c r="L137" s="16" t="str">
        <f t="shared" ref="L137:L142" si="16">IFERROR(((K137/(J137*I137)/24)),"0")</f>
        <v>0</v>
      </c>
      <c r="M137" s="11"/>
      <c r="N137" s="11"/>
      <c r="O137" s="11"/>
      <c r="P137" s="11"/>
      <c r="Q137" s="11"/>
      <c r="R137" s="12"/>
      <c r="S137" s="12"/>
      <c r="T137" s="11"/>
      <c r="U137" s="11"/>
      <c r="V137" s="12"/>
      <c r="W137" s="12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4"/>
    </row>
    <row r="138" spans="1:38" ht="25.05" customHeight="1">
      <c r="B138" s="13"/>
      <c r="C138" s="29"/>
      <c r="D138" s="6" t="s">
        <v>1004</v>
      </c>
      <c r="E138" s="19" t="s">
        <v>1340</v>
      </c>
      <c r="F138" s="8"/>
      <c r="G138" s="9">
        <v>0.63888888888888884</v>
      </c>
      <c r="H138" s="9">
        <v>0.64513888888888893</v>
      </c>
      <c r="I138" s="10">
        <f t="shared" si="14"/>
        <v>6.2500000000000888E-3</v>
      </c>
      <c r="J138" s="11">
        <v>5</v>
      </c>
      <c r="K138" s="11">
        <v>41.14</v>
      </c>
      <c r="L138" s="16">
        <f t="shared" si="16"/>
        <v>54.853333333332557</v>
      </c>
      <c r="M138" s="11"/>
      <c r="N138" s="11"/>
      <c r="O138" s="11"/>
      <c r="P138" s="11"/>
      <c r="Q138" s="11"/>
      <c r="R138" s="12"/>
      <c r="S138" s="12"/>
      <c r="T138" s="11"/>
      <c r="U138" s="11"/>
      <c r="V138" s="12"/>
      <c r="W138" s="12"/>
      <c r="X138" s="11"/>
      <c r="Y138" s="11"/>
      <c r="Z138" s="11"/>
      <c r="AA138" s="11"/>
      <c r="AB138" s="11"/>
      <c r="AC138" s="11">
        <v>9</v>
      </c>
      <c r="AD138" s="11"/>
      <c r="AE138" s="11"/>
      <c r="AF138" s="11"/>
      <c r="AG138" s="11"/>
      <c r="AH138" s="11"/>
      <c r="AI138" s="11"/>
      <c r="AJ138" s="11"/>
      <c r="AK138" s="11"/>
      <c r="AL138" s="14"/>
    </row>
    <row r="139" spans="1:38" ht="25.05" customHeight="1">
      <c r="B139" s="13"/>
      <c r="C139" s="29"/>
      <c r="D139" s="127" t="s">
        <v>1486</v>
      </c>
      <c r="E139" s="19" t="s">
        <v>1341</v>
      </c>
      <c r="F139" s="8"/>
      <c r="G139" s="9">
        <v>0.63888888888888884</v>
      </c>
      <c r="H139" s="9">
        <v>0.64513888888888893</v>
      </c>
      <c r="I139" s="10">
        <f t="shared" si="14"/>
        <v>6.2500000000000888E-3</v>
      </c>
      <c r="J139" s="11">
        <v>5</v>
      </c>
      <c r="K139" s="11">
        <v>41.14</v>
      </c>
      <c r="L139" s="16">
        <f t="shared" si="16"/>
        <v>54.853333333332557</v>
      </c>
      <c r="M139" s="11"/>
      <c r="N139" s="11"/>
      <c r="O139" s="11"/>
      <c r="P139" s="11"/>
      <c r="Q139" s="11"/>
      <c r="R139" s="12"/>
      <c r="S139" s="12"/>
      <c r="T139" s="11"/>
      <c r="U139" s="11"/>
      <c r="V139" s="12"/>
      <c r="W139" s="12"/>
      <c r="X139" s="11"/>
      <c r="Y139" s="11"/>
      <c r="Z139" s="11"/>
      <c r="AA139" s="11"/>
      <c r="AB139" s="11"/>
      <c r="AC139" s="11">
        <v>9</v>
      </c>
      <c r="AD139" s="11"/>
      <c r="AE139" s="11"/>
      <c r="AF139" s="11"/>
      <c r="AG139" s="11"/>
      <c r="AH139" s="11"/>
      <c r="AI139" s="11"/>
      <c r="AJ139" s="11"/>
      <c r="AK139" s="11"/>
      <c r="AL139" s="14"/>
    </row>
    <row r="140" spans="1:38" ht="25.05" customHeight="1">
      <c r="B140" s="13"/>
      <c r="C140" s="29"/>
      <c r="D140" s="30"/>
      <c r="E140" s="19" t="s">
        <v>1342</v>
      </c>
      <c r="F140" s="8"/>
      <c r="G140" s="9">
        <v>0.65347222222222223</v>
      </c>
      <c r="H140" s="9">
        <v>0.65972222222222221</v>
      </c>
      <c r="I140" s="10">
        <f t="shared" si="14"/>
        <v>6.2499999999999778E-3</v>
      </c>
      <c r="J140" s="11">
        <v>5</v>
      </c>
      <c r="K140" s="11">
        <v>41.14</v>
      </c>
      <c r="L140" s="16">
        <f t="shared" si="16"/>
        <v>54.853333333333531</v>
      </c>
      <c r="M140" s="11"/>
      <c r="N140" s="11"/>
      <c r="O140" s="11"/>
      <c r="P140" s="11"/>
      <c r="Q140" s="11"/>
      <c r="R140" s="12"/>
      <c r="S140" s="12"/>
      <c r="T140" s="11"/>
      <c r="U140" s="11"/>
      <c r="V140" s="12"/>
      <c r="W140" s="12"/>
      <c r="X140" s="11"/>
      <c r="Y140" s="11"/>
      <c r="Z140" s="11"/>
      <c r="AA140" s="11"/>
      <c r="AB140" s="11"/>
      <c r="AC140" s="11">
        <v>9</v>
      </c>
      <c r="AD140" s="11"/>
      <c r="AE140" s="11"/>
      <c r="AF140" s="11"/>
      <c r="AG140" s="11"/>
      <c r="AH140" s="11"/>
      <c r="AI140" s="11"/>
      <c r="AJ140" s="11"/>
      <c r="AK140" s="11"/>
      <c r="AL140" s="14"/>
    </row>
    <row r="141" spans="1:38" ht="25.05" customHeight="1">
      <c r="B141" s="13"/>
      <c r="C141" s="29"/>
      <c r="D141" s="30"/>
      <c r="E141" s="19" t="s">
        <v>1343</v>
      </c>
      <c r="F141" s="8"/>
      <c r="G141" s="9">
        <v>0.65347222222222223</v>
      </c>
      <c r="H141" s="9">
        <v>0.65972222222222221</v>
      </c>
      <c r="I141" s="10">
        <f t="shared" si="14"/>
        <v>6.2499999999999778E-3</v>
      </c>
      <c r="J141" s="11">
        <v>5</v>
      </c>
      <c r="K141" s="11">
        <v>41.14</v>
      </c>
      <c r="L141" s="16">
        <f t="shared" si="16"/>
        <v>54.853333333333531</v>
      </c>
      <c r="M141" s="11"/>
      <c r="N141" s="11"/>
      <c r="O141" s="11"/>
      <c r="P141" s="11"/>
      <c r="Q141" s="11"/>
      <c r="R141" s="12"/>
      <c r="S141" s="12"/>
      <c r="T141" s="11"/>
      <c r="U141" s="11"/>
      <c r="V141" s="12"/>
      <c r="W141" s="12"/>
      <c r="X141" s="11"/>
      <c r="Y141" s="11"/>
      <c r="Z141" s="11"/>
      <c r="AA141" s="11"/>
      <c r="AB141" s="11"/>
      <c r="AC141" s="11">
        <v>9</v>
      </c>
      <c r="AD141" s="11"/>
      <c r="AE141" s="11"/>
      <c r="AF141" s="11"/>
      <c r="AG141" s="11"/>
      <c r="AH141" s="11"/>
      <c r="AI141" s="11"/>
      <c r="AJ141" s="11"/>
      <c r="AK141" s="11"/>
      <c r="AL141" s="14"/>
    </row>
    <row r="142" spans="1:38" ht="25.05" customHeight="1">
      <c r="B142" s="13"/>
      <c r="C142" s="29"/>
      <c r="D142" s="30"/>
      <c r="E142" s="19"/>
      <c r="F142" s="8"/>
      <c r="G142" s="9"/>
      <c r="H142" s="9"/>
      <c r="I142" s="10"/>
      <c r="J142" s="11"/>
      <c r="K142" s="11"/>
      <c r="L142" s="16" t="str">
        <f t="shared" si="16"/>
        <v>0</v>
      </c>
      <c r="M142" s="11"/>
      <c r="N142" s="11"/>
      <c r="O142" s="11"/>
      <c r="P142" s="11"/>
      <c r="Q142" s="11"/>
      <c r="R142" s="12"/>
      <c r="S142" s="12"/>
      <c r="T142" s="11"/>
      <c r="U142" s="11"/>
      <c r="V142" s="12"/>
      <c r="W142" s="12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4"/>
    </row>
    <row r="143" spans="1:38" s="28" customFormat="1" ht="25.5" customHeight="1" thickBot="1">
      <c r="A143" s="2"/>
      <c r="B143" s="32"/>
      <c r="C143" s="33"/>
      <c r="D143" s="34"/>
      <c r="E143" s="35"/>
      <c r="F143" s="35"/>
      <c r="G143" s="36"/>
      <c r="H143" s="36"/>
      <c r="I143" s="37"/>
      <c r="J143" s="38"/>
      <c r="K143" s="38">
        <f t="shared" ref="K143:AL143" si="17">SUM(K37:K142)</f>
        <v>5134.3510000000033</v>
      </c>
      <c r="L143" s="39">
        <f t="shared" si="17"/>
        <v>75431.892604712135</v>
      </c>
      <c r="M143" s="38">
        <f t="shared" si="17"/>
        <v>0</v>
      </c>
      <c r="N143" s="38">
        <f t="shared" si="17"/>
        <v>0</v>
      </c>
      <c r="O143" s="38">
        <f t="shared" si="17"/>
        <v>0</v>
      </c>
      <c r="P143" s="38">
        <f t="shared" si="17"/>
        <v>0</v>
      </c>
      <c r="Q143" s="38">
        <f t="shared" si="17"/>
        <v>0</v>
      </c>
      <c r="R143" s="38">
        <f t="shared" si="17"/>
        <v>0</v>
      </c>
      <c r="S143" s="38">
        <f t="shared" si="17"/>
        <v>0</v>
      </c>
      <c r="T143" s="38">
        <f t="shared" si="17"/>
        <v>0</v>
      </c>
      <c r="U143" s="38">
        <f t="shared" si="17"/>
        <v>0</v>
      </c>
      <c r="V143" s="38">
        <f t="shared" si="17"/>
        <v>107</v>
      </c>
      <c r="W143" s="38">
        <f t="shared" si="17"/>
        <v>193</v>
      </c>
      <c r="X143" s="38">
        <f t="shared" si="17"/>
        <v>90</v>
      </c>
      <c r="Y143" s="38">
        <f t="shared" si="17"/>
        <v>135</v>
      </c>
      <c r="Z143" s="38">
        <f t="shared" si="17"/>
        <v>135</v>
      </c>
      <c r="AA143" s="38">
        <f t="shared" si="17"/>
        <v>90</v>
      </c>
      <c r="AB143" s="38">
        <f t="shared" si="17"/>
        <v>239</v>
      </c>
      <c r="AC143" s="38">
        <f t="shared" si="17"/>
        <v>80</v>
      </c>
      <c r="AD143" s="38">
        <f t="shared" si="17"/>
        <v>146</v>
      </c>
      <c r="AE143" s="38">
        <f t="shared" si="17"/>
        <v>22</v>
      </c>
      <c r="AF143" s="38">
        <f t="shared" si="17"/>
        <v>0</v>
      </c>
      <c r="AG143" s="38">
        <f t="shared" si="17"/>
        <v>0</v>
      </c>
      <c r="AH143" s="38">
        <f t="shared" si="17"/>
        <v>0</v>
      </c>
      <c r="AI143" s="38">
        <f t="shared" si="17"/>
        <v>0</v>
      </c>
      <c r="AJ143" s="38">
        <f t="shared" si="17"/>
        <v>0</v>
      </c>
      <c r="AK143" s="38">
        <f t="shared" si="17"/>
        <v>38</v>
      </c>
      <c r="AL143" s="38">
        <f t="shared" si="17"/>
        <v>0</v>
      </c>
    </row>
    <row r="144" spans="1:38" ht="38.1" customHeight="1" thickBot="1">
      <c r="B144" s="40" t="s">
        <v>45</v>
      </c>
      <c r="C144" s="41"/>
      <c r="D144" s="41"/>
      <c r="E144" s="41"/>
      <c r="F144" s="41"/>
      <c r="G144" s="41"/>
      <c r="H144" s="41"/>
      <c r="I144" s="41"/>
      <c r="J144" s="41"/>
      <c r="K144" s="42">
        <f>K29+K36+K143</f>
        <v>7922.9960000000028</v>
      </c>
      <c r="L144" s="42">
        <f>L29+L36+L143</f>
        <v>76292.957444939559</v>
      </c>
      <c r="M144" s="43">
        <f t="shared" ref="M144:AL144" si="18">(M29+M36+M143)/(480-15-30)</f>
        <v>0.29425287356321839</v>
      </c>
      <c r="N144" s="43">
        <f t="shared" si="18"/>
        <v>0</v>
      </c>
      <c r="O144" s="43">
        <f t="shared" si="18"/>
        <v>0.25287356321839083</v>
      </c>
      <c r="P144" s="43">
        <f t="shared" si="18"/>
        <v>0.19540229885057472</v>
      </c>
      <c r="Q144" s="43">
        <f t="shared" si="18"/>
        <v>0</v>
      </c>
      <c r="R144" s="43">
        <f t="shared" si="18"/>
        <v>0.20689655172413793</v>
      </c>
      <c r="S144" s="43">
        <f t="shared" si="18"/>
        <v>1.5954022988505747</v>
      </c>
      <c r="T144" s="43">
        <f t="shared" si="18"/>
        <v>0</v>
      </c>
      <c r="U144" s="43">
        <f t="shared" si="18"/>
        <v>0</v>
      </c>
      <c r="V144" s="43">
        <f t="shared" si="18"/>
        <v>0.24597701149425288</v>
      </c>
      <c r="W144" s="43">
        <f t="shared" si="18"/>
        <v>0.44367816091954021</v>
      </c>
      <c r="X144" s="43">
        <f t="shared" si="18"/>
        <v>0.20689655172413793</v>
      </c>
      <c r="Y144" s="43">
        <f t="shared" si="18"/>
        <v>0.31034482758620691</v>
      </c>
      <c r="Z144" s="43">
        <f t="shared" si="18"/>
        <v>0.31034482758620691</v>
      </c>
      <c r="AA144" s="43">
        <f t="shared" si="18"/>
        <v>0.20689655172413793</v>
      </c>
      <c r="AB144" s="43">
        <f t="shared" si="18"/>
        <v>0.54942528735632179</v>
      </c>
      <c r="AC144" s="43">
        <f t="shared" si="18"/>
        <v>0.18390804597701149</v>
      </c>
      <c r="AD144" s="43">
        <f t="shared" si="18"/>
        <v>0.335632183908046</v>
      </c>
      <c r="AE144" s="43">
        <f t="shared" si="18"/>
        <v>5.057471264367816E-2</v>
      </c>
      <c r="AF144" s="43">
        <f t="shared" si="18"/>
        <v>0</v>
      </c>
      <c r="AG144" s="43">
        <f t="shared" si="18"/>
        <v>0</v>
      </c>
      <c r="AH144" s="43">
        <f t="shared" si="18"/>
        <v>0</v>
      </c>
      <c r="AI144" s="43">
        <f t="shared" si="18"/>
        <v>0</v>
      </c>
      <c r="AJ144" s="43">
        <f t="shared" si="18"/>
        <v>0</v>
      </c>
      <c r="AK144" s="43">
        <f t="shared" si="18"/>
        <v>8.7356321839080459E-2</v>
      </c>
      <c r="AL144" s="43">
        <f t="shared" si="18"/>
        <v>0</v>
      </c>
    </row>
    <row r="145" spans="2:36" ht="25.05" customHeight="1">
      <c r="B145" s="44"/>
      <c r="C145" s="44"/>
      <c r="D145" s="44"/>
      <c r="E145" s="45"/>
      <c r="F145" s="45"/>
      <c r="G145" s="45"/>
      <c r="H145" s="45"/>
      <c r="I145" s="46"/>
      <c r="J145" s="46"/>
      <c r="K145" s="45"/>
      <c r="L145" s="47"/>
      <c r="M145" s="47"/>
      <c r="N145" s="47"/>
      <c r="O145" s="47"/>
      <c r="P145" s="47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</row>
    <row r="146" spans="2:36" ht="25.05" customHeight="1">
      <c r="B146" s="44"/>
      <c r="C146" s="44"/>
      <c r="D146" s="44"/>
      <c r="E146" s="45"/>
      <c r="F146" s="45"/>
      <c r="G146" s="45"/>
      <c r="H146" s="45"/>
      <c r="I146" s="48" t="s">
        <v>46</v>
      </c>
      <c r="J146" s="46"/>
      <c r="K146" s="45"/>
      <c r="L146" s="47"/>
      <c r="M146" s="47"/>
      <c r="N146" s="47"/>
      <c r="O146" s="47"/>
      <c r="P146" s="47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</row>
    <row r="147" spans="2:36" ht="25.05" customHeight="1">
      <c r="B147" s="44"/>
      <c r="C147" s="44"/>
      <c r="D147" s="44"/>
      <c r="E147" s="45"/>
      <c r="F147" s="45"/>
      <c r="G147" s="45"/>
      <c r="H147" s="45"/>
      <c r="I147" s="49" t="s">
        <v>47</v>
      </c>
      <c r="J147" s="9">
        <v>0</v>
      </c>
      <c r="K147" s="11">
        <v>14</v>
      </c>
      <c r="L147" s="11" t="s">
        <v>48</v>
      </c>
      <c r="M147" s="47"/>
      <c r="N147" s="14">
        <v>2</v>
      </c>
      <c r="O147" s="14"/>
      <c r="P147" s="14"/>
      <c r="Q147" s="50" t="s">
        <v>49</v>
      </c>
      <c r="R147" s="51"/>
      <c r="S147" s="45"/>
      <c r="T147" s="45"/>
      <c r="U147" s="45"/>
      <c r="V147" s="45"/>
      <c r="W147" s="45"/>
      <c r="X147" s="45"/>
      <c r="Y147" s="45"/>
      <c r="Z147" s="45"/>
      <c r="AA147" s="45"/>
      <c r="AC147" s="45"/>
      <c r="AD147" s="45"/>
      <c r="AE147" s="45"/>
      <c r="AF147" s="45"/>
      <c r="AG147" s="45"/>
      <c r="AH147" s="45"/>
    </row>
    <row r="148" spans="2:36" ht="25.05" customHeight="1">
      <c r="B148" s="44"/>
      <c r="C148" s="44"/>
      <c r="D148" s="44"/>
      <c r="E148" s="45"/>
      <c r="F148" s="45"/>
      <c r="G148" s="45"/>
      <c r="H148" s="45"/>
      <c r="I148" s="49" t="s">
        <v>50</v>
      </c>
      <c r="J148" s="9">
        <v>0</v>
      </c>
      <c r="K148" s="11">
        <v>3</v>
      </c>
      <c r="L148" s="11" t="s">
        <v>48</v>
      </c>
      <c r="M148" s="47"/>
      <c r="N148" s="14">
        <v>4</v>
      </c>
      <c r="O148" s="14"/>
      <c r="P148" s="14"/>
      <c r="Q148" s="50" t="s">
        <v>51</v>
      </c>
      <c r="R148" s="51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</row>
    <row r="149" spans="2:36" ht="25.05" customHeight="1">
      <c r="B149" s="44"/>
      <c r="C149" s="44"/>
      <c r="D149" s="44"/>
      <c r="E149" s="45"/>
      <c r="F149" s="45"/>
      <c r="G149" s="45"/>
      <c r="H149" s="45"/>
      <c r="I149" s="49" t="s">
        <v>52</v>
      </c>
      <c r="J149" s="9">
        <v>0</v>
      </c>
      <c r="K149" s="11">
        <v>19</v>
      </c>
      <c r="L149" s="11" t="s">
        <v>48</v>
      </c>
      <c r="M149" s="47"/>
      <c r="N149" s="14">
        <v>1</v>
      </c>
      <c r="O149" s="14"/>
      <c r="P149" s="14"/>
      <c r="Q149" s="50" t="s">
        <v>53</v>
      </c>
      <c r="R149" s="51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</row>
    <row r="150" spans="2:36" ht="25.05" customHeight="1">
      <c r="B150" s="44"/>
      <c r="C150" s="44"/>
      <c r="D150" s="44"/>
      <c r="E150" s="45"/>
      <c r="F150" s="45"/>
      <c r="G150" s="45"/>
      <c r="H150" s="45"/>
      <c r="I150" s="52" t="s">
        <v>54</v>
      </c>
      <c r="J150" s="53">
        <v>0</v>
      </c>
      <c r="K150" s="11">
        <v>7</v>
      </c>
      <c r="L150" s="54" t="s">
        <v>48</v>
      </c>
      <c r="M150" s="47"/>
      <c r="N150" s="14">
        <v>4</v>
      </c>
      <c r="O150" s="14"/>
      <c r="P150" s="14"/>
      <c r="Q150" s="50" t="s">
        <v>55</v>
      </c>
      <c r="R150" s="51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</row>
    <row r="151" spans="2:36" ht="25.05" customHeight="1">
      <c r="B151" s="44"/>
      <c r="C151" s="44"/>
      <c r="D151" s="44"/>
      <c r="E151" s="45"/>
      <c r="F151" s="45"/>
      <c r="G151" s="45"/>
      <c r="H151" s="45"/>
      <c r="I151" s="49" t="s">
        <v>56</v>
      </c>
      <c r="J151" s="9">
        <v>0</v>
      </c>
      <c r="K151" s="11">
        <v>43</v>
      </c>
      <c r="L151" s="11" t="s">
        <v>48</v>
      </c>
      <c r="M151" s="47"/>
      <c r="N151"/>
      <c r="O151"/>
      <c r="P151"/>
      <c r="Q151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</row>
    <row r="152" spans="2:36" ht="25.05" customHeight="1">
      <c r="B152" s="44"/>
      <c r="C152" s="44"/>
      <c r="D152" s="44"/>
      <c r="E152" s="45"/>
      <c r="F152" s="45"/>
      <c r="G152" s="45"/>
      <c r="H152" s="45"/>
      <c r="M152" s="47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</row>
    <row r="153" spans="2:36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69CCA-6C81-4293-96F4-6DAF488481F7}">
  <sheetPr>
    <pageSetUpPr fitToPage="1"/>
  </sheetPr>
  <dimension ref="A1:AO129"/>
  <sheetViews>
    <sheetView zoomScale="55" zoomScaleNormal="55" workbookViewId="0">
      <pane xSplit="12" ySplit="3" topLeftCell="M116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41" ht="18.75" customHeight="1">
      <c r="A1" s="2" t="s">
        <v>0</v>
      </c>
    </row>
    <row r="2" spans="1:41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0"/>
      <c r="O2" s="220"/>
      <c r="P2" s="220"/>
      <c r="Q2" s="220"/>
      <c r="R2" s="220"/>
      <c r="S2" s="220"/>
      <c r="T2" s="220"/>
      <c r="U2" s="220"/>
      <c r="V2" s="220"/>
      <c r="W2" s="220"/>
      <c r="X2" s="220"/>
      <c r="Y2" s="220"/>
      <c r="Z2" s="220"/>
      <c r="AA2" s="220"/>
      <c r="AB2" s="220"/>
      <c r="AC2" s="220"/>
      <c r="AD2" s="220"/>
      <c r="AE2" s="220"/>
      <c r="AF2" s="220"/>
      <c r="AG2" s="220"/>
      <c r="AH2" s="220"/>
      <c r="AI2" s="220"/>
      <c r="AJ2" s="220"/>
      <c r="AK2" s="220"/>
      <c r="AL2" s="220"/>
    </row>
    <row r="3" spans="1:41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41" ht="25.05" customHeight="1">
      <c r="B4" s="13">
        <v>46098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0.79513888888888884</v>
      </c>
      <c r="I4" s="10">
        <f t="shared" ref="I4:I25" si="0">H4-G4</f>
        <v>3.4722222222222099E-3</v>
      </c>
      <c r="J4" s="11">
        <v>8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41" ht="25.05" customHeight="1">
      <c r="B5" s="13"/>
      <c r="C5" s="14"/>
      <c r="D5" s="30" t="s">
        <v>1487</v>
      </c>
      <c r="E5" s="15" t="s">
        <v>1488</v>
      </c>
      <c r="F5" s="20" t="s">
        <v>42</v>
      </c>
      <c r="G5" s="9">
        <v>9.7222222222222224E-2</v>
      </c>
      <c r="H5" s="9">
        <v>0.20833333333333334</v>
      </c>
      <c r="I5" s="10">
        <f t="shared" si="0"/>
        <v>0.11111111111111112</v>
      </c>
      <c r="J5" s="11">
        <v>10</v>
      </c>
      <c r="K5" s="11">
        <v>486</v>
      </c>
      <c r="L5" s="16">
        <f t="shared" ref="L5:L25" si="1">IFERROR(((K5/(J5*I5)/24)),"0")</f>
        <v>18.224999999999998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225" t="s">
        <v>1489</v>
      </c>
      <c r="AN5" s="226"/>
      <c r="AO5" s="226"/>
    </row>
    <row r="6" spans="1:41" ht="25.5" customHeight="1">
      <c r="B6" s="13"/>
      <c r="C6" s="14"/>
      <c r="D6" s="6"/>
      <c r="E6" s="15" t="s">
        <v>1490</v>
      </c>
      <c r="F6" s="55" t="s">
        <v>1437</v>
      </c>
      <c r="G6" s="9">
        <v>0.15069444444444444</v>
      </c>
      <c r="H6" s="9">
        <v>0.20833333333333334</v>
      </c>
      <c r="I6" s="10">
        <f t="shared" si="0"/>
        <v>5.7638888888888906E-2</v>
      </c>
      <c r="J6" s="11">
        <v>5</v>
      </c>
      <c r="K6" s="11">
        <v>172.8</v>
      </c>
      <c r="L6" s="16">
        <f t="shared" si="1"/>
        <v>24.983132530120475</v>
      </c>
      <c r="M6" s="11"/>
      <c r="N6" s="11"/>
      <c r="O6" s="11"/>
      <c r="P6" s="11"/>
      <c r="Q6" s="11"/>
      <c r="R6" s="12"/>
      <c r="S6" s="12">
        <v>83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225"/>
      <c r="AN6" s="226"/>
      <c r="AO6" s="226"/>
    </row>
    <row r="7" spans="1:41" ht="25.05" customHeight="1">
      <c r="B7" s="13"/>
      <c r="C7" s="14"/>
      <c r="D7" s="6"/>
      <c r="E7" s="15" t="s">
        <v>1491</v>
      </c>
      <c r="F7" s="55" t="s">
        <v>1434</v>
      </c>
      <c r="G7" s="9">
        <v>0.80208333333333337</v>
      </c>
      <c r="H7" s="9">
        <v>0.81874999999999998</v>
      </c>
      <c r="I7" s="10">
        <f t="shared" si="0"/>
        <v>1.6666666666666607E-2</v>
      </c>
      <c r="J7" s="11">
        <v>1</v>
      </c>
      <c r="K7" s="11">
        <v>5.85</v>
      </c>
      <c r="L7" s="16">
        <f t="shared" si="1"/>
        <v>14.625000000000052</v>
      </c>
      <c r="M7" s="11">
        <v>24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50"/>
      <c r="AN7" s="151"/>
      <c r="AO7" s="151"/>
    </row>
    <row r="8" spans="1:41" ht="25.05" customHeight="1">
      <c r="B8" s="13"/>
      <c r="C8" s="14"/>
      <c r="D8" s="6"/>
      <c r="E8" s="15" t="s">
        <v>1492</v>
      </c>
      <c r="F8" s="55" t="s">
        <v>1116</v>
      </c>
      <c r="G8" s="9">
        <v>0.88541666666666663</v>
      </c>
      <c r="H8" s="9">
        <v>0.90972222222222221</v>
      </c>
      <c r="I8" s="10">
        <f t="shared" si="0"/>
        <v>2.430555555555558E-2</v>
      </c>
      <c r="J8" s="11">
        <v>1</v>
      </c>
      <c r="K8" s="11">
        <v>54</v>
      </c>
      <c r="L8" s="16">
        <f t="shared" si="1"/>
        <v>92.571428571428484</v>
      </c>
      <c r="M8" s="11">
        <v>35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41" ht="25.05" customHeight="1">
      <c r="B9" s="13"/>
      <c r="C9" s="14"/>
      <c r="D9" s="6"/>
      <c r="E9" s="15" t="s">
        <v>1493</v>
      </c>
      <c r="F9" s="57">
        <v>0.75</v>
      </c>
      <c r="G9" s="9">
        <v>0.9375</v>
      </c>
      <c r="H9" s="9">
        <v>0.96180555555555558</v>
      </c>
      <c r="I9" s="10">
        <f t="shared" si="0"/>
        <v>2.430555555555558E-2</v>
      </c>
      <c r="J9" s="11">
        <v>1</v>
      </c>
      <c r="K9" s="11">
        <v>369</v>
      </c>
      <c r="L9" s="16">
        <f t="shared" si="1"/>
        <v>632.57142857142787</v>
      </c>
      <c r="M9" s="11">
        <v>35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41" ht="25.05" customHeight="1">
      <c r="B10" s="13"/>
      <c r="C10" s="14"/>
      <c r="D10" s="6"/>
      <c r="E10" s="15" t="s">
        <v>1494</v>
      </c>
      <c r="F10" s="20" t="s">
        <v>42</v>
      </c>
      <c r="G10" s="9">
        <v>0.80208333333333337</v>
      </c>
      <c r="H10" s="9">
        <v>0.86388888888888893</v>
      </c>
      <c r="I10" s="10">
        <f t="shared" si="0"/>
        <v>6.1805555555555558E-2</v>
      </c>
      <c r="J10" s="11">
        <v>1</v>
      </c>
      <c r="K10" s="11">
        <v>369</v>
      </c>
      <c r="L10" s="16">
        <f t="shared" si="1"/>
        <v>248.76404494382021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41" ht="25.05" customHeight="1">
      <c r="B11" s="13"/>
      <c r="C11" s="14"/>
      <c r="D11" s="6"/>
      <c r="E11" s="129" t="s">
        <v>1495</v>
      </c>
      <c r="F11" s="55" t="s">
        <v>232</v>
      </c>
      <c r="G11" s="9">
        <v>0.91319444444444442</v>
      </c>
      <c r="H11" s="9">
        <v>0.92708333333333337</v>
      </c>
      <c r="I11" s="10">
        <f t="shared" si="0"/>
        <v>1.3888888888888951E-2</v>
      </c>
      <c r="J11" s="11">
        <v>1</v>
      </c>
      <c r="K11" s="11">
        <v>10.98</v>
      </c>
      <c r="L11" s="16">
        <f t="shared" si="1"/>
        <v>32.939999999999856</v>
      </c>
      <c r="M11" s="11">
        <v>20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41" ht="25.05" customHeight="1">
      <c r="B12" s="13"/>
      <c r="C12" s="14"/>
      <c r="D12" s="6"/>
      <c r="E12" s="113" t="s">
        <v>1496</v>
      </c>
      <c r="F12" s="55" t="s">
        <v>64</v>
      </c>
      <c r="G12" s="9">
        <v>0.80069444444444449</v>
      </c>
      <c r="H12" s="9">
        <v>0.84027777777777779</v>
      </c>
      <c r="I12" s="10">
        <f t="shared" si="0"/>
        <v>3.9583333333333304E-2</v>
      </c>
      <c r="J12" s="11">
        <v>4</v>
      </c>
      <c r="K12" s="11">
        <v>117</v>
      </c>
      <c r="L12" s="16">
        <f t="shared" si="1"/>
        <v>30.789473684210549</v>
      </c>
      <c r="M12" s="11"/>
      <c r="N12" s="11"/>
      <c r="O12" s="11"/>
      <c r="P12" s="11"/>
      <c r="Q12" s="11"/>
      <c r="R12" s="12"/>
      <c r="S12" s="12">
        <v>57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41" ht="25.05" customHeight="1">
      <c r="B13" s="13"/>
      <c r="C13" s="14"/>
      <c r="D13" s="65" t="s">
        <v>579</v>
      </c>
      <c r="E13" s="58" t="s">
        <v>1497</v>
      </c>
      <c r="F13" s="55" t="s">
        <v>581</v>
      </c>
      <c r="G13" s="9">
        <v>0.81319444444444444</v>
      </c>
      <c r="H13" s="9">
        <v>0.83263888888888893</v>
      </c>
      <c r="I13" s="10">
        <f t="shared" si="0"/>
        <v>1.9444444444444486E-2</v>
      </c>
      <c r="J13" s="11">
        <v>2</v>
      </c>
      <c r="K13" s="11">
        <v>27.81</v>
      </c>
      <c r="L13" s="16">
        <f t="shared" si="1"/>
        <v>29.796428571428507</v>
      </c>
      <c r="M13" s="11"/>
      <c r="N13" s="11"/>
      <c r="O13" s="11"/>
      <c r="P13" s="11"/>
      <c r="Q13" s="11"/>
      <c r="R13" s="12"/>
      <c r="S13" s="12">
        <v>28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41" ht="25.05" customHeight="1">
      <c r="B14" s="13"/>
      <c r="C14" s="14"/>
      <c r="D14" s="31"/>
      <c r="E14" s="17" t="s">
        <v>1498</v>
      </c>
      <c r="F14" s="55" t="s">
        <v>232</v>
      </c>
      <c r="G14" s="9">
        <v>0.81944444444444442</v>
      </c>
      <c r="H14" s="9">
        <v>0.83333333333333337</v>
      </c>
      <c r="I14" s="10">
        <f t="shared" si="0"/>
        <v>1.3888888888888951E-2</v>
      </c>
      <c r="J14" s="11">
        <v>1</v>
      </c>
      <c r="K14" s="11">
        <v>12.96</v>
      </c>
      <c r="L14" s="16">
        <f t="shared" si="1"/>
        <v>38.879999999999832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41" ht="25.05" customHeight="1">
      <c r="B15" s="13"/>
      <c r="C15" s="14"/>
      <c r="D15" s="6"/>
      <c r="E15" s="17" t="s">
        <v>1499</v>
      </c>
      <c r="F15" s="55" t="s">
        <v>232</v>
      </c>
      <c r="G15" s="9">
        <v>0.85763888888888884</v>
      </c>
      <c r="H15" s="9">
        <v>0.875</v>
      </c>
      <c r="I15" s="10">
        <f t="shared" si="0"/>
        <v>1.736111111111116E-2</v>
      </c>
      <c r="J15" s="11">
        <v>1</v>
      </c>
      <c r="K15" s="11">
        <v>2.88</v>
      </c>
      <c r="L15" s="16">
        <f t="shared" si="1"/>
        <v>6.9119999999999804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41" ht="25.05" customHeight="1">
      <c r="B16" s="13"/>
      <c r="C16" s="14"/>
      <c r="D16" s="6"/>
      <c r="E16" s="17" t="s">
        <v>1381</v>
      </c>
      <c r="F16" s="55" t="s">
        <v>59</v>
      </c>
      <c r="G16" s="9">
        <v>0.83958333333333335</v>
      </c>
      <c r="H16" s="9">
        <v>0.85069444444444442</v>
      </c>
      <c r="I16" s="10">
        <f t="shared" si="0"/>
        <v>1.1111111111111072E-2</v>
      </c>
      <c r="J16" s="11">
        <v>1</v>
      </c>
      <c r="K16" s="11">
        <v>22.59</v>
      </c>
      <c r="L16" s="16">
        <f t="shared" si="1"/>
        <v>84.712500000000304</v>
      </c>
      <c r="M16" s="11">
        <v>16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5" customHeight="1">
      <c r="B17" s="13"/>
      <c r="C17" s="14"/>
      <c r="D17" s="6"/>
      <c r="E17" s="15" t="s">
        <v>1500</v>
      </c>
      <c r="F17" s="55" t="s">
        <v>1501</v>
      </c>
      <c r="G17" s="9">
        <v>0.86805555555555558</v>
      </c>
      <c r="H17" s="9">
        <v>0.98263888888888884</v>
      </c>
      <c r="I17" s="10">
        <f t="shared" si="0"/>
        <v>0.11458333333333326</v>
      </c>
      <c r="J17" s="11">
        <v>4</v>
      </c>
      <c r="K17" s="11">
        <v>301.32</v>
      </c>
      <c r="L17" s="16">
        <f t="shared" si="1"/>
        <v>27.392727272727289</v>
      </c>
      <c r="M17" s="11"/>
      <c r="N17" s="11"/>
      <c r="O17" s="11">
        <v>165</v>
      </c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15" t="s">
        <v>1502</v>
      </c>
      <c r="F18" s="55" t="s">
        <v>1275</v>
      </c>
      <c r="G18" s="9">
        <v>3.125E-2</v>
      </c>
      <c r="H18" s="9">
        <v>0.1076388888888889</v>
      </c>
      <c r="I18" s="10">
        <f t="shared" si="0"/>
        <v>7.6388888888888895E-2</v>
      </c>
      <c r="J18" s="11">
        <v>2</v>
      </c>
      <c r="K18" s="11">
        <v>301.32</v>
      </c>
      <c r="L18" s="16">
        <f t="shared" si="1"/>
        <v>82.178181818181812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6"/>
      <c r="E19" s="71" t="s">
        <v>1503</v>
      </c>
      <c r="F19" s="55" t="s">
        <v>851</v>
      </c>
      <c r="G19" s="9">
        <v>3.125E-2</v>
      </c>
      <c r="H19" s="9">
        <v>0.10138888888888889</v>
      </c>
      <c r="I19" s="10">
        <f t="shared" si="0"/>
        <v>7.013888888888889E-2</v>
      </c>
      <c r="J19" s="11">
        <v>3</v>
      </c>
      <c r="K19" s="27">
        <v>113</v>
      </c>
      <c r="L19" s="16">
        <f t="shared" si="1"/>
        <v>22.376237623762378</v>
      </c>
      <c r="M19" s="11"/>
      <c r="N19" s="11"/>
      <c r="O19" s="11">
        <v>101</v>
      </c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30" t="s">
        <v>1438</v>
      </c>
      <c r="E20" s="19" t="s">
        <v>1504</v>
      </c>
      <c r="F20" s="88" t="s">
        <v>42</v>
      </c>
      <c r="G20" s="9">
        <v>0.83333333333333337</v>
      </c>
      <c r="H20" s="9">
        <v>0.84375</v>
      </c>
      <c r="I20" s="10">
        <f t="shared" si="0"/>
        <v>1.041666666666663E-2</v>
      </c>
      <c r="J20" s="11">
        <v>2</v>
      </c>
      <c r="K20" s="11">
        <v>11.9</v>
      </c>
      <c r="L20" s="16">
        <f t="shared" si="1"/>
        <v>23.800000000000086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9" t="s">
        <v>1505</v>
      </c>
      <c r="F21" s="88" t="s">
        <v>42</v>
      </c>
      <c r="G21" s="9">
        <v>0.84375</v>
      </c>
      <c r="H21" s="9">
        <v>0.85416666666666663</v>
      </c>
      <c r="I21" s="10">
        <f t="shared" si="0"/>
        <v>1.041666666666663E-2</v>
      </c>
      <c r="J21" s="11">
        <v>2</v>
      </c>
      <c r="K21" s="11">
        <v>2.97</v>
      </c>
      <c r="L21" s="16">
        <f t="shared" si="1"/>
        <v>5.9400000000000217</v>
      </c>
      <c r="M21" s="11"/>
      <c r="N21" s="11"/>
      <c r="O21" s="11"/>
      <c r="P21" s="11"/>
      <c r="Q21" s="11"/>
      <c r="R21" s="12"/>
      <c r="S21" s="12">
        <v>15</v>
      </c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9" t="s">
        <v>1506</v>
      </c>
      <c r="F22" s="55" t="s">
        <v>232</v>
      </c>
      <c r="G22" s="9">
        <v>0.83958333333333335</v>
      </c>
      <c r="H22" s="9">
        <v>0.85069444444444442</v>
      </c>
      <c r="I22" s="10">
        <f t="shared" si="0"/>
        <v>1.1111111111111072E-2</v>
      </c>
      <c r="J22" s="11">
        <v>1</v>
      </c>
      <c r="K22" s="11">
        <v>2.97</v>
      </c>
      <c r="L22" s="16">
        <f t="shared" si="1"/>
        <v>11.13750000000004</v>
      </c>
      <c r="M22" s="11">
        <v>16</v>
      </c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9" t="s">
        <v>1507</v>
      </c>
      <c r="F23" s="55" t="s">
        <v>232</v>
      </c>
      <c r="G23" s="9">
        <v>0.85763888888888884</v>
      </c>
      <c r="H23" s="9">
        <v>0.875</v>
      </c>
      <c r="I23" s="10">
        <f t="shared" si="0"/>
        <v>1.736111111111116E-2</v>
      </c>
      <c r="J23" s="11">
        <v>1</v>
      </c>
      <c r="K23" s="11">
        <v>4.72</v>
      </c>
      <c r="L23" s="16">
        <f t="shared" si="1"/>
        <v>11.327999999999967</v>
      </c>
      <c r="M23" s="11">
        <v>25</v>
      </c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/>
      <c r="F24" s="55"/>
      <c r="G24" s="9"/>
      <c r="H24" s="9"/>
      <c r="I24" s="10">
        <f t="shared" si="0"/>
        <v>0</v>
      </c>
      <c r="J24" s="11"/>
      <c r="K24" s="11"/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/>
      <c r="F25" s="55"/>
      <c r="G25" s="9"/>
      <c r="H25" s="9"/>
      <c r="I25" s="10">
        <f t="shared" si="0"/>
        <v>0</v>
      </c>
      <c r="J25" s="11"/>
      <c r="K25" s="11"/>
      <c r="L25" s="16" t="str">
        <f t="shared" si="1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s="28" customFormat="1" ht="25.05" customHeight="1">
      <c r="A26" s="2"/>
      <c r="B26" s="21"/>
      <c r="C26" s="22"/>
      <c r="D26" s="23"/>
      <c r="E26" s="24"/>
      <c r="F26" s="24"/>
      <c r="G26" s="25"/>
      <c r="H26" s="25"/>
      <c r="I26" s="26"/>
      <c r="J26" s="27"/>
      <c r="K26" s="27">
        <f t="shared" ref="K26:AL26" si="2">SUM(K4:K22)</f>
        <v>2384.35</v>
      </c>
      <c r="L26" s="39">
        <f t="shared" si="2"/>
        <v>1428.5950835871083</v>
      </c>
      <c r="M26" s="27">
        <f t="shared" si="2"/>
        <v>146</v>
      </c>
      <c r="N26" s="27">
        <f t="shared" si="2"/>
        <v>0</v>
      </c>
      <c r="O26" s="27">
        <f t="shared" si="2"/>
        <v>266</v>
      </c>
      <c r="P26" s="27">
        <f t="shared" si="2"/>
        <v>0</v>
      </c>
      <c r="Q26" s="27">
        <f t="shared" si="2"/>
        <v>0</v>
      </c>
      <c r="R26" s="27">
        <f t="shared" si="2"/>
        <v>0</v>
      </c>
      <c r="S26" s="27">
        <f t="shared" si="2"/>
        <v>183</v>
      </c>
      <c r="T26" s="27">
        <f t="shared" si="2"/>
        <v>0</v>
      </c>
      <c r="U26" s="27">
        <f t="shared" si="2"/>
        <v>0</v>
      </c>
      <c r="V26" s="27">
        <f t="shared" si="2"/>
        <v>0</v>
      </c>
      <c r="W26" s="27">
        <f t="shared" si="2"/>
        <v>0</v>
      </c>
      <c r="X26" s="27">
        <f t="shared" si="2"/>
        <v>0</v>
      </c>
      <c r="Y26" s="27">
        <f t="shared" si="2"/>
        <v>0</v>
      </c>
      <c r="Z26" s="27">
        <f t="shared" si="2"/>
        <v>0</v>
      </c>
      <c r="AA26" s="27">
        <f t="shared" si="2"/>
        <v>0</v>
      </c>
      <c r="AB26" s="27">
        <f t="shared" si="2"/>
        <v>0</v>
      </c>
      <c r="AC26" s="27">
        <f t="shared" si="2"/>
        <v>0</v>
      </c>
      <c r="AD26" s="27">
        <f t="shared" si="2"/>
        <v>0</v>
      </c>
      <c r="AE26" s="27">
        <f t="shared" si="2"/>
        <v>0</v>
      </c>
      <c r="AF26" s="27">
        <f t="shared" si="2"/>
        <v>0</v>
      </c>
      <c r="AG26" s="27">
        <f t="shared" si="2"/>
        <v>0</v>
      </c>
      <c r="AH26" s="27">
        <f t="shared" si="2"/>
        <v>0</v>
      </c>
      <c r="AI26" s="27">
        <f t="shared" si="2"/>
        <v>0</v>
      </c>
      <c r="AJ26" s="27">
        <f t="shared" si="2"/>
        <v>0</v>
      </c>
      <c r="AK26" s="27">
        <f t="shared" si="2"/>
        <v>0</v>
      </c>
      <c r="AL26" s="27">
        <f t="shared" si="2"/>
        <v>0</v>
      </c>
    </row>
    <row r="27" spans="1:38" ht="25.05" customHeight="1">
      <c r="B27" s="13"/>
      <c r="C27" s="14" t="s">
        <v>43</v>
      </c>
      <c r="D27" s="6"/>
      <c r="E27" s="7" t="s">
        <v>41</v>
      </c>
      <c r="F27" s="8" t="s">
        <v>42</v>
      </c>
      <c r="G27" s="9"/>
      <c r="H27" s="9"/>
      <c r="I27" s="10">
        <f>H27-G27</f>
        <v>0</v>
      </c>
      <c r="J27" s="11"/>
      <c r="K27" s="11"/>
      <c r="L27" s="16" t="str">
        <f>IFERROR(((K27/(J27*I27)/24)),"0")</f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18"/>
      <c r="E28" s="6"/>
      <c r="F28" s="14"/>
      <c r="G28" s="9"/>
      <c r="H28" s="9"/>
      <c r="I28" s="10"/>
      <c r="J28" s="11"/>
      <c r="K28" s="11"/>
      <c r="L28" s="16"/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s="28" customFormat="1" ht="25.05" customHeight="1">
      <c r="A29" s="2"/>
      <c r="B29" s="21"/>
      <c r="C29" s="22"/>
      <c r="D29" s="23"/>
      <c r="E29" s="24"/>
      <c r="F29" s="22"/>
      <c r="G29" s="25"/>
      <c r="H29" s="25"/>
      <c r="I29" s="26"/>
      <c r="J29" s="27"/>
      <c r="K29" s="27">
        <f t="shared" ref="K29:AL29" si="3">SUM(K27:K28)</f>
        <v>0</v>
      </c>
      <c r="L29" s="27">
        <f t="shared" si="3"/>
        <v>0</v>
      </c>
      <c r="M29" s="27">
        <f t="shared" si="3"/>
        <v>0</v>
      </c>
      <c r="N29" s="27">
        <f t="shared" si="3"/>
        <v>0</v>
      </c>
      <c r="O29" s="27">
        <f t="shared" si="3"/>
        <v>0</v>
      </c>
      <c r="P29" s="27">
        <f t="shared" si="3"/>
        <v>0</v>
      </c>
      <c r="Q29" s="27">
        <f t="shared" si="3"/>
        <v>0</v>
      </c>
      <c r="R29" s="27">
        <f t="shared" si="3"/>
        <v>0</v>
      </c>
      <c r="S29" s="27">
        <f t="shared" si="3"/>
        <v>0</v>
      </c>
      <c r="T29" s="27">
        <f t="shared" si="3"/>
        <v>0</v>
      </c>
      <c r="U29" s="27">
        <f t="shared" si="3"/>
        <v>0</v>
      </c>
      <c r="V29" s="27">
        <f t="shared" si="3"/>
        <v>0</v>
      </c>
      <c r="W29" s="27">
        <f t="shared" si="3"/>
        <v>0</v>
      </c>
      <c r="X29" s="27">
        <f t="shared" si="3"/>
        <v>0</v>
      </c>
      <c r="Y29" s="27">
        <f t="shared" si="3"/>
        <v>0</v>
      </c>
      <c r="Z29" s="27">
        <f t="shared" si="3"/>
        <v>0</v>
      </c>
      <c r="AA29" s="27">
        <f t="shared" si="3"/>
        <v>0</v>
      </c>
      <c r="AB29" s="27">
        <f t="shared" si="3"/>
        <v>0</v>
      </c>
      <c r="AC29" s="27">
        <f t="shared" si="3"/>
        <v>0</v>
      </c>
      <c r="AD29" s="27">
        <f t="shared" si="3"/>
        <v>0</v>
      </c>
      <c r="AE29" s="27">
        <f t="shared" si="3"/>
        <v>0</v>
      </c>
      <c r="AF29" s="27">
        <f t="shared" si="3"/>
        <v>0</v>
      </c>
      <c r="AG29" s="27">
        <f t="shared" si="3"/>
        <v>0</v>
      </c>
      <c r="AH29" s="27">
        <f t="shared" si="3"/>
        <v>0</v>
      </c>
      <c r="AI29" s="27">
        <f t="shared" si="3"/>
        <v>0</v>
      </c>
      <c r="AJ29" s="27">
        <f t="shared" si="3"/>
        <v>0</v>
      </c>
      <c r="AK29" s="27">
        <f t="shared" si="3"/>
        <v>0</v>
      </c>
      <c r="AL29" s="27">
        <f t="shared" si="3"/>
        <v>0</v>
      </c>
    </row>
    <row r="30" spans="1:38" ht="25.05" customHeight="1">
      <c r="B30" s="13"/>
      <c r="C30" s="29" t="s">
        <v>44</v>
      </c>
      <c r="D30" s="30"/>
      <c r="E30" s="7" t="s">
        <v>41</v>
      </c>
      <c r="F30" s="8" t="s">
        <v>42</v>
      </c>
      <c r="G30" s="9">
        <v>0.79166666666666663</v>
      </c>
      <c r="H30" s="9">
        <v>0.8125</v>
      </c>
      <c r="I30" s="10">
        <f t="shared" ref="I30:I40" si="4">H30-G30</f>
        <v>2.083333333333337E-2</v>
      </c>
      <c r="J30" s="11">
        <v>7</v>
      </c>
      <c r="K30" s="11" t="s">
        <v>42</v>
      </c>
      <c r="L30" s="16" t="str">
        <f t="shared" ref="L30:L40" si="5">IFERROR(((K30/(J30*I30)/24)),"0")</f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 t="s">
        <v>1487</v>
      </c>
      <c r="E31" s="19" t="s">
        <v>542</v>
      </c>
      <c r="F31" s="8" t="s">
        <v>42</v>
      </c>
      <c r="G31" s="9">
        <v>0.85416666666666663</v>
      </c>
      <c r="H31" s="9">
        <v>0.87569444444444444</v>
      </c>
      <c r="I31" s="10">
        <f t="shared" si="4"/>
        <v>2.1527777777777812E-2</v>
      </c>
      <c r="J31" s="11">
        <v>4</v>
      </c>
      <c r="K31" s="11">
        <v>65.489999999999995</v>
      </c>
      <c r="L31" s="16">
        <f t="shared" si="5"/>
        <v>31.6887096774193</v>
      </c>
      <c r="M31" s="11"/>
      <c r="N31" s="11"/>
      <c r="O31" s="11"/>
      <c r="P31" s="11"/>
      <c r="Q31" s="11"/>
      <c r="R31" s="12"/>
      <c r="S31" s="12"/>
      <c r="T31" s="11"/>
      <c r="U31" s="11"/>
      <c r="V31" s="12">
        <v>2</v>
      </c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>
        <f t="shared" ref="AG31:AJ32" si="6">31/4</f>
        <v>7.75</v>
      </c>
      <c r="AH31" s="11">
        <f t="shared" si="6"/>
        <v>7.75</v>
      </c>
      <c r="AI31" s="11">
        <f t="shared" si="6"/>
        <v>7.75</v>
      </c>
      <c r="AJ31" s="11">
        <f t="shared" si="6"/>
        <v>7.75</v>
      </c>
      <c r="AK31" s="11"/>
      <c r="AL31" s="14"/>
    </row>
    <row r="32" spans="1:38" ht="25.05" customHeight="1">
      <c r="B32" s="13"/>
      <c r="C32" s="29"/>
      <c r="D32" s="30"/>
      <c r="E32" s="19" t="s">
        <v>543</v>
      </c>
      <c r="F32" s="8" t="s">
        <v>42</v>
      </c>
      <c r="G32" s="9">
        <v>0.87708333333333333</v>
      </c>
      <c r="H32" s="9">
        <v>0.89861111111111114</v>
      </c>
      <c r="I32" s="10">
        <f t="shared" si="4"/>
        <v>2.1527777777777812E-2</v>
      </c>
      <c r="J32" s="11">
        <v>4</v>
      </c>
      <c r="K32" s="11">
        <v>63.59</v>
      </c>
      <c r="L32" s="16">
        <f t="shared" si="5"/>
        <v>30.769354838709631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2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>
        <f t="shared" si="6"/>
        <v>7.75</v>
      </c>
      <c r="AH32" s="11">
        <f t="shared" si="6"/>
        <v>7.75</v>
      </c>
      <c r="AI32" s="11">
        <f t="shared" si="6"/>
        <v>7.75</v>
      </c>
      <c r="AJ32" s="11">
        <f t="shared" si="6"/>
        <v>7.75</v>
      </c>
      <c r="AK32" s="11"/>
      <c r="AL32" s="14"/>
    </row>
    <row r="33" spans="2:38" ht="25.05" customHeight="1">
      <c r="B33" s="13"/>
      <c r="C33" s="29"/>
      <c r="D33" s="30"/>
      <c r="E33" s="19" t="s">
        <v>544</v>
      </c>
      <c r="F33" s="8" t="s">
        <v>42</v>
      </c>
      <c r="G33" s="9">
        <v>0.90138888888888891</v>
      </c>
      <c r="H33" s="9">
        <v>0.92222222222222228</v>
      </c>
      <c r="I33" s="10">
        <f t="shared" si="4"/>
        <v>2.083333333333337E-2</v>
      </c>
      <c r="J33" s="11">
        <v>4</v>
      </c>
      <c r="K33" s="11">
        <v>63.27</v>
      </c>
      <c r="L33" s="16">
        <f t="shared" si="5"/>
        <v>31.634999999999945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</v>
      </c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>
        <f>30/4</f>
        <v>7.5</v>
      </c>
      <c r="AH33" s="11">
        <f>30/4</f>
        <v>7.5</v>
      </c>
      <c r="AI33" s="11">
        <f>30/4</f>
        <v>7.5</v>
      </c>
      <c r="AJ33" s="11">
        <f>30/4</f>
        <v>7.5</v>
      </c>
      <c r="AK33" s="11"/>
      <c r="AL33" s="14"/>
    </row>
    <row r="34" spans="2:38" ht="25.05" customHeight="1">
      <c r="B34" s="13"/>
      <c r="C34" s="29"/>
      <c r="D34" s="30"/>
      <c r="E34" s="19" t="s">
        <v>545</v>
      </c>
      <c r="F34" s="8" t="s">
        <v>42</v>
      </c>
      <c r="G34" s="9">
        <v>0.92708333333333337</v>
      </c>
      <c r="H34" s="9">
        <v>0.94652777777777775</v>
      </c>
      <c r="I34" s="10">
        <f t="shared" si="4"/>
        <v>1.9444444444444375E-2</v>
      </c>
      <c r="J34" s="11">
        <v>4</v>
      </c>
      <c r="K34" s="11">
        <v>66.510000000000005</v>
      </c>
      <c r="L34" s="16">
        <f t="shared" si="5"/>
        <v>35.630357142857271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>
        <f t="shared" ref="AG34:AJ35" si="7">28/4</f>
        <v>7</v>
      </c>
      <c r="AH34" s="11">
        <f t="shared" si="7"/>
        <v>7</v>
      </c>
      <c r="AI34" s="11">
        <f t="shared" si="7"/>
        <v>7</v>
      </c>
      <c r="AJ34" s="11">
        <f t="shared" si="7"/>
        <v>7</v>
      </c>
      <c r="AK34" s="11"/>
      <c r="AL34" s="14"/>
    </row>
    <row r="35" spans="2:38" ht="25.05" customHeight="1">
      <c r="B35" s="13"/>
      <c r="C35" s="29"/>
      <c r="D35" s="30"/>
      <c r="E35" s="19" t="s">
        <v>546</v>
      </c>
      <c r="F35" s="8" t="s">
        <v>42</v>
      </c>
      <c r="G35" s="9">
        <v>0.94930555555555551</v>
      </c>
      <c r="H35" s="9">
        <v>0.96875</v>
      </c>
      <c r="I35" s="10">
        <f t="shared" si="4"/>
        <v>1.9444444444444486E-2</v>
      </c>
      <c r="J35" s="11">
        <v>4</v>
      </c>
      <c r="K35" s="11">
        <v>66.72</v>
      </c>
      <c r="L35" s="16">
        <f t="shared" si="5"/>
        <v>35.742857142857069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>
        <f t="shared" si="7"/>
        <v>7</v>
      </c>
      <c r="AH35" s="11">
        <f t="shared" si="7"/>
        <v>7</v>
      </c>
      <c r="AI35" s="11">
        <f t="shared" si="7"/>
        <v>7</v>
      </c>
      <c r="AJ35" s="11">
        <f t="shared" si="7"/>
        <v>7</v>
      </c>
      <c r="AK35" s="11"/>
      <c r="AL35" s="14"/>
    </row>
    <row r="36" spans="2:38" ht="25.05" customHeight="1">
      <c r="B36" s="13"/>
      <c r="C36" s="29"/>
      <c r="D36" s="30"/>
      <c r="E36" s="19" t="s">
        <v>547</v>
      </c>
      <c r="F36" s="8" t="s">
        <v>42</v>
      </c>
      <c r="G36" s="9">
        <v>0.96944444444444444</v>
      </c>
      <c r="H36" s="9">
        <v>0.98819444444444449</v>
      </c>
      <c r="I36" s="10">
        <f t="shared" si="4"/>
        <v>1.8750000000000044E-2</v>
      </c>
      <c r="J36" s="11">
        <v>4</v>
      </c>
      <c r="K36" s="11">
        <v>66.430000000000007</v>
      </c>
      <c r="L36" s="16">
        <f t="shared" si="5"/>
        <v>36.905555555555473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>
        <f>27/4</f>
        <v>6.75</v>
      </c>
      <c r="AH36" s="11">
        <f>27/4</f>
        <v>6.75</v>
      </c>
      <c r="AI36" s="11">
        <f>27/4</f>
        <v>6.75</v>
      </c>
      <c r="AJ36" s="11">
        <f>27/4</f>
        <v>6.75</v>
      </c>
      <c r="AK36" s="11"/>
      <c r="AL36" s="14"/>
    </row>
    <row r="37" spans="2:38" ht="25.05" customHeight="1">
      <c r="B37" s="13"/>
      <c r="C37" s="29"/>
      <c r="D37" s="30"/>
      <c r="E37" s="19" t="s">
        <v>1508</v>
      </c>
      <c r="F37" s="8" t="s">
        <v>42</v>
      </c>
      <c r="G37" s="9">
        <v>0.87847222222222221</v>
      </c>
      <c r="H37" s="9">
        <v>0.92500000000000004</v>
      </c>
      <c r="I37" s="10">
        <f t="shared" si="4"/>
        <v>4.6527777777777835E-2</v>
      </c>
      <c r="J37" s="11">
        <v>3</v>
      </c>
      <c r="K37" s="11">
        <v>99.37</v>
      </c>
      <c r="L37" s="16">
        <f t="shared" si="5"/>
        <v>29.662686567164144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>
        <v>67</v>
      </c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1509</v>
      </c>
      <c r="F38" s="8" t="s">
        <v>42</v>
      </c>
      <c r="G38" s="9">
        <v>0.98333333333333328</v>
      </c>
      <c r="H38" s="9">
        <v>0.99861111111111112</v>
      </c>
      <c r="I38" s="10">
        <f t="shared" si="4"/>
        <v>1.5277777777777835E-2</v>
      </c>
      <c r="J38" s="11">
        <v>3</v>
      </c>
      <c r="K38" s="11">
        <v>135.12</v>
      </c>
      <c r="L38" s="16">
        <f t="shared" si="5"/>
        <v>122.83636363636317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/>
      <c r="Z38" s="11"/>
      <c r="AA38" s="11"/>
      <c r="AB38" s="11"/>
      <c r="AC38" s="11">
        <v>22</v>
      </c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1510</v>
      </c>
      <c r="F39" s="8" t="s">
        <v>42</v>
      </c>
      <c r="G39" s="9">
        <v>6.2500000000000003E-3</v>
      </c>
      <c r="H39" s="9">
        <v>2.013888888888889E-2</v>
      </c>
      <c r="I39" s="10">
        <f t="shared" si="4"/>
        <v>1.388888888888889E-2</v>
      </c>
      <c r="J39" s="11">
        <v>3</v>
      </c>
      <c r="K39" s="11">
        <v>137.13</v>
      </c>
      <c r="L39" s="16">
        <f t="shared" si="5"/>
        <v>137.12999999999997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/>
      <c r="AC39" s="11">
        <v>20</v>
      </c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1511</v>
      </c>
      <c r="F40" s="8" t="s">
        <v>42</v>
      </c>
      <c r="G40" s="9">
        <v>9.0277777777777776E-2</v>
      </c>
      <c r="H40" s="9">
        <v>0.10416666666666667</v>
      </c>
      <c r="I40" s="10">
        <f t="shared" si="4"/>
        <v>1.3888888888888895E-2</v>
      </c>
      <c r="J40" s="11">
        <v>3</v>
      </c>
      <c r="K40" s="11">
        <v>137.32</v>
      </c>
      <c r="L40" s="16">
        <f t="shared" si="5"/>
        <v>137.31999999999994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>
        <v>22</v>
      </c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/>
      <c r="F41" s="8"/>
      <c r="G41" s="9"/>
      <c r="H41" s="9"/>
      <c r="I41" s="10"/>
      <c r="J41" s="11"/>
      <c r="K41" s="11"/>
      <c r="L41" s="16"/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 t="s">
        <v>579</v>
      </c>
      <c r="E42" s="19" t="s">
        <v>612</v>
      </c>
      <c r="F42" s="8" t="s">
        <v>42</v>
      </c>
      <c r="G42" s="9">
        <v>0.9375</v>
      </c>
      <c r="H42" s="9">
        <v>0.95347222222222228</v>
      </c>
      <c r="I42" s="10">
        <f t="shared" ref="I42:I52" si="8">H42-G42</f>
        <v>1.5972222222222276E-2</v>
      </c>
      <c r="J42" s="11">
        <v>4</v>
      </c>
      <c r="K42" s="11">
        <v>68.91</v>
      </c>
      <c r="L42" s="16">
        <f t="shared" ref="L42:L52" si="9">IFERROR(((K42/(J42*I42)/24)),"0")</f>
        <v>44.941304347825934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>
        <v>23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613</v>
      </c>
      <c r="F43" s="8" t="s">
        <v>42</v>
      </c>
      <c r="G43" s="9">
        <v>0.95277777777777772</v>
      </c>
      <c r="H43" s="9">
        <v>0.96597222222222223</v>
      </c>
      <c r="I43" s="10">
        <f t="shared" si="8"/>
        <v>1.3194444444444509E-2</v>
      </c>
      <c r="J43" s="11">
        <v>4</v>
      </c>
      <c r="K43" s="11">
        <v>68.91</v>
      </c>
      <c r="L43" s="16">
        <f t="shared" si="9"/>
        <v>54.402631578947101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>
        <v>19</v>
      </c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614</v>
      </c>
      <c r="F44" s="8" t="s">
        <v>42</v>
      </c>
      <c r="G44" s="9">
        <v>0.96805555555555556</v>
      </c>
      <c r="H44" s="9">
        <v>0.98124999999999996</v>
      </c>
      <c r="I44" s="10">
        <f t="shared" si="8"/>
        <v>1.3194444444444398E-2</v>
      </c>
      <c r="J44" s="11">
        <v>4</v>
      </c>
      <c r="K44" s="11">
        <v>68.91</v>
      </c>
      <c r="L44" s="16">
        <f t="shared" si="9"/>
        <v>54.402631578947563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>
        <v>19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615</v>
      </c>
      <c r="F45" s="8" t="s">
        <v>42</v>
      </c>
      <c r="G45" s="9">
        <v>0.98263888888888884</v>
      </c>
      <c r="H45" s="9">
        <v>0.99722222222222223</v>
      </c>
      <c r="I45" s="10">
        <f t="shared" si="8"/>
        <v>1.4583333333333393E-2</v>
      </c>
      <c r="J45" s="11">
        <v>4</v>
      </c>
      <c r="K45" s="11">
        <v>68.91</v>
      </c>
      <c r="L45" s="16">
        <f t="shared" si="9"/>
        <v>49.221428571428369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>
        <v>21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616</v>
      </c>
      <c r="F46" s="8" t="s">
        <v>42</v>
      </c>
      <c r="G46" s="9">
        <v>0.99791666666666667</v>
      </c>
      <c r="H46" s="9">
        <v>1.0166666666666666</v>
      </c>
      <c r="I46" s="10">
        <f t="shared" si="8"/>
        <v>1.8749999999999933E-2</v>
      </c>
      <c r="J46" s="11">
        <v>4</v>
      </c>
      <c r="K46" s="11">
        <v>68.91</v>
      </c>
      <c r="L46" s="16">
        <f t="shared" si="9"/>
        <v>38.283333333333466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>
        <v>27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843</v>
      </c>
      <c r="F47" s="8" t="s">
        <v>42</v>
      </c>
      <c r="G47" s="9">
        <v>1.0166666666666666</v>
      </c>
      <c r="H47" s="9">
        <v>1.0298611111111111</v>
      </c>
      <c r="I47" s="10">
        <f t="shared" si="8"/>
        <v>1.3194444444444509E-2</v>
      </c>
      <c r="J47" s="11">
        <v>4</v>
      </c>
      <c r="K47" s="11">
        <v>68.91</v>
      </c>
      <c r="L47" s="16">
        <f t="shared" si="9"/>
        <v>54.402631578947101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>
        <v>19</v>
      </c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844</v>
      </c>
      <c r="F48" s="8" t="s">
        <v>42</v>
      </c>
      <c r="G48" s="9">
        <v>1.0284722222222222</v>
      </c>
      <c r="H48" s="9">
        <v>1.0409722222222222</v>
      </c>
      <c r="I48" s="10">
        <f t="shared" si="8"/>
        <v>1.2499999999999956E-2</v>
      </c>
      <c r="J48" s="11">
        <v>4</v>
      </c>
      <c r="K48" s="11">
        <v>68.91</v>
      </c>
      <c r="L48" s="16">
        <f t="shared" si="9"/>
        <v>57.425000000000203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>
        <v>18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845</v>
      </c>
      <c r="F49" s="8" t="s">
        <v>42</v>
      </c>
      <c r="G49" s="9">
        <v>2.0833333333333333E-3</v>
      </c>
      <c r="H49" s="9">
        <v>1.3888888888888888E-2</v>
      </c>
      <c r="I49" s="10">
        <f t="shared" si="8"/>
        <v>1.1805555555555555E-2</v>
      </c>
      <c r="J49" s="11">
        <v>4</v>
      </c>
      <c r="K49" s="11">
        <v>68.91</v>
      </c>
      <c r="L49" s="16">
        <f t="shared" si="9"/>
        <v>60.80294117647059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>
        <v>17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846</v>
      </c>
      <c r="F50" s="8" t="s">
        <v>42</v>
      </c>
      <c r="G50" s="9">
        <v>1.5972222222222221E-2</v>
      </c>
      <c r="H50" s="9">
        <v>2.7777777777777776E-2</v>
      </c>
      <c r="I50" s="10">
        <f t="shared" si="8"/>
        <v>1.1805555555555555E-2</v>
      </c>
      <c r="J50" s="11">
        <v>4</v>
      </c>
      <c r="K50" s="11">
        <v>68.91</v>
      </c>
      <c r="L50" s="16">
        <f t="shared" si="9"/>
        <v>60.80294117647059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>
        <v>17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1512</v>
      </c>
      <c r="F51" s="8" t="s">
        <v>42</v>
      </c>
      <c r="G51" s="9">
        <v>0.85069444444444442</v>
      </c>
      <c r="H51" s="9">
        <v>0.875</v>
      </c>
      <c r="I51" s="10">
        <f t="shared" si="8"/>
        <v>2.430555555555558E-2</v>
      </c>
      <c r="J51" s="11">
        <v>3</v>
      </c>
      <c r="K51" s="11">
        <v>34.94</v>
      </c>
      <c r="L51" s="16">
        <f t="shared" si="9"/>
        <v>19.965714285714263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>
        <v>35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1400</v>
      </c>
      <c r="F52" s="8" t="s">
        <v>42</v>
      </c>
      <c r="G52" s="9">
        <v>0.98819444444444449</v>
      </c>
      <c r="H52" s="9">
        <v>1.0013888888888889</v>
      </c>
      <c r="I52" s="10">
        <f t="shared" si="8"/>
        <v>1.3194444444444398E-2</v>
      </c>
      <c r="J52" s="11">
        <v>3</v>
      </c>
      <c r="K52" s="11">
        <v>145.6</v>
      </c>
      <c r="L52" s="16">
        <f t="shared" si="9"/>
        <v>153.26315789473739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/>
      <c r="AB52" s="11"/>
      <c r="AC52" s="11"/>
      <c r="AD52" s="11">
        <v>19</v>
      </c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1401</v>
      </c>
      <c r="F53" s="8" t="s">
        <v>42</v>
      </c>
      <c r="G53" s="9">
        <v>0.98888888888888893</v>
      </c>
      <c r="H53" s="9">
        <v>1.0020833333333334</v>
      </c>
      <c r="I53" s="10">
        <f t="shared" ref="I53:I56" si="10">H53-G53</f>
        <v>1.3194444444444509E-2</v>
      </c>
      <c r="J53" s="11">
        <v>3</v>
      </c>
      <c r="K53" s="11">
        <v>144.52000000000001</v>
      </c>
      <c r="L53" s="16">
        <f t="shared" ref="L53:L110" si="11">IFERROR(((K53/(J53*I53)/24)),"0")</f>
        <v>152.12631578947295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>
        <v>19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1402</v>
      </c>
      <c r="F54" s="8" t="s">
        <v>42</v>
      </c>
      <c r="G54" s="9">
        <v>1.0069444444444444</v>
      </c>
      <c r="H54" s="9">
        <v>1.0229166666666667</v>
      </c>
      <c r="I54" s="10">
        <f t="shared" si="10"/>
        <v>1.5972222222222276E-2</v>
      </c>
      <c r="J54" s="11">
        <v>3</v>
      </c>
      <c r="K54" s="11">
        <v>140.99</v>
      </c>
      <c r="L54" s="16">
        <f t="shared" si="11"/>
        <v>122.59999999999958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/>
      <c r="AB54" s="11"/>
      <c r="AC54" s="11"/>
      <c r="AD54" s="11">
        <v>23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1403</v>
      </c>
      <c r="F55" s="8" t="s">
        <v>42</v>
      </c>
      <c r="G55" s="9">
        <v>1.0090277777777779</v>
      </c>
      <c r="H55" s="9">
        <v>1.0229166666666667</v>
      </c>
      <c r="I55" s="10">
        <f t="shared" si="10"/>
        <v>1.388888888888884E-2</v>
      </c>
      <c r="J55" s="11">
        <v>3</v>
      </c>
      <c r="K55" s="11">
        <v>143.25</v>
      </c>
      <c r="L55" s="16">
        <f t="shared" si="11"/>
        <v>143.25000000000051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>
        <v>20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1513</v>
      </c>
      <c r="F56" s="8" t="s">
        <v>42</v>
      </c>
      <c r="G56" s="9">
        <v>9.375E-2</v>
      </c>
      <c r="H56" s="9">
        <v>0.10208333333333333</v>
      </c>
      <c r="I56" s="10">
        <f t="shared" si="10"/>
        <v>8.3333333333333315E-3</v>
      </c>
      <c r="J56" s="11">
        <v>3</v>
      </c>
      <c r="K56" s="11">
        <v>37.42</v>
      </c>
      <c r="L56" s="16">
        <f t="shared" si="11"/>
        <v>62.366666666666681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/>
      <c r="AA56" s="11"/>
      <c r="AB56" s="11"/>
      <c r="AC56" s="11"/>
      <c r="AD56" s="11">
        <v>12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1405</v>
      </c>
      <c r="F57" s="8" t="s">
        <v>42</v>
      </c>
      <c r="G57" s="9">
        <v>0.89027777777777772</v>
      </c>
      <c r="H57" s="9">
        <v>0.90069444444444446</v>
      </c>
      <c r="I57" s="10">
        <f>H57-G57</f>
        <v>1.0416666666666741E-2</v>
      </c>
      <c r="J57" s="11">
        <v>3</v>
      </c>
      <c r="K57" s="11">
        <v>82.7</v>
      </c>
      <c r="L57" s="16">
        <f t="shared" si="11"/>
        <v>110.2666666666659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/>
      <c r="Z57" s="11"/>
      <c r="AA57" s="11"/>
      <c r="AB57" s="11"/>
      <c r="AC57" s="11"/>
      <c r="AD57" s="11">
        <v>15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1406</v>
      </c>
      <c r="F58" s="8" t="s">
        <v>42</v>
      </c>
      <c r="G58" s="9">
        <v>0.89583333333333337</v>
      </c>
      <c r="H58" s="9">
        <v>0.90694444444444444</v>
      </c>
      <c r="I58" s="10">
        <f t="shared" ref="I58:I88" si="12">H58-G58</f>
        <v>1.1111111111111072E-2</v>
      </c>
      <c r="J58" s="11">
        <v>3</v>
      </c>
      <c r="K58" s="11">
        <v>82.85</v>
      </c>
      <c r="L58" s="16">
        <f t="shared" si="11"/>
        <v>103.56250000000036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/>
      <c r="AA58" s="11"/>
      <c r="AB58" s="11">
        <v>16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1407</v>
      </c>
      <c r="F59" s="8" t="s">
        <v>42</v>
      </c>
      <c r="G59" s="9">
        <v>0.90625</v>
      </c>
      <c r="H59" s="9">
        <v>0.91736111111111107</v>
      </c>
      <c r="I59" s="10">
        <f t="shared" si="12"/>
        <v>1.1111111111111072E-2</v>
      </c>
      <c r="J59" s="11">
        <v>3</v>
      </c>
      <c r="K59" s="11">
        <v>83.1</v>
      </c>
      <c r="L59" s="16">
        <f t="shared" si="11"/>
        <v>103.87500000000036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/>
      <c r="AB59" s="11"/>
      <c r="AC59" s="11"/>
      <c r="AD59" s="11">
        <v>16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1408</v>
      </c>
      <c r="F60" s="8" t="s">
        <v>42</v>
      </c>
      <c r="G60" s="9">
        <v>0.91249999999999998</v>
      </c>
      <c r="H60" s="9">
        <v>0.9243055555555556</v>
      </c>
      <c r="I60" s="10">
        <f t="shared" si="12"/>
        <v>1.1805555555555625E-2</v>
      </c>
      <c r="J60" s="11">
        <v>3</v>
      </c>
      <c r="K60" s="11">
        <v>83.03</v>
      </c>
      <c r="L60" s="16">
        <f t="shared" si="11"/>
        <v>97.682352941175907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>
        <v>17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1409</v>
      </c>
      <c r="F61" s="8" t="s">
        <v>42</v>
      </c>
      <c r="G61" s="9">
        <v>0.9243055555555556</v>
      </c>
      <c r="H61" s="9">
        <v>0.93541666666666667</v>
      </c>
      <c r="I61" s="10">
        <f t="shared" si="12"/>
        <v>1.1111111111111072E-2</v>
      </c>
      <c r="J61" s="11">
        <v>3</v>
      </c>
      <c r="K61" s="11">
        <v>83.67</v>
      </c>
      <c r="L61" s="16">
        <f t="shared" si="11"/>
        <v>104.58750000000038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/>
      <c r="Y61" s="11"/>
      <c r="Z61" s="11"/>
      <c r="AA61" s="11"/>
      <c r="AB61" s="11"/>
      <c r="AC61" s="11"/>
      <c r="AD61" s="11">
        <v>16</v>
      </c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1410</v>
      </c>
      <c r="F62" s="8" t="s">
        <v>42</v>
      </c>
      <c r="G62" s="9">
        <v>0.93055555555555558</v>
      </c>
      <c r="H62" s="9">
        <v>0.94166666666666665</v>
      </c>
      <c r="I62" s="10">
        <f t="shared" si="12"/>
        <v>1.1111111111111072E-2</v>
      </c>
      <c r="J62" s="11">
        <v>3</v>
      </c>
      <c r="K62" s="11">
        <v>83.56</v>
      </c>
      <c r="L62" s="16">
        <f t="shared" si="11"/>
        <v>104.45000000000037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/>
      <c r="AA62" s="11"/>
      <c r="AB62" s="11">
        <v>16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1411</v>
      </c>
      <c r="F63" s="8" t="s">
        <v>42</v>
      </c>
      <c r="G63" s="9">
        <v>0.94027777777777777</v>
      </c>
      <c r="H63" s="9">
        <v>0.95138888888888884</v>
      </c>
      <c r="I63" s="10">
        <f t="shared" si="12"/>
        <v>1.1111111111111072E-2</v>
      </c>
      <c r="J63" s="11">
        <v>3</v>
      </c>
      <c r="K63" s="11">
        <v>81.599999999999994</v>
      </c>
      <c r="L63" s="16">
        <f t="shared" si="11"/>
        <v>102.00000000000036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/>
      <c r="Y63" s="11"/>
      <c r="Z63" s="11"/>
      <c r="AA63" s="11"/>
      <c r="AB63" s="11"/>
      <c r="AC63" s="11"/>
      <c r="AD63" s="11">
        <v>16</v>
      </c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1412</v>
      </c>
      <c r="F64" s="8" t="s">
        <v>42</v>
      </c>
      <c r="G64" s="9">
        <v>0.94930555555555551</v>
      </c>
      <c r="H64" s="9">
        <v>0.9604166666666667</v>
      </c>
      <c r="I64" s="10">
        <f t="shared" si="12"/>
        <v>1.1111111111111183E-2</v>
      </c>
      <c r="J64" s="11">
        <v>3</v>
      </c>
      <c r="K64" s="11">
        <v>81.650000000000006</v>
      </c>
      <c r="L64" s="16">
        <f t="shared" si="11"/>
        <v>102.06249999999936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/>
      <c r="Z64" s="11"/>
      <c r="AA64" s="11"/>
      <c r="AB64" s="11">
        <v>16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1413</v>
      </c>
      <c r="F65" s="8" t="s">
        <v>42</v>
      </c>
      <c r="G65" s="9">
        <v>0.95902777777777781</v>
      </c>
      <c r="H65" s="9">
        <v>0.97013888888888888</v>
      </c>
      <c r="I65" s="10">
        <f t="shared" si="12"/>
        <v>1.1111111111111072E-2</v>
      </c>
      <c r="J65" s="11">
        <v>3</v>
      </c>
      <c r="K65" s="11">
        <v>82.6</v>
      </c>
      <c r="L65" s="16">
        <f t="shared" si="11"/>
        <v>103.25000000000036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/>
      <c r="Y65" s="11"/>
      <c r="Z65" s="11"/>
      <c r="AA65" s="11"/>
      <c r="AB65" s="11"/>
      <c r="AC65" s="11"/>
      <c r="AD65" s="11">
        <v>16</v>
      </c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1414</v>
      </c>
      <c r="F66" s="8" t="s">
        <v>42</v>
      </c>
      <c r="G66" s="9">
        <v>0.96527777777777779</v>
      </c>
      <c r="H66" s="9">
        <v>0.97638888888888886</v>
      </c>
      <c r="I66" s="10">
        <f t="shared" si="12"/>
        <v>1.1111111111111072E-2</v>
      </c>
      <c r="J66" s="11">
        <v>3</v>
      </c>
      <c r="K66" s="11">
        <v>82.7</v>
      </c>
      <c r="L66" s="16">
        <f t="shared" si="11"/>
        <v>103.37500000000038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/>
      <c r="AA66" s="11"/>
      <c r="AB66" s="11">
        <v>16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1415</v>
      </c>
      <c r="F67" s="8" t="s">
        <v>42</v>
      </c>
      <c r="G67" s="9">
        <v>7.7083333333333337E-2</v>
      </c>
      <c r="H67" s="9">
        <v>8.1944444444444445E-2</v>
      </c>
      <c r="I67" s="10">
        <f t="shared" si="12"/>
        <v>4.8611111111111077E-3</v>
      </c>
      <c r="J67" s="11">
        <v>3</v>
      </c>
      <c r="K67" s="11" t="s">
        <v>209</v>
      </c>
      <c r="L67" s="16" t="str">
        <f t="shared" si="11"/>
        <v>0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/>
      <c r="Z67" s="11"/>
      <c r="AA67" s="11"/>
      <c r="AB67" s="11"/>
      <c r="AC67" s="11"/>
      <c r="AD67" s="11">
        <v>7</v>
      </c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1416</v>
      </c>
      <c r="F68" s="8" t="s">
        <v>42</v>
      </c>
      <c r="G68" s="9">
        <v>7.8472222222222221E-2</v>
      </c>
      <c r="H68" s="9">
        <v>8.3333333333333329E-2</v>
      </c>
      <c r="I68" s="10">
        <f t="shared" si="12"/>
        <v>4.8611111111111077E-3</v>
      </c>
      <c r="J68" s="11">
        <v>3</v>
      </c>
      <c r="K68" s="11" t="s">
        <v>209</v>
      </c>
      <c r="L68" s="16" t="str">
        <f t="shared" si="11"/>
        <v>0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/>
      <c r="Y68" s="11"/>
      <c r="Z68" s="11"/>
      <c r="AA68" s="11"/>
      <c r="AB68" s="11">
        <v>7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1417</v>
      </c>
      <c r="F69" s="8" t="s">
        <v>42</v>
      </c>
      <c r="G69" s="9">
        <v>8.6805555555555552E-2</v>
      </c>
      <c r="H69" s="9">
        <v>9.166666666666666E-2</v>
      </c>
      <c r="I69" s="10">
        <f t="shared" si="12"/>
        <v>4.8611111111111077E-3</v>
      </c>
      <c r="J69" s="11">
        <v>3</v>
      </c>
      <c r="K69" s="11" t="s">
        <v>209</v>
      </c>
      <c r="L69" s="16" t="str">
        <f t="shared" si="11"/>
        <v>0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/>
      <c r="AB69" s="11"/>
      <c r="AC69" s="11"/>
      <c r="AD69" s="11">
        <v>7</v>
      </c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1418</v>
      </c>
      <c r="F70" s="8" t="s">
        <v>42</v>
      </c>
      <c r="G70" s="9">
        <v>8.7499999999999994E-2</v>
      </c>
      <c r="H70" s="9">
        <v>9.2361111111111116E-2</v>
      </c>
      <c r="I70" s="10">
        <f t="shared" si="12"/>
        <v>4.8611111111111216E-3</v>
      </c>
      <c r="J70" s="11">
        <v>3</v>
      </c>
      <c r="K70" s="11" t="s">
        <v>209</v>
      </c>
      <c r="L70" s="16" t="str">
        <f t="shared" si="11"/>
        <v>0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>
        <v>7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1419</v>
      </c>
      <c r="F71" s="8" t="s">
        <v>42</v>
      </c>
      <c r="G71" s="9">
        <v>9.5138888888888884E-2</v>
      </c>
      <c r="H71" s="9">
        <v>0.1</v>
      </c>
      <c r="I71" s="10">
        <f t="shared" si="12"/>
        <v>4.8611111111111216E-3</v>
      </c>
      <c r="J71" s="11">
        <v>3</v>
      </c>
      <c r="K71" s="11" t="s">
        <v>209</v>
      </c>
      <c r="L71" s="16" t="str">
        <f t="shared" si="11"/>
        <v>0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/>
      <c r="AD71" s="11">
        <v>7</v>
      </c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1420</v>
      </c>
      <c r="F72" s="8" t="s">
        <v>42</v>
      </c>
      <c r="G72" s="9">
        <v>9.583333333333334E-2</v>
      </c>
      <c r="H72" s="9">
        <v>0.10069444444444445</v>
      </c>
      <c r="I72" s="10">
        <f t="shared" si="12"/>
        <v>4.8611111111111077E-3</v>
      </c>
      <c r="J72" s="11">
        <v>3</v>
      </c>
      <c r="K72" s="11" t="s">
        <v>209</v>
      </c>
      <c r="L72" s="16" t="str">
        <f t="shared" si="11"/>
        <v>0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/>
      <c r="Y72" s="11"/>
      <c r="Z72" s="11"/>
      <c r="AA72" s="11"/>
      <c r="AB72" s="11">
        <v>7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1421</v>
      </c>
      <c r="F73" s="8" t="s">
        <v>42</v>
      </c>
      <c r="G73" s="9">
        <v>0.10416666666666667</v>
      </c>
      <c r="H73" s="9">
        <v>0.10902777777777778</v>
      </c>
      <c r="I73" s="10">
        <f t="shared" si="12"/>
        <v>4.8611111111111077E-3</v>
      </c>
      <c r="J73" s="11">
        <v>3</v>
      </c>
      <c r="K73" s="11" t="s">
        <v>209</v>
      </c>
      <c r="L73" s="16" t="str">
        <f t="shared" si="11"/>
        <v>0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/>
      <c r="Y73" s="11"/>
      <c r="Z73" s="11"/>
      <c r="AA73" s="11"/>
      <c r="AB73" s="11"/>
      <c r="AC73" s="11"/>
      <c r="AD73" s="11">
        <v>7</v>
      </c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1422</v>
      </c>
      <c r="F74" s="8" t="s">
        <v>42</v>
      </c>
      <c r="G74" s="9">
        <v>0.10416666666666667</v>
      </c>
      <c r="H74" s="9">
        <v>0.10902777777777778</v>
      </c>
      <c r="I74" s="10">
        <f t="shared" si="12"/>
        <v>4.8611111111111077E-3</v>
      </c>
      <c r="J74" s="11">
        <v>3</v>
      </c>
      <c r="K74" s="11" t="s">
        <v>209</v>
      </c>
      <c r="L74" s="16" t="str">
        <f t="shared" si="11"/>
        <v>0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/>
      <c r="Y74" s="11"/>
      <c r="Z74" s="11"/>
      <c r="AA74" s="11"/>
      <c r="AB74" s="11">
        <v>7</v>
      </c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1345</v>
      </c>
      <c r="F75" s="8" t="s">
        <v>42</v>
      </c>
      <c r="G75" s="9">
        <v>0.1111111111111111</v>
      </c>
      <c r="H75" s="9">
        <v>0.11597222222222223</v>
      </c>
      <c r="I75" s="10">
        <f t="shared" si="12"/>
        <v>4.8611111111111216E-3</v>
      </c>
      <c r="J75" s="11">
        <v>3</v>
      </c>
      <c r="K75" s="11" t="s">
        <v>209</v>
      </c>
      <c r="L75" s="16" t="str">
        <f t="shared" si="11"/>
        <v>0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/>
      <c r="X75" s="11"/>
      <c r="Y75" s="11"/>
      <c r="Z75" s="11"/>
      <c r="AA75" s="11"/>
      <c r="AB75" s="11"/>
      <c r="AC75" s="11"/>
      <c r="AD75" s="11">
        <v>7</v>
      </c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1346</v>
      </c>
      <c r="F76" s="8" t="s">
        <v>42</v>
      </c>
      <c r="G76" s="9">
        <v>0.1125</v>
      </c>
      <c r="H76" s="9">
        <v>0.11736111111111111</v>
      </c>
      <c r="I76" s="10">
        <f t="shared" si="12"/>
        <v>4.8611111111111077E-3</v>
      </c>
      <c r="J76" s="11">
        <v>3</v>
      </c>
      <c r="K76" s="11" t="s">
        <v>209</v>
      </c>
      <c r="L76" s="16" t="str">
        <f t="shared" si="11"/>
        <v>0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/>
      <c r="X76" s="11"/>
      <c r="Y76" s="11"/>
      <c r="Z76" s="11"/>
      <c r="AA76" s="11"/>
      <c r="AB76" s="11">
        <v>7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1347</v>
      </c>
      <c r="F77" s="8" t="s">
        <v>42</v>
      </c>
      <c r="G77" s="9">
        <v>0.11944444444444445</v>
      </c>
      <c r="H77" s="9">
        <v>0.12430555555555556</v>
      </c>
      <c r="I77" s="10">
        <f t="shared" si="12"/>
        <v>4.8611111111111077E-3</v>
      </c>
      <c r="J77" s="11">
        <v>3</v>
      </c>
      <c r="K77" s="11" t="s">
        <v>209</v>
      </c>
      <c r="L77" s="16" t="str">
        <f t="shared" si="11"/>
        <v>0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/>
      <c r="X77" s="11"/>
      <c r="Y77" s="11"/>
      <c r="Z77" s="11"/>
      <c r="AA77" s="11"/>
      <c r="AB77" s="11"/>
      <c r="AC77" s="11"/>
      <c r="AD77" s="11">
        <v>7</v>
      </c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1348</v>
      </c>
      <c r="F78" s="8" t="s">
        <v>42</v>
      </c>
      <c r="G78" s="9">
        <v>0.12152777777777778</v>
      </c>
      <c r="H78" s="9">
        <v>0.12638888888888888</v>
      </c>
      <c r="I78" s="10">
        <f t="shared" si="12"/>
        <v>4.8611111111111077E-3</v>
      </c>
      <c r="J78" s="11">
        <v>3</v>
      </c>
      <c r="K78" s="11" t="s">
        <v>209</v>
      </c>
      <c r="L78" s="16" t="str">
        <f t="shared" si="11"/>
        <v>0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/>
      <c r="X78" s="11"/>
      <c r="Y78" s="11"/>
      <c r="Z78" s="11"/>
      <c r="AA78" s="11"/>
      <c r="AB78" s="11">
        <v>7</v>
      </c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1349</v>
      </c>
      <c r="F79" s="8" t="s">
        <v>42</v>
      </c>
      <c r="G79" s="9">
        <v>0.12777777777777777</v>
      </c>
      <c r="H79" s="9">
        <v>0.13263888888888889</v>
      </c>
      <c r="I79" s="10">
        <f t="shared" si="12"/>
        <v>4.8611111111111216E-3</v>
      </c>
      <c r="J79" s="11">
        <v>3</v>
      </c>
      <c r="K79" s="11" t="s">
        <v>209</v>
      </c>
      <c r="L79" s="16" t="str">
        <f t="shared" si="11"/>
        <v>0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/>
      <c r="X79" s="11"/>
      <c r="Y79" s="11"/>
      <c r="Z79" s="11"/>
      <c r="AA79" s="11"/>
      <c r="AB79" s="11"/>
      <c r="AC79" s="11"/>
      <c r="AD79" s="11">
        <v>7</v>
      </c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1350</v>
      </c>
      <c r="F80" s="8" t="s">
        <v>42</v>
      </c>
      <c r="G80" s="9">
        <v>0.12986111111111112</v>
      </c>
      <c r="H80" s="9">
        <v>0.13472222222222222</v>
      </c>
      <c r="I80" s="10">
        <f t="shared" si="12"/>
        <v>4.8611111111110938E-3</v>
      </c>
      <c r="J80" s="11">
        <v>3</v>
      </c>
      <c r="K80" s="11" t="s">
        <v>209</v>
      </c>
      <c r="L80" s="16" t="str">
        <f t="shared" si="11"/>
        <v>0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/>
      <c r="X80" s="11"/>
      <c r="Y80" s="11"/>
      <c r="Z80" s="11"/>
      <c r="AA80" s="11"/>
      <c r="AB80" s="11">
        <v>7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1351</v>
      </c>
      <c r="F81" s="8" t="s">
        <v>42</v>
      </c>
      <c r="G81" s="9">
        <v>0.1361111111111111</v>
      </c>
      <c r="H81" s="9">
        <v>0.14097222222222222</v>
      </c>
      <c r="I81" s="10">
        <f t="shared" si="12"/>
        <v>4.8611111111111216E-3</v>
      </c>
      <c r="J81" s="11">
        <v>3</v>
      </c>
      <c r="K81" s="11" t="s">
        <v>209</v>
      </c>
      <c r="L81" s="16" t="str">
        <f t="shared" si="11"/>
        <v>0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/>
      <c r="X81" s="11"/>
      <c r="Y81" s="11"/>
      <c r="Z81" s="11"/>
      <c r="AA81" s="11"/>
      <c r="AB81" s="11"/>
      <c r="AC81" s="11"/>
      <c r="AD81" s="11">
        <v>7</v>
      </c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1352</v>
      </c>
      <c r="F82" s="8" t="s">
        <v>42</v>
      </c>
      <c r="G82" s="9">
        <v>0.13958333333333334</v>
      </c>
      <c r="H82" s="9">
        <v>0.14444444444444443</v>
      </c>
      <c r="I82" s="10">
        <f t="shared" si="12"/>
        <v>4.8611111111110938E-3</v>
      </c>
      <c r="J82" s="11">
        <v>3</v>
      </c>
      <c r="K82" s="11" t="s">
        <v>209</v>
      </c>
      <c r="L82" s="16" t="str">
        <f t="shared" si="11"/>
        <v>0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/>
      <c r="X82" s="11"/>
      <c r="Y82" s="11"/>
      <c r="Z82" s="11"/>
      <c r="AA82" s="11"/>
      <c r="AB82" s="11">
        <v>7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1353</v>
      </c>
      <c r="F83" s="8" t="s">
        <v>42</v>
      </c>
      <c r="G83" s="9">
        <v>0.14444444444444443</v>
      </c>
      <c r="H83" s="9">
        <v>0.14930555555555555</v>
      </c>
      <c r="I83" s="10">
        <f t="shared" si="12"/>
        <v>4.8611111111111216E-3</v>
      </c>
      <c r="J83" s="11">
        <v>3</v>
      </c>
      <c r="K83" s="11" t="s">
        <v>209</v>
      </c>
      <c r="L83" s="16" t="str">
        <f t="shared" si="11"/>
        <v>0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/>
      <c r="X83" s="11"/>
      <c r="Y83" s="11"/>
      <c r="Z83" s="11"/>
      <c r="AA83" s="11"/>
      <c r="AB83" s="11"/>
      <c r="AC83" s="11"/>
      <c r="AD83" s="11">
        <v>7</v>
      </c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1354</v>
      </c>
      <c r="F84" s="8" t="s">
        <v>42</v>
      </c>
      <c r="G84" s="9">
        <v>0.14791666666666667</v>
      </c>
      <c r="H84" s="9">
        <v>0.15277777777777779</v>
      </c>
      <c r="I84" s="10">
        <f t="shared" si="12"/>
        <v>4.8611111111111216E-3</v>
      </c>
      <c r="J84" s="11">
        <v>3</v>
      </c>
      <c r="K84" s="11" t="s">
        <v>209</v>
      </c>
      <c r="L84" s="16" t="str">
        <f t="shared" si="11"/>
        <v>0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>
        <v>7</v>
      </c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1355</v>
      </c>
      <c r="F85" s="8" t="s">
        <v>42</v>
      </c>
      <c r="G85" s="9">
        <v>0.15277777777777779</v>
      </c>
      <c r="H85" s="9">
        <v>0.15763888888888888</v>
      </c>
      <c r="I85" s="10">
        <f t="shared" si="12"/>
        <v>4.8611111111110938E-3</v>
      </c>
      <c r="J85" s="11">
        <v>3</v>
      </c>
      <c r="K85" s="11" t="s">
        <v>209</v>
      </c>
      <c r="L85" s="16" t="str">
        <f t="shared" si="11"/>
        <v>0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/>
      <c r="X85" s="11"/>
      <c r="Y85" s="11"/>
      <c r="Z85" s="11"/>
      <c r="AA85" s="11"/>
      <c r="AB85" s="11"/>
      <c r="AC85" s="11"/>
      <c r="AD85" s="11">
        <v>7</v>
      </c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1356</v>
      </c>
      <c r="F86" s="8" t="s">
        <v>42</v>
      </c>
      <c r="G86" s="9">
        <v>0.15625</v>
      </c>
      <c r="H86" s="9">
        <v>0.16111111111111112</v>
      </c>
      <c r="I86" s="10">
        <f t="shared" si="12"/>
        <v>4.8611111111111216E-3</v>
      </c>
      <c r="J86" s="11">
        <v>3</v>
      </c>
      <c r="K86" s="11" t="s">
        <v>209</v>
      </c>
      <c r="L86" s="16" t="str">
        <f t="shared" si="11"/>
        <v>0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/>
      <c r="X86" s="11"/>
      <c r="Y86" s="11"/>
      <c r="Z86" s="11"/>
      <c r="AA86" s="11"/>
      <c r="AB86" s="11">
        <v>7</v>
      </c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1514</v>
      </c>
      <c r="F87" s="8" t="s">
        <v>42</v>
      </c>
      <c r="G87" s="9">
        <v>0.15625</v>
      </c>
      <c r="H87" s="9">
        <v>0.16111111111111112</v>
      </c>
      <c r="I87" s="10">
        <f t="shared" si="12"/>
        <v>4.8611111111111216E-3</v>
      </c>
      <c r="J87" s="11">
        <v>3</v>
      </c>
      <c r="K87" s="11" t="s">
        <v>209</v>
      </c>
      <c r="L87" s="16" t="str">
        <f t="shared" si="11"/>
        <v>0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/>
      <c r="X87" s="11"/>
      <c r="Y87" s="11"/>
      <c r="Z87" s="11"/>
      <c r="AA87" s="11"/>
      <c r="AB87" s="11"/>
      <c r="AC87" s="11">
        <v>7</v>
      </c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1515</v>
      </c>
      <c r="F88" s="8" t="s">
        <v>42</v>
      </c>
      <c r="G88" s="9">
        <v>0.15902777777777777</v>
      </c>
      <c r="H88" s="9">
        <v>0.16388888888888889</v>
      </c>
      <c r="I88" s="10">
        <f t="shared" si="12"/>
        <v>4.8611111111111216E-3</v>
      </c>
      <c r="J88" s="11">
        <v>3</v>
      </c>
      <c r="K88" s="11" t="s">
        <v>209</v>
      </c>
      <c r="L88" s="16" t="str">
        <f t="shared" si="11"/>
        <v>0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/>
      <c r="X88" s="11"/>
      <c r="Y88" s="11"/>
      <c r="Z88" s="11"/>
      <c r="AA88" s="11"/>
      <c r="AB88" s="11"/>
      <c r="AC88" s="11"/>
      <c r="AD88" s="11">
        <v>7</v>
      </c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1423</v>
      </c>
      <c r="F89" s="8" t="s">
        <v>42</v>
      </c>
      <c r="G89" s="9">
        <v>8.9583333333333334E-2</v>
      </c>
      <c r="H89" s="9">
        <v>9.5138888888888884E-2</v>
      </c>
      <c r="I89" s="10">
        <f>H89-G89</f>
        <v>5.5555555555555497E-3</v>
      </c>
      <c r="J89" s="11">
        <v>4</v>
      </c>
      <c r="K89" s="11">
        <v>69.45</v>
      </c>
      <c r="L89" s="16">
        <f t="shared" ref="L89" si="13">IFERROR(((K89/(J89*I89)/24)),"0")</f>
        <v>130.21875000000014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/>
      <c r="Z89" s="11"/>
      <c r="AA89" s="11">
        <v>8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1424</v>
      </c>
      <c r="F90" s="8" t="s">
        <v>42</v>
      </c>
      <c r="G90" s="9">
        <v>9.5138888888888884E-2</v>
      </c>
      <c r="H90" s="9">
        <v>0.10069444444444445</v>
      </c>
      <c r="I90" s="10">
        <f t="shared" ref="I90:I110" si="14">H90-G90</f>
        <v>5.5555555555555636E-3</v>
      </c>
      <c r="J90" s="11">
        <v>4</v>
      </c>
      <c r="K90" s="11">
        <v>69.45</v>
      </c>
      <c r="L90" s="16">
        <f t="shared" si="11"/>
        <v>130.2187499999998</v>
      </c>
      <c r="M90" s="11"/>
      <c r="N90" s="11"/>
      <c r="O90" s="11"/>
      <c r="P90" s="11"/>
      <c r="Q90" s="11"/>
      <c r="R90" s="12"/>
      <c r="S90" s="12"/>
      <c r="T90" s="11"/>
      <c r="U90" s="11"/>
      <c r="V90" s="12">
        <v>2</v>
      </c>
      <c r="W90" s="12"/>
      <c r="X90" s="11">
        <v>8</v>
      </c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1425</v>
      </c>
      <c r="F91" s="8" t="s">
        <v>42</v>
      </c>
      <c r="G91" s="9">
        <v>0.10416666666666667</v>
      </c>
      <c r="H91" s="9">
        <v>0.10972222222222222</v>
      </c>
      <c r="I91" s="10">
        <f t="shared" si="14"/>
        <v>5.5555555555555497E-3</v>
      </c>
      <c r="J91" s="11">
        <v>4</v>
      </c>
      <c r="K91" s="11">
        <v>71.17</v>
      </c>
      <c r="L91" s="16">
        <f t="shared" si="11"/>
        <v>133.44375000000014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>
        <v>8</v>
      </c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1426</v>
      </c>
      <c r="F92" s="8" t="s">
        <v>42</v>
      </c>
      <c r="G92" s="9">
        <v>0.10625</v>
      </c>
      <c r="H92" s="9">
        <v>0.11180555555555556</v>
      </c>
      <c r="I92" s="10">
        <f t="shared" si="14"/>
        <v>5.5555555555555636E-3</v>
      </c>
      <c r="J92" s="11">
        <v>4</v>
      </c>
      <c r="K92" s="11">
        <v>71.17</v>
      </c>
      <c r="L92" s="16">
        <f t="shared" si="11"/>
        <v>133.44374999999982</v>
      </c>
      <c r="M92" s="11"/>
      <c r="N92" s="11"/>
      <c r="O92" s="11"/>
      <c r="P92" s="11"/>
      <c r="Q92" s="11"/>
      <c r="R92" s="12"/>
      <c r="S92" s="12"/>
      <c r="T92" s="11"/>
      <c r="U92" s="11"/>
      <c r="V92" s="12">
        <v>2</v>
      </c>
      <c r="W92" s="12"/>
      <c r="X92" s="11"/>
      <c r="Y92" s="11"/>
      <c r="Z92" s="11">
        <v>8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1427</v>
      </c>
      <c r="F93" s="8" t="s">
        <v>42</v>
      </c>
      <c r="G93" s="9">
        <v>0.11319444444444444</v>
      </c>
      <c r="H93" s="9">
        <v>0.11874999999999999</v>
      </c>
      <c r="I93" s="10">
        <f t="shared" si="14"/>
        <v>5.5555555555555497E-3</v>
      </c>
      <c r="J93" s="11">
        <v>4</v>
      </c>
      <c r="K93" s="11">
        <v>80.099999999999994</v>
      </c>
      <c r="L93" s="16">
        <f t="shared" si="11"/>
        <v>150.18750000000014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2</v>
      </c>
      <c r="X93" s="11"/>
      <c r="Y93" s="11">
        <v>8</v>
      </c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1428</v>
      </c>
      <c r="F94" s="8" t="s">
        <v>42</v>
      </c>
      <c r="G94" s="9">
        <v>0.11874999999999999</v>
      </c>
      <c r="H94" s="9">
        <v>0.12430555555555556</v>
      </c>
      <c r="I94" s="10">
        <f t="shared" si="14"/>
        <v>5.5555555555555636E-3</v>
      </c>
      <c r="J94" s="11">
        <v>4</v>
      </c>
      <c r="K94" s="11">
        <v>64.31</v>
      </c>
      <c r="L94" s="16">
        <f t="shared" si="11"/>
        <v>120.58124999999983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2</v>
      </c>
      <c r="W94" s="12"/>
      <c r="X94" s="11">
        <v>8</v>
      </c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1429</v>
      </c>
      <c r="F95" s="8" t="s">
        <v>42</v>
      </c>
      <c r="G95" s="9">
        <v>0.12291666666666666</v>
      </c>
      <c r="H95" s="9">
        <v>0.12847222222222221</v>
      </c>
      <c r="I95" s="10">
        <f t="shared" si="14"/>
        <v>5.5555555555555497E-3</v>
      </c>
      <c r="J95" s="11">
        <v>4</v>
      </c>
      <c r="K95" s="11">
        <v>63.65</v>
      </c>
      <c r="L95" s="16">
        <f t="shared" si="11"/>
        <v>119.34375000000013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2</v>
      </c>
      <c r="X95" s="11"/>
      <c r="Y95" s="11"/>
      <c r="Z95" s="11">
        <v>8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1430</v>
      </c>
      <c r="F96" s="8" t="s">
        <v>42</v>
      </c>
      <c r="G96" s="9">
        <v>0.12777777777777777</v>
      </c>
      <c r="H96" s="9">
        <v>0.13333333333333333</v>
      </c>
      <c r="I96" s="10">
        <f t="shared" si="14"/>
        <v>5.5555555555555636E-3</v>
      </c>
      <c r="J96" s="11">
        <v>4</v>
      </c>
      <c r="K96" s="11">
        <v>76.03</v>
      </c>
      <c r="L96" s="16">
        <f t="shared" si="11"/>
        <v>142.55624999999978</v>
      </c>
      <c r="M96" s="11"/>
      <c r="N96" s="11"/>
      <c r="O96" s="11"/>
      <c r="P96" s="11"/>
      <c r="Q96" s="11"/>
      <c r="R96" s="12"/>
      <c r="S96" s="12"/>
      <c r="T96" s="11"/>
      <c r="U96" s="11"/>
      <c r="V96" s="12">
        <v>2</v>
      </c>
      <c r="W96" s="12"/>
      <c r="X96" s="11"/>
      <c r="Y96" s="11"/>
      <c r="Z96" s="11"/>
      <c r="AA96" s="11">
        <v>8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1357</v>
      </c>
      <c r="F97" s="8" t="s">
        <v>42</v>
      </c>
      <c r="G97" s="9">
        <v>0.12916666666666668</v>
      </c>
      <c r="H97" s="9">
        <v>0.13472222222222222</v>
      </c>
      <c r="I97" s="10">
        <f t="shared" si="14"/>
        <v>5.5555555555555358E-3</v>
      </c>
      <c r="J97" s="11">
        <v>4</v>
      </c>
      <c r="K97" s="11">
        <v>70.73</v>
      </c>
      <c r="L97" s="16">
        <f t="shared" si="11"/>
        <v>132.61875000000046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2</v>
      </c>
      <c r="X97" s="11"/>
      <c r="Y97" s="11">
        <v>8</v>
      </c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1358</v>
      </c>
      <c r="F98" s="8" t="s">
        <v>42</v>
      </c>
      <c r="G98" s="9">
        <v>0.13125000000000001</v>
      </c>
      <c r="H98" s="9">
        <v>0.13680555555555557</v>
      </c>
      <c r="I98" s="10">
        <f t="shared" si="14"/>
        <v>5.5555555555555636E-3</v>
      </c>
      <c r="J98" s="11">
        <v>4</v>
      </c>
      <c r="K98" s="11">
        <v>59.23</v>
      </c>
      <c r="L98" s="16">
        <f t="shared" si="11"/>
        <v>111.05624999999982</v>
      </c>
      <c r="M98" s="11"/>
      <c r="N98" s="11"/>
      <c r="O98" s="11"/>
      <c r="P98" s="11"/>
      <c r="Q98" s="11"/>
      <c r="R98" s="12"/>
      <c r="S98" s="12"/>
      <c r="T98" s="11"/>
      <c r="U98" s="11"/>
      <c r="V98" s="12">
        <v>2</v>
      </c>
      <c r="W98" s="12"/>
      <c r="X98" s="11">
        <v>8</v>
      </c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1359</v>
      </c>
      <c r="F99" s="8" t="s">
        <v>42</v>
      </c>
      <c r="G99" s="9">
        <v>0.13402777777777777</v>
      </c>
      <c r="H99" s="9">
        <v>0.13958333333333334</v>
      </c>
      <c r="I99" s="10">
        <f t="shared" si="14"/>
        <v>5.5555555555555636E-3</v>
      </c>
      <c r="J99" s="11">
        <v>4</v>
      </c>
      <c r="K99" s="11">
        <v>76.27</v>
      </c>
      <c r="L99" s="16">
        <f t="shared" si="11"/>
        <v>143.0062499999998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>
        <v>2</v>
      </c>
      <c r="X99" s="11"/>
      <c r="Y99" s="11"/>
      <c r="Z99" s="11">
        <v>8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1360</v>
      </c>
      <c r="F100" s="8" t="s">
        <v>42</v>
      </c>
      <c r="G100" s="9">
        <v>0.13750000000000001</v>
      </c>
      <c r="H100" s="9">
        <v>0.14305555555555555</v>
      </c>
      <c r="I100" s="10">
        <f t="shared" si="14"/>
        <v>5.5555555555555358E-3</v>
      </c>
      <c r="J100" s="11">
        <v>4</v>
      </c>
      <c r="K100" s="11">
        <v>68.849999999999994</v>
      </c>
      <c r="L100" s="16">
        <f t="shared" si="11"/>
        <v>129.09375000000045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>
        <v>2</v>
      </c>
      <c r="W100" s="12"/>
      <c r="X100" s="11"/>
      <c r="Y100" s="11"/>
      <c r="Z100" s="11"/>
      <c r="AA100" s="11">
        <v>8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1361</v>
      </c>
      <c r="F101" s="8" t="s">
        <v>42</v>
      </c>
      <c r="G101" s="9">
        <v>0.14097222222222222</v>
      </c>
      <c r="H101" s="9">
        <v>0.14652777777777778</v>
      </c>
      <c r="I101" s="10">
        <f t="shared" si="14"/>
        <v>5.5555555555555636E-3</v>
      </c>
      <c r="J101" s="11">
        <v>4</v>
      </c>
      <c r="K101" s="11">
        <v>70.790000000000006</v>
      </c>
      <c r="L101" s="16">
        <f t="shared" si="11"/>
        <v>132.73124999999982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>
        <v>2</v>
      </c>
      <c r="X101" s="11">
        <v>8</v>
      </c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1362</v>
      </c>
      <c r="F102" s="8" t="s">
        <v>42</v>
      </c>
      <c r="G102" s="9">
        <v>0.14374999999999999</v>
      </c>
      <c r="H102" s="9">
        <v>0.14930555555555555</v>
      </c>
      <c r="I102" s="10">
        <f t="shared" si="14"/>
        <v>5.5555555555555636E-3</v>
      </c>
      <c r="J102" s="11">
        <v>4</v>
      </c>
      <c r="K102" s="11">
        <v>66.91</v>
      </c>
      <c r="L102" s="16">
        <f t="shared" si="11"/>
        <v>125.45624999999983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>
        <v>2</v>
      </c>
      <c r="W102" s="12"/>
      <c r="X102" s="11"/>
      <c r="Y102" s="11"/>
      <c r="Z102" s="11">
        <v>8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1363</v>
      </c>
      <c r="F103" s="8" t="s">
        <v>42</v>
      </c>
      <c r="G103" s="9">
        <v>0.1451388888888889</v>
      </c>
      <c r="H103" s="9">
        <v>0.15069444444444444</v>
      </c>
      <c r="I103" s="10">
        <f t="shared" si="14"/>
        <v>5.5555555555555358E-3</v>
      </c>
      <c r="J103" s="11">
        <v>4</v>
      </c>
      <c r="K103" s="11">
        <v>66.709999999999994</v>
      </c>
      <c r="L103" s="16">
        <f t="shared" si="11"/>
        <v>125.08125000000042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2</v>
      </c>
      <c r="X103" s="11"/>
      <c r="Y103" s="11">
        <v>8</v>
      </c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1364</v>
      </c>
      <c r="F104" s="8" t="s">
        <v>42</v>
      </c>
      <c r="G104" s="9">
        <v>0.14861111111111111</v>
      </c>
      <c r="H104" s="9">
        <v>0.15416666666666667</v>
      </c>
      <c r="I104" s="10">
        <f t="shared" si="14"/>
        <v>5.5555555555555636E-3</v>
      </c>
      <c r="J104" s="11">
        <v>4</v>
      </c>
      <c r="K104" s="11">
        <v>68.209999999999994</v>
      </c>
      <c r="L104" s="16">
        <f t="shared" si="11"/>
        <v>127.8937499999998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>
        <v>2</v>
      </c>
      <c r="W104" s="12"/>
      <c r="X104" s="11"/>
      <c r="Y104" s="11"/>
      <c r="Z104" s="11"/>
      <c r="AA104" s="11">
        <v>8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1365</v>
      </c>
      <c r="F105" s="8" t="s">
        <v>42</v>
      </c>
      <c r="G105" s="9">
        <v>0.15069444444444444</v>
      </c>
      <c r="H105" s="9">
        <v>0.15625</v>
      </c>
      <c r="I105" s="10">
        <f t="shared" si="14"/>
        <v>5.5555555555555636E-3</v>
      </c>
      <c r="J105" s="11">
        <v>4</v>
      </c>
      <c r="K105" s="11">
        <v>78.709999999999994</v>
      </c>
      <c r="L105" s="16">
        <f t="shared" si="11"/>
        <v>147.58124999999978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2</v>
      </c>
      <c r="X105" s="11">
        <v>8</v>
      </c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1366</v>
      </c>
      <c r="F106" s="8" t="s">
        <v>42</v>
      </c>
      <c r="G106" s="9">
        <v>0.15277777777777779</v>
      </c>
      <c r="H106" s="9">
        <v>0.15833333333333333</v>
      </c>
      <c r="I106" s="10">
        <f t="shared" si="14"/>
        <v>5.5555555555555358E-3</v>
      </c>
      <c r="J106" s="11">
        <v>4</v>
      </c>
      <c r="K106" s="11">
        <v>66.5</v>
      </c>
      <c r="L106" s="16">
        <f t="shared" si="11"/>
        <v>124.68750000000044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2</v>
      </c>
      <c r="W106" s="12"/>
      <c r="X106" s="11"/>
      <c r="Y106" s="11"/>
      <c r="Z106" s="11">
        <v>8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1367</v>
      </c>
      <c r="F107" s="8" t="s">
        <v>42</v>
      </c>
      <c r="G107" s="9">
        <v>0.15972222222222221</v>
      </c>
      <c r="H107" s="9">
        <v>0.16527777777777777</v>
      </c>
      <c r="I107" s="10">
        <f t="shared" si="14"/>
        <v>5.5555555555555636E-3</v>
      </c>
      <c r="J107" s="11">
        <v>4</v>
      </c>
      <c r="K107" s="11">
        <v>72.91</v>
      </c>
      <c r="L107" s="16">
        <f t="shared" si="11"/>
        <v>136.70624999999981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>
        <v>2</v>
      </c>
      <c r="X107" s="11"/>
      <c r="Y107" s="11">
        <v>8</v>
      </c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1368</v>
      </c>
      <c r="F108" s="8" t="s">
        <v>42</v>
      </c>
      <c r="G108" s="9">
        <v>0.16319444444444445</v>
      </c>
      <c r="H108" s="9">
        <v>0.16875000000000001</v>
      </c>
      <c r="I108" s="10">
        <f t="shared" si="14"/>
        <v>5.5555555555555636E-3</v>
      </c>
      <c r="J108" s="11">
        <v>4</v>
      </c>
      <c r="K108" s="11">
        <v>71.650000000000006</v>
      </c>
      <c r="L108" s="16">
        <f t="shared" si="11"/>
        <v>134.3437499999998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>
        <v>2</v>
      </c>
      <c r="W108" s="12"/>
      <c r="X108" s="11"/>
      <c r="Y108" s="11"/>
      <c r="Z108" s="11"/>
      <c r="AA108" s="11">
        <v>8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1516</v>
      </c>
      <c r="F109" s="8" t="s">
        <v>42</v>
      </c>
      <c r="G109" s="9">
        <v>0.16388888888888889</v>
      </c>
      <c r="H109" s="9">
        <v>0.16944444444444445</v>
      </c>
      <c r="I109" s="10">
        <f t="shared" si="14"/>
        <v>5.5555555555555636E-3</v>
      </c>
      <c r="J109" s="11">
        <v>4</v>
      </c>
      <c r="K109" s="11">
        <v>79.83</v>
      </c>
      <c r="L109" s="16">
        <f t="shared" si="11"/>
        <v>149.68124999999978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>
        <v>2</v>
      </c>
      <c r="X109" s="11">
        <v>8</v>
      </c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1517</v>
      </c>
      <c r="F110" s="8" t="s">
        <v>42</v>
      </c>
      <c r="G110" s="9">
        <v>0.16666666666666666</v>
      </c>
      <c r="H110" s="9">
        <v>0.17222222222222222</v>
      </c>
      <c r="I110" s="10">
        <f t="shared" si="14"/>
        <v>5.5555555555555636E-3</v>
      </c>
      <c r="J110" s="11">
        <v>4</v>
      </c>
      <c r="K110" s="11">
        <v>61.85</v>
      </c>
      <c r="L110" s="16">
        <f t="shared" si="11"/>
        <v>115.96874999999983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>
        <v>2</v>
      </c>
      <c r="W110" s="12"/>
      <c r="X110" s="11"/>
      <c r="Y110" s="11"/>
      <c r="Z110" s="11">
        <v>8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/>
      <c r="F111" s="8" t="s">
        <v>42</v>
      </c>
      <c r="G111" s="9"/>
      <c r="H111" s="9"/>
      <c r="I111" s="10"/>
      <c r="J111" s="11"/>
      <c r="K111" s="11"/>
      <c r="L111" s="16" t="str">
        <f t="shared" ref="L111:L118" si="15">IFERROR(((K111/(J111*I111)/24)),"0")</f>
        <v>0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 t="s">
        <v>1438</v>
      </c>
      <c r="E112" s="19" t="s">
        <v>1518</v>
      </c>
      <c r="F112" s="8" t="s">
        <v>42</v>
      </c>
      <c r="G112" s="9">
        <v>0.85416666666666663</v>
      </c>
      <c r="H112" s="9">
        <v>0.86736111111111114</v>
      </c>
      <c r="I112" s="10">
        <f t="shared" ref="I112:I118" si="16">H112-G112</f>
        <v>1.3194444444444509E-2</v>
      </c>
      <c r="J112" s="11">
        <v>4</v>
      </c>
      <c r="K112" s="11">
        <v>110.06</v>
      </c>
      <c r="L112" s="16">
        <f t="shared" si="15"/>
        <v>86.889473684210103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>
        <v>2</v>
      </c>
      <c r="W112" s="12"/>
      <c r="X112" s="11">
        <f>19/2</f>
        <v>9.5</v>
      </c>
      <c r="Y112" s="11"/>
      <c r="Z112" s="11">
        <v>9.5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1:38" ht="25.05" customHeight="1">
      <c r="B113" s="13"/>
      <c r="C113" s="29"/>
      <c r="D113" s="30"/>
      <c r="E113" s="19" t="s">
        <v>1519</v>
      </c>
      <c r="F113" s="8" t="s">
        <v>42</v>
      </c>
      <c r="G113" s="9">
        <v>0.86111111111111116</v>
      </c>
      <c r="H113" s="9">
        <v>0.87083333333333335</v>
      </c>
      <c r="I113" s="10">
        <f t="shared" si="16"/>
        <v>9.7222222222221877E-3</v>
      </c>
      <c r="J113" s="11">
        <v>4</v>
      </c>
      <c r="K113" s="11">
        <v>107.91</v>
      </c>
      <c r="L113" s="16">
        <f t="shared" si="15"/>
        <v>115.61785714285755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>
        <v>2</v>
      </c>
      <c r="X113" s="11"/>
      <c r="Y113" s="11">
        <v>7</v>
      </c>
      <c r="Z113" s="11"/>
      <c r="AA113" s="11">
        <v>7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1:38" ht="25.05" customHeight="1">
      <c r="B114" s="13"/>
      <c r="C114" s="29"/>
      <c r="D114" s="30"/>
      <c r="E114" s="19" t="s">
        <v>1520</v>
      </c>
      <c r="F114" s="8" t="s">
        <v>42</v>
      </c>
      <c r="G114" s="9">
        <v>0.89166666666666672</v>
      </c>
      <c r="H114" s="9">
        <v>0.90347222222222223</v>
      </c>
      <c r="I114" s="10">
        <f t="shared" si="16"/>
        <v>1.1805555555555514E-2</v>
      </c>
      <c r="J114" s="11">
        <v>4</v>
      </c>
      <c r="K114" s="11">
        <v>109.26</v>
      </c>
      <c r="L114" s="16">
        <f t="shared" si="15"/>
        <v>96.405882352941532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>
        <v>2</v>
      </c>
      <c r="W114" s="12"/>
      <c r="X114" s="11">
        <f>17/2</f>
        <v>8.5</v>
      </c>
      <c r="Y114" s="11"/>
      <c r="Z114" s="11">
        <v>8.5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1:38" ht="25.05" customHeight="1">
      <c r="B115" s="13"/>
      <c r="C115" s="29"/>
      <c r="D115" s="30"/>
      <c r="E115" s="19" t="s">
        <v>1521</v>
      </c>
      <c r="F115" s="8" t="s">
        <v>42</v>
      </c>
      <c r="G115" s="9">
        <v>0.89513888888888893</v>
      </c>
      <c r="H115" s="9">
        <v>0.90625</v>
      </c>
      <c r="I115" s="10">
        <f t="shared" si="16"/>
        <v>1.1111111111111072E-2</v>
      </c>
      <c r="J115" s="11">
        <v>4</v>
      </c>
      <c r="K115" s="11">
        <v>53.96</v>
      </c>
      <c r="L115" s="16">
        <f t="shared" si="15"/>
        <v>50.587500000000176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>
        <v>2</v>
      </c>
      <c r="X115" s="11"/>
      <c r="Y115" s="11">
        <f>16/2</f>
        <v>8</v>
      </c>
      <c r="Z115" s="11"/>
      <c r="AA115" s="11">
        <v>8</v>
      </c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1:38" ht="25.05" customHeight="1">
      <c r="B116" s="13"/>
      <c r="C116" s="29"/>
      <c r="D116" s="30"/>
      <c r="E116" s="19" t="s">
        <v>1522</v>
      </c>
      <c r="F116" s="8" t="s">
        <v>42</v>
      </c>
      <c r="G116" s="9">
        <v>0.8520833333333333</v>
      </c>
      <c r="H116" s="9">
        <v>0.85902777777777772</v>
      </c>
      <c r="I116" s="10">
        <f t="shared" si="16"/>
        <v>6.9444444444444198E-3</v>
      </c>
      <c r="J116" s="11">
        <v>3</v>
      </c>
      <c r="K116" s="11">
        <v>7.7</v>
      </c>
      <c r="L116" s="16">
        <f t="shared" si="15"/>
        <v>15.400000000000055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>
        <v>2</v>
      </c>
      <c r="W116" s="12"/>
      <c r="X116" s="11"/>
      <c r="Y116" s="11"/>
      <c r="Z116" s="11"/>
      <c r="AA116" s="11"/>
      <c r="AB116" s="11"/>
      <c r="AC116" s="11">
        <v>10</v>
      </c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1:38" ht="25.05" customHeight="1">
      <c r="B117" s="13"/>
      <c r="C117" s="29"/>
      <c r="D117" s="30"/>
      <c r="E117" s="19" t="s">
        <v>1523</v>
      </c>
      <c r="F117" s="8" t="s">
        <v>42</v>
      </c>
      <c r="G117" s="9">
        <v>0.94791666666666663</v>
      </c>
      <c r="H117" s="9">
        <v>0.97083333333333333</v>
      </c>
      <c r="I117" s="10">
        <f t="shared" si="16"/>
        <v>2.2916666666666696E-2</v>
      </c>
      <c r="J117" s="11">
        <v>3</v>
      </c>
      <c r="K117" s="11">
        <v>115.12</v>
      </c>
      <c r="L117" s="16">
        <f t="shared" si="15"/>
        <v>69.769696969696881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>
        <v>2</v>
      </c>
      <c r="X117" s="11"/>
      <c r="Y117" s="11"/>
      <c r="Z117" s="11"/>
      <c r="AA117" s="11"/>
      <c r="AB117" s="11"/>
      <c r="AC117" s="11">
        <v>33</v>
      </c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1:38" ht="25.05" customHeight="1">
      <c r="B118" s="13"/>
      <c r="C118" s="29"/>
      <c r="D118" s="30"/>
      <c r="E118" s="19"/>
      <c r="F118" s="8" t="s">
        <v>42</v>
      </c>
      <c r="G118" s="9"/>
      <c r="H118" s="9"/>
      <c r="I118" s="10">
        <f t="shared" si="16"/>
        <v>0</v>
      </c>
      <c r="J118" s="11"/>
      <c r="K118" s="11"/>
      <c r="L118" s="16" t="str">
        <f t="shared" si="15"/>
        <v>0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1:38" s="28" customFormat="1" ht="25.5" customHeight="1">
      <c r="A119" s="2"/>
      <c r="B119" s="32"/>
      <c r="C119" s="33"/>
      <c r="D119" s="34"/>
      <c r="E119" s="35"/>
      <c r="F119" s="35"/>
      <c r="G119" s="36"/>
      <c r="H119" s="36"/>
      <c r="I119" s="37"/>
      <c r="J119" s="38"/>
      <c r="K119" s="38">
        <f t="shared" ref="K119:AL119" si="17">SUM(K30:K118)</f>
        <v>5043.8099999999995</v>
      </c>
      <c r="L119" s="39">
        <f t="shared" si="17"/>
        <v>6123.259512297439</v>
      </c>
      <c r="M119" s="38">
        <f t="shared" si="17"/>
        <v>0</v>
      </c>
      <c r="N119" s="38">
        <f t="shared" si="17"/>
        <v>0</v>
      </c>
      <c r="O119" s="38">
        <f t="shared" si="17"/>
        <v>0</v>
      </c>
      <c r="P119" s="38">
        <f t="shared" si="17"/>
        <v>0</v>
      </c>
      <c r="Q119" s="38">
        <f t="shared" si="17"/>
        <v>0</v>
      </c>
      <c r="R119" s="38">
        <f t="shared" si="17"/>
        <v>0</v>
      </c>
      <c r="S119" s="38">
        <f t="shared" si="17"/>
        <v>0</v>
      </c>
      <c r="T119" s="38">
        <f t="shared" si="17"/>
        <v>0</v>
      </c>
      <c r="U119" s="38">
        <f t="shared" si="17"/>
        <v>0</v>
      </c>
      <c r="V119" s="38">
        <f t="shared" si="17"/>
        <v>64</v>
      </c>
      <c r="W119" s="38">
        <f t="shared" si="17"/>
        <v>62</v>
      </c>
      <c r="X119" s="38">
        <f t="shared" si="17"/>
        <v>150</v>
      </c>
      <c r="Y119" s="38">
        <f t="shared" si="17"/>
        <v>47</v>
      </c>
      <c r="Z119" s="38">
        <f t="shared" si="17"/>
        <v>170</v>
      </c>
      <c r="AA119" s="38">
        <f t="shared" si="17"/>
        <v>55</v>
      </c>
      <c r="AB119" s="38">
        <f t="shared" si="17"/>
        <v>190</v>
      </c>
      <c r="AC119" s="38">
        <f t="shared" si="17"/>
        <v>181</v>
      </c>
      <c r="AD119" s="38">
        <f t="shared" si="17"/>
        <v>245</v>
      </c>
      <c r="AE119" s="38">
        <f t="shared" si="17"/>
        <v>0</v>
      </c>
      <c r="AF119" s="38">
        <f t="shared" si="17"/>
        <v>0</v>
      </c>
      <c r="AG119" s="38">
        <f t="shared" si="17"/>
        <v>43.75</v>
      </c>
      <c r="AH119" s="38">
        <f t="shared" si="17"/>
        <v>43.75</v>
      </c>
      <c r="AI119" s="38">
        <f t="shared" si="17"/>
        <v>43.75</v>
      </c>
      <c r="AJ119" s="38">
        <f t="shared" si="17"/>
        <v>43.75</v>
      </c>
      <c r="AK119" s="38">
        <f t="shared" si="17"/>
        <v>0</v>
      </c>
      <c r="AL119" s="38">
        <f t="shared" si="17"/>
        <v>0</v>
      </c>
    </row>
    <row r="120" spans="1:38" ht="38.1" customHeight="1" thickBot="1">
      <c r="B120" s="40" t="s">
        <v>45</v>
      </c>
      <c r="C120" s="41"/>
      <c r="D120" s="41"/>
      <c r="E120" s="41"/>
      <c r="F120" s="41"/>
      <c r="G120" s="41"/>
      <c r="H120" s="41"/>
      <c r="I120" s="41"/>
      <c r="J120" s="41"/>
      <c r="K120" s="42">
        <f>K26+K29+K119</f>
        <v>7428.16</v>
      </c>
      <c r="L120" s="42">
        <f>L26+L29+L119</f>
        <v>7551.8545958845471</v>
      </c>
      <c r="M120" s="43">
        <f t="shared" ref="M120:AL120" si="18">(M26+M29+M119)/(480-15-30)</f>
        <v>0.335632183908046</v>
      </c>
      <c r="N120" s="43">
        <f t="shared" si="18"/>
        <v>0</v>
      </c>
      <c r="O120" s="43">
        <f t="shared" si="18"/>
        <v>0.61149425287356318</v>
      </c>
      <c r="P120" s="43">
        <f t="shared" si="18"/>
        <v>0</v>
      </c>
      <c r="Q120" s="43">
        <f t="shared" si="18"/>
        <v>0</v>
      </c>
      <c r="R120" s="43">
        <f t="shared" si="18"/>
        <v>0</v>
      </c>
      <c r="S120" s="43">
        <f t="shared" si="18"/>
        <v>0.4206896551724138</v>
      </c>
      <c r="T120" s="43">
        <f t="shared" si="18"/>
        <v>0</v>
      </c>
      <c r="U120" s="43">
        <f t="shared" si="18"/>
        <v>0</v>
      </c>
      <c r="V120" s="43">
        <f t="shared" si="18"/>
        <v>0.14712643678160919</v>
      </c>
      <c r="W120" s="43">
        <f t="shared" si="18"/>
        <v>0.14252873563218391</v>
      </c>
      <c r="X120" s="43">
        <f t="shared" si="18"/>
        <v>0.34482758620689657</v>
      </c>
      <c r="Y120" s="43">
        <f t="shared" si="18"/>
        <v>0.10804597701149425</v>
      </c>
      <c r="Z120" s="43">
        <f t="shared" si="18"/>
        <v>0.39080459770114945</v>
      </c>
      <c r="AA120" s="43">
        <f t="shared" si="18"/>
        <v>0.12643678160919541</v>
      </c>
      <c r="AB120" s="43">
        <f t="shared" si="18"/>
        <v>0.43678160919540232</v>
      </c>
      <c r="AC120" s="43">
        <f t="shared" si="18"/>
        <v>0.41609195402298849</v>
      </c>
      <c r="AD120" s="43">
        <f t="shared" si="18"/>
        <v>0.56321839080459768</v>
      </c>
      <c r="AE120" s="43">
        <f t="shared" si="18"/>
        <v>0</v>
      </c>
      <c r="AF120" s="43">
        <f t="shared" si="18"/>
        <v>0</v>
      </c>
      <c r="AG120" s="43">
        <f t="shared" si="18"/>
        <v>0.10057471264367816</v>
      </c>
      <c r="AH120" s="43">
        <f t="shared" si="18"/>
        <v>0.10057471264367816</v>
      </c>
      <c r="AI120" s="43">
        <f t="shared" si="18"/>
        <v>0.10057471264367816</v>
      </c>
      <c r="AJ120" s="43">
        <f t="shared" si="18"/>
        <v>0.10057471264367816</v>
      </c>
      <c r="AK120" s="43">
        <f t="shared" si="18"/>
        <v>0</v>
      </c>
      <c r="AL120" s="43">
        <f t="shared" si="18"/>
        <v>0</v>
      </c>
    </row>
    <row r="121" spans="1:38" ht="25.05" customHeight="1">
      <c r="B121" s="44"/>
      <c r="C121" s="44"/>
      <c r="D121" s="44"/>
      <c r="E121" s="45"/>
      <c r="F121" s="45"/>
      <c r="G121" s="45"/>
      <c r="H121" s="45"/>
      <c r="I121" s="46"/>
      <c r="J121" s="46"/>
      <c r="K121" s="45"/>
      <c r="L121" s="47"/>
      <c r="M121" s="47"/>
      <c r="N121" s="47"/>
      <c r="O121" s="47"/>
      <c r="P121" s="47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  <c r="AI121" s="45"/>
      <c r="AJ121" s="45"/>
    </row>
    <row r="122" spans="1:38" ht="25.05" customHeight="1">
      <c r="B122" s="44"/>
      <c r="C122" s="44"/>
      <c r="D122" s="44"/>
      <c r="E122" s="45"/>
      <c r="F122" s="45"/>
      <c r="G122" s="45"/>
      <c r="H122" s="45"/>
      <c r="I122" s="48" t="s">
        <v>46</v>
      </c>
      <c r="J122" s="46"/>
      <c r="K122" s="45"/>
      <c r="L122" s="47"/>
      <c r="M122" s="47"/>
      <c r="N122" s="47"/>
      <c r="O122" s="47"/>
      <c r="P122" s="47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  <c r="AI122" s="45"/>
      <c r="AJ122" s="45"/>
    </row>
    <row r="123" spans="1:38" ht="25.05" customHeight="1">
      <c r="B123" s="44"/>
      <c r="C123" s="44"/>
      <c r="D123" s="44"/>
      <c r="E123" s="45"/>
      <c r="F123" s="45"/>
      <c r="G123" s="45"/>
      <c r="H123" s="45"/>
      <c r="I123" s="49" t="s">
        <v>47</v>
      </c>
      <c r="J123" s="9">
        <v>0</v>
      </c>
      <c r="K123" s="11">
        <v>8</v>
      </c>
      <c r="L123" s="11" t="s">
        <v>48</v>
      </c>
      <c r="M123" s="47"/>
      <c r="N123" s="14">
        <v>3</v>
      </c>
      <c r="O123" s="14"/>
      <c r="P123" s="14"/>
      <c r="Q123" s="50" t="s">
        <v>49</v>
      </c>
      <c r="R123" s="51"/>
      <c r="S123" s="45"/>
      <c r="T123" s="45"/>
      <c r="U123" s="45"/>
      <c r="V123" s="45"/>
      <c r="W123" s="45"/>
      <c r="X123" s="45"/>
      <c r="Y123" s="45"/>
      <c r="Z123" s="45"/>
      <c r="AA123" s="45"/>
      <c r="AC123" s="45"/>
      <c r="AD123" s="45"/>
      <c r="AE123" s="45"/>
      <c r="AF123" s="45"/>
      <c r="AG123" s="45"/>
      <c r="AH123" s="45"/>
    </row>
    <row r="124" spans="1:38" ht="25.05" customHeight="1">
      <c r="B124" s="44"/>
      <c r="C124" s="44"/>
      <c r="D124" s="44"/>
      <c r="E124" s="45"/>
      <c r="F124" s="45"/>
      <c r="G124" s="45"/>
      <c r="H124" s="45"/>
      <c r="I124" s="49" t="s">
        <v>50</v>
      </c>
      <c r="J124" s="9">
        <v>0</v>
      </c>
      <c r="K124" s="11">
        <v>0</v>
      </c>
      <c r="L124" s="11" t="s">
        <v>48</v>
      </c>
      <c r="M124" s="47"/>
      <c r="N124" s="14">
        <v>0</v>
      </c>
      <c r="O124" s="14"/>
      <c r="P124" s="14"/>
      <c r="Q124" s="50" t="s">
        <v>51</v>
      </c>
      <c r="R124" s="51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</row>
    <row r="125" spans="1:38" ht="25.05" customHeight="1">
      <c r="B125" s="44"/>
      <c r="C125" s="44"/>
      <c r="D125" s="44"/>
      <c r="E125" s="45"/>
      <c r="F125" s="45"/>
      <c r="G125" s="45"/>
      <c r="H125" s="45"/>
      <c r="I125" s="49" t="s">
        <v>52</v>
      </c>
      <c r="J125" s="9">
        <v>0</v>
      </c>
      <c r="K125" s="11">
        <v>16</v>
      </c>
      <c r="L125" s="11" t="s">
        <v>48</v>
      </c>
      <c r="M125" s="47"/>
      <c r="N125" s="14">
        <v>1</v>
      </c>
      <c r="O125" s="14"/>
      <c r="P125" s="14"/>
      <c r="Q125" s="50" t="s">
        <v>53</v>
      </c>
      <c r="R125" s="51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  <c r="AE125" s="45"/>
      <c r="AF125" s="45"/>
      <c r="AG125" s="45"/>
      <c r="AH125" s="45"/>
    </row>
    <row r="126" spans="1:38" ht="25.05" customHeight="1">
      <c r="B126" s="44"/>
      <c r="C126" s="44"/>
      <c r="D126" s="44"/>
      <c r="E126" s="45"/>
      <c r="F126" s="45"/>
      <c r="G126" s="45"/>
      <c r="H126" s="45"/>
      <c r="I126" s="52" t="s">
        <v>54</v>
      </c>
      <c r="J126" s="53">
        <v>0</v>
      </c>
      <c r="K126" s="11">
        <v>2</v>
      </c>
      <c r="L126" s="54" t="s">
        <v>48</v>
      </c>
      <c r="M126" s="47"/>
      <c r="N126" s="14">
        <v>2</v>
      </c>
      <c r="O126" s="14"/>
      <c r="P126" s="14"/>
      <c r="Q126" s="50" t="s">
        <v>55</v>
      </c>
      <c r="R126" s="51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</row>
    <row r="127" spans="1:38" ht="25.05" customHeight="1">
      <c r="B127" s="44"/>
      <c r="C127" s="44"/>
      <c r="D127" s="44"/>
      <c r="E127" s="45"/>
      <c r="F127" s="45"/>
      <c r="G127" s="45"/>
      <c r="H127" s="45"/>
      <c r="I127" s="49" t="s">
        <v>56</v>
      </c>
      <c r="J127" s="9">
        <v>0</v>
      </c>
      <c r="K127" s="11">
        <f>SUM(K123:K126)</f>
        <v>26</v>
      </c>
      <c r="L127" s="11" t="s">
        <v>48</v>
      </c>
      <c r="M127" s="47"/>
      <c r="N127"/>
      <c r="O127"/>
      <c r="P127"/>
      <c r="Q127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</row>
    <row r="128" spans="1:38" ht="25.05" customHeight="1">
      <c r="B128" s="44"/>
      <c r="C128" s="44"/>
      <c r="D128" s="44"/>
      <c r="E128" s="45"/>
      <c r="F128" s="45"/>
      <c r="G128" s="45"/>
      <c r="H128" s="45"/>
      <c r="M128" s="47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</row>
    <row r="129" ht="25.05" customHeight="1"/>
  </sheetData>
  <mergeCells count="12">
    <mergeCell ref="G2:H2"/>
    <mergeCell ref="B2:B3"/>
    <mergeCell ref="C2:C3"/>
    <mergeCell ref="D2:D3"/>
    <mergeCell ref="E2:E3"/>
    <mergeCell ref="F2:F3"/>
    <mergeCell ref="AM5:AO6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5F8D-8764-40D0-B2D8-976C8F5BE126}">
  <sheetPr>
    <pageSetUpPr fitToPage="1"/>
  </sheetPr>
  <dimension ref="A1:AL153"/>
  <sheetViews>
    <sheetView zoomScale="70" zoomScaleNormal="7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80.44140625" style="2" customWidth="1"/>
    <col min="5" max="5" width="56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1524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4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1525</v>
      </c>
      <c r="E5" s="15" t="s">
        <v>1526</v>
      </c>
      <c r="F5" s="8" t="s">
        <v>42</v>
      </c>
      <c r="G5" s="9">
        <v>0.29166666666666669</v>
      </c>
      <c r="H5" s="9">
        <v>0.40277777777777779</v>
      </c>
      <c r="I5" s="10">
        <f t="shared" si="0"/>
        <v>0.1111111111111111</v>
      </c>
      <c r="J5" s="11">
        <v>4</v>
      </c>
      <c r="K5" s="11">
        <v>564</v>
      </c>
      <c r="L5" s="16">
        <f t="shared" ref="L5:L24" si="1">IFERROR(((K5/(J5*I5)/24)),"0")</f>
        <v>52.875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1527</v>
      </c>
      <c r="F6" s="55" t="s">
        <v>1437</v>
      </c>
      <c r="G6" s="9">
        <v>0.29166666666666669</v>
      </c>
      <c r="H6" s="9">
        <v>0.41666666666666669</v>
      </c>
      <c r="I6" s="10">
        <f t="shared" si="0"/>
        <v>0.125</v>
      </c>
      <c r="J6" s="11">
        <v>3</v>
      </c>
      <c r="K6" s="11">
        <v>300</v>
      </c>
      <c r="L6" s="16">
        <f t="shared" si="1"/>
        <v>33.333333333333336</v>
      </c>
      <c r="M6" s="11"/>
      <c r="N6" s="11"/>
      <c r="O6" s="11"/>
      <c r="P6" s="11"/>
      <c r="Q6" s="11"/>
      <c r="R6" s="12"/>
      <c r="S6" s="12">
        <v>180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114"/>
      <c r="E7" s="15" t="s">
        <v>630</v>
      </c>
      <c r="F7" s="130" t="s">
        <v>42</v>
      </c>
      <c r="G7" s="9">
        <v>0.29166666666666669</v>
      </c>
      <c r="H7" s="9">
        <v>0.31944444444444442</v>
      </c>
      <c r="I7" s="10">
        <f t="shared" si="0"/>
        <v>2.7777777777777735E-2</v>
      </c>
      <c r="J7" s="11">
        <v>2</v>
      </c>
      <c r="K7" s="11">
        <v>290</v>
      </c>
      <c r="L7" s="16">
        <f t="shared" si="1"/>
        <v>217.50000000000034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0"/>
      <c r="E8" s="15" t="s">
        <v>1528</v>
      </c>
      <c r="F8" s="130" t="s">
        <v>42</v>
      </c>
      <c r="G8" s="9">
        <v>0.29166666666666669</v>
      </c>
      <c r="H8" s="9">
        <v>0.34722222222222221</v>
      </c>
      <c r="I8" s="10">
        <f t="shared" si="0"/>
        <v>5.5555555555555525E-2</v>
      </c>
      <c r="J8" s="11">
        <v>1</v>
      </c>
      <c r="K8" s="11">
        <v>132</v>
      </c>
      <c r="L8" s="16">
        <f t="shared" si="1"/>
        <v>99.000000000000057</v>
      </c>
      <c r="M8" s="11"/>
      <c r="N8" s="11"/>
      <c r="O8" s="11"/>
      <c r="P8" s="11"/>
      <c r="Q8" s="11"/>
      <c r="R8" s="12"/>
      <c r="S8" s="12">
        <v>80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1529</v>
      </c>
      <c r="F9" s="130" t="s">
        <v>42</v>
      </c>
      <c r="G9" s="9">
        <v>0.29166666666666669</v>
      </c>
      <c r="H9" s="9">
        <v>0.34027777777777779</v>
      </c>
      <c r="I9" s="10">
        <f t="shared" si="0"/>
        <v>4.8611111111111105E-2</v>
      </c>
      <c r="J9" s="11">
        <v>1</v>
      </c>
      <c r="K9" s="11">
        <v>108</v>
      </c>
      <c r="L9" s="16">
        <f t="shared" si="1"/>
        <v>92.571428571428569</v>
      </c>
      <c r="M9" s="11"/>
      <c r="N9" s="11"/>
      <c r="O9" s="11"/>
      <c r="P9" s="11"/>
      <c r="Q9" s="11"/>
      <c r="R9" s="12"/>
      <c r="S9" s="12">
        <v>70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1530</v>
      </c>
      <c r="F10" s="59" t="s">
        <v>99</v>
      </c>
      <c r="G10" s="9">
        <v>0.2986111111111111</v>
      </c>
      <c r="H10" s="9">
        <v>0.46527777777777779</v>
      </c>
      <c r="I10" s="10">
        <f t="shared" si="0"/>
        <v>0.16666666666666669</v>
      </c>
      <c r="J10" s="11">
        <v>1</v>
      </c>
      <c r="K10" s="11">
        <v>132</v>
      </c>
      <c r="L10" s="16">
        <f t="shared" si="1"/>
        <v>32.999999999999993</v>
      </c>
      <c r="M10" s="11"/>
      <c r="N10" s="11"/>
      <c r="O10" s="11"/>
      <c r="P10" s="11"/>
      <c r="Q10" s="11"/>
      <c r="R10" s="12">
        <v>240</v>
      </c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114"/>
      <c r="E11" s="15" t="s">
        <v>1531</v>
      </c>
      <c r="F11" s="59" t="s">
        <v>99</v>
      </c>
      <c r="G11" s="9">
        <v>0.2986111111111111</v>
      </c>
      <c r="H11" s="9">
        <v>0.46527777777777779</v>
      </c>
      <c r="I11" s="10">
        <f t="shared" si="0"/>
        <v>0.16666666666666669</v>
      </c>
      <c r="J11" s="11">
        <v>1</v>
      </c>
      <c r="K11" s="11">
        <v>108</v>
      </c>
      <c r="L11" s="16">
        <f t="shared" si="1"/>
        <v>26.999999999999996</v>
      </c>
      <c r="M11" s="11"/>
      <c r="N11" s="11"/>
      <c r="O11" s="11"/>
      <c r="P11" s="11"/>
      <c r="Q11" s="11"/>
      <c r="R11" s="12">
        <v>240</v>
      </c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 t="s">
        <v>1432</v>
      </c>
      <c r="E12" s="15" t="s">
        <v>1532</v>
      </c>
      <c r="F12" s="20" t="s">
        <v>42</v>
      </c>
      <c r="G12" s="9">
        <v>0.40972222222222221</v>
      </c>
      <c r="H12" s="9">
        <v>0.44444444444444442</v>
      </c>
      <c r="I12" s="10">
        <f t="shared" si="0"/>
        <v>3.472222222222221E-2</v>
      </c>
      <c r="J12" s="11">
        <v>5</v>
      </c>
      <c r="K12" s="11">
        <v>108</v>
      </c>
      <c r="L12" s="16">
        <f t="shared" si="1"/>
        <v>25.920000000000012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1436</v>
      </c>
      <c r="F13" s="55" t="s">
        <v>1437</v>
      </c>
      <c r="G13" s="9">
        <v>0.43055555555555558</v>
      </c>
      <c r="H13" s="9">
        <v>0.45833333333333331</v>
      </c>
      <c r="I13" s="10">
        <f t="shared" si="0"/>
        <v>2.7777777777777735E-2</v>
      </c>
      <c r="J13" s="11">
        <v>4</v>
      </c>
      <c r="K13" s="11">
        <v>57.6</v>
      </c>
      <c r="L13" s="16">
        <f t="shared" si="1"/>
        <v>21.600000000000033</v>
      </c>
      <c r="M13" s="11"/>
      <c r="N13" s="11"/>
      <c r="O13" s="11"/>
      <c r="P13" s="11"/>
      <c r="Q13" s="11"/>
      <c r="R13" s="12"/>
      <c r="S13" s="12">
        <v>40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1433</v>
      </c>
      <c r="F14" s="55" t="s">
        <v>1434</v>
      </c>
      <c r="G14" s="9">
        <v>0.41666666666666669</v>
      </c>
      <c r="H14" s="9">
        <v>0.4236111111111111</v>
      </c>
      <c r="I14" s="10">
        <f t="shared" si="0"/>
        <v>6.9444444444444198E-3</v>
      </c>
      <c r="J14" s="11">
        <v>1</v>
      </c>
      <c r="K14" s="11">
        <v>3.58</v>
      </c>
      <c r="L14" s="16">
        <f t="shared" si="1"/>
        <v>21.480000000000075</v>
      </c>
      <c r="M14" s="11">
        <v>10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30"/>
      <c r="E15" s="15" t="s">
        <v>1435</v>
      </c>
      <c r="F15" s="55" t="s">
        <v>1116</v>
      </c>
      <c r="G15" s="9">
        <v>0.4236111111111111</v>
      </c>
      <c r="H15" s="9">
        <v>0.4375</v>
      </c>
      <c r="I15" s="10">
        <f t="shared" si="0"/>
        <v>1.3888888888888895E-2</v>
      </c>
      <c r="J15" s="11">
        <v>1</v>
      </c>
      <c r="K15" s="11">
        <v>24</v>
      </c>
      <c r="L15" s="16">
        <f t="shared" si="1"/>
        <v>71.999999999999972</v>
      </c>
      <c r="M15" s="11">
        <v>20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30"/>
      <c r="E16" s="15" t="s">
        <v>1533</v>
      </c>
      <c r="F16" s="57">
        <v>0.75</v>
      </c>
      <c r="G16" s="9">
        <v>0.44097222222222221</v>
      </c>
      <c r="H16" s="9">
        <v>0.45833333333333331</v>
      </c>
      <c r="I16" s="10">
        <f t="shared" si="0"/>
        <v>1.7361111111111105E-2</v>
      </c>
      <c r="J16" s="11">
        <v>1</v>
      </c>
      <c r="K16" s="11">
        <v>82</v>
      </c>
      <c r="L16" s="16">
        <f t="shared" si="1"/>
        <v>196.80000000000007</v>
      </c>
      <c r="M16" s="11">
        <v>25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30"/>
      <c r="E17" s="15" t="s">
        <v>1534</v>
      </c>
      <c r="F17" s="20" t="s">
        <v>42</v>
      </c>
      <c r="G17" s="9">
        <v>0.41666666666666669</v>
      </c>
      <c r="H17" s="9">
        <v>0.4375</v>
      </c>
      <c r="I17" s="10">
        <f t="shared" si="0"/>
        <v>2.0833333333333315E-2</v>
      </c>
      <c r="J17" s="11">
        <v>1</v>
      </c>
      <c r="K17" s="11">
        <f>4.03*22</f>
        <v>88.660000000000011</v>
      </c>
      <c r="L17" s="16">
        <f t="shared" si="1"/>
        <v>177.32000000000016</v>
      </c>
      <c r="M17" s="11"/>
      <c r="N17" s="11"/>
      <c r="O17" s="11"/>
      <c r="P17" s="11"/>
      <c r="Q17" s="11">
        <v>30</v>
      </c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30"/>
      <c r="E18" s="15" t="s">
        <v>96</v>
      </c>
      <c r="F18" s="20" t="s">
        <v>42</v>
      </c>
      <c r="G18" s="9">
        <v>0.45833333333333331</v>
      </c>
      <c r="H18" s="9">
        <v>0.47222222222222221</v>
      </c>
      <c r="I18" s="10">
        <f t="shared" si="0"/>
        <v>1.3888888888888895E-2</v>
      </c>
      <c r="J18" s="11">
        <v>13</v>
      </c>
      <c r="K18" s="11" t="s">
        <v>42</v>
      </c>
      <c r="L18" s="16" t="str">
        <f t="shared" si="1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104</v>
      </c>
      <c r="F19" s="20" t="s">
        <v>42</v>
      </c>
      <c r="G19" s="9">
        <v>0.47222222222222221</v>
      </c>
      <c r="H19" s="9">
        <v>0.51388888888888884</v>
      </c>
      <c r="I19" s="10">
        <f t="shared" si="0"/>
        <v>4.166666666666663E-2</v>
      </c>
      <c r="J19" s="11">
        <v>15</v>
      </c>
      <c r="K19" s="11" t="s">
        <v>42</v>
      </c>
      <c r="L19" s="16" t="str">
        <f t="shared" si="1"/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5" customHeight="1">
      <c r="B20" s="13"/>
      <c r="C20" s="14"/>
      <c r="D20" s="6" t="s">
        <v>1535</v>
      </c>
      <c r="E20" s="15" t="s">
        <v>1536</v>
      </c>
      <c r="F20" s="20" t="s">
        <v>42</v>
      </c>
      <c r="G20" s="9">
        <v>0.51388888888888884</v>
      </c>
      <c r="H20" s="9">
        <v>0.64583333333333337</v>
      </c>
      <c r="I20" s="10">
        <f t="shared" si="0"/>
        <v>0.13194444444444453</v>
      </c>
      <c r="J20" s="11">
        <v>11</v>
      </c>
      <c r="K20" s="11">
        <v>662</v>
      </c>
      <c r="L20" s="16">
        <f t="shared" si="1"/>
        <v>19.004784688995205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5" customHeight="1">
      <c r="B21" s="13"/>
      <c r="C21" s="14"/>
      <c r="D21" s="6" t="s">
        <v>1432</v>
      </c>
      <c r="E21" s="15" t="s">
        <v>101</v>
      </c>
      <c r="F21" s="20" t="s">
        <v>42</v>
      </c>
      <c r="G21" s="9">
        <v>0.54166666666666663</v>
      </c>
      <c r="H21" s="9">
        <v>0.58333333333333337</v>
      </c>
      <c r="I21" s="10">
        <f t="shared" si="0"/>
        <v>4.1666666666666741E-2</v>
      </c>
      <c r="J21" s="11">
        <v>2</v>
      </c>
      <c r="K21" s="11">
        <v>486</v>
      </c>
      <c r="L21" s="16">
        <f t="shared" si="1"/>
        <v>242.99999999999957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5" customHeight="1">
      <c r="B22" s="13"/>
      <c r="C22" s="14"/>
      <c r="D22" s="6"/>
      <c r="E22" s="15" t="s">
        <v>1011</v>
      </c>
      <c r="F22" s="20" t="s">
        <v>42</v>
      </c>
      <c r="G22" s="9">
        <v>0.60416666666666663</v>
      </c>
      <c r="H22" s="9">
        <v>0.63194444444444442</v>
      </c>
      <c r="I22" s="10">
        <f t="shared" si="0"/>
        <v>2.777777777777779E-2</v>
      </c>
      <c r="J22" s="11">
        <v>8</v>
      </c>
      <c r="K22" s="11">
        <v>224</v>
      </c>
      <c r="L22" s="16">
        <f t="shared" si="1"/>
        <v>41.999999999999979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5" customHeight="1">
      <c r="B23" s="13"/>
      <c r="C23" s="14"/>
      <c r="D23" s="6"/>
      <c r="E23" s="15" t="s">
        <v>96</v>
      </c>
      <c r="F23" s="20" t="s">
        <v>42</v>
      </c>
      <c r="G23" s="9">
        <v>0.64583333333333337</v>
      </c>
      <c r="H23" s="9">
        <v>0.66666666666666663</v>
      </c>
      <c r="I23" s="10">
        <f t="shared" si="0"/>
        <v>2.0833333333333259E-2</v>
      </c>
      <c r="J23" s="11">
        <v>13</v>
      </c>
      <c r="K23" s="11" t="s">
        <v>42</v>
      </c>
      <c r="L23" s="16" t="str">
        <f t="shared" si="1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/>
      <c r="F24" s="8"/>
      <c r="G24" s="9"/>
      <c r="H24" s="9"/>
      <c r="I24" s="10">
        <f t="shared" si="0"/>
        <v>0</v>
      </c>
      <c r="J24" s="11"/>
      <c r="K24" s="11"/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s="28" customFormat="1" ht="25.05" customHeight="1">
      <c r="A25" s="2"/>
      <c r="B25" s="21"/>
      <c r="C25" s="22"/>
      <c r="D25" s="23"/>
      <c r="E25" s="24"/>
      <c r="F25" s="24"/>
      <c r="G25" s="25"/>
      <c r="H25" s="25"/>
      <c r="I25" s="26"/>
      <c r="J25" s="27"/>
      <c r="K25" s="27">
        <f t="shared" ref="K25:AL25" si="2">SUM(K4:K23)</f>
        <v>3369.84</v>
      </c>
      <c r="L25" s="39">
        <f t="shared" si="2"/>
        <v>1374.4045465937575</v>
      </c>
      <c r="M25" s="27">
        <f t="shared" si="2"/>
        <v>55</v>
      </c>
      <c r="N25" s="27">
        <f t="shared" si="2"/>
        <v>0</v>
      </c>
      <c r="O25" s="27">
        <f t="shared" si="2"/>
        <v>0</v>
      </c>
      <c r="P25" s="27">
        <f t="shared" si="2"/>
        <v>0</v>
      </c>
      <c r="Q25" s="27">
        <f t="shared" si="2"/>
        <v>30</v>
      </c>
      <c r="R25" s="27">
        <f t="shared" si="2"/>
        <v>480</v>
      </c>
      <c r="S25" s="27">
        <f t="shared" si="2"/>
        <v>370</v>
      </c>
      <c r="T25" s="27">
        <f t="shared" si="2"/>
        <v>0</v>
      </c>
      <c r="U25" s="27">
        <f t="shared" si="2"/>
        <v>0</v>
      </c>
      <c r="V25" s="27">
        <f t="shared" si="2"/>
        <v>0</v>
      </c>
      <c r="W25" s="27">
        <f t="shared" si="2"/>
        <v>0</v>
      </c>
      <c r="X25" s="27">
        <f t="shared" si="2"/>
        <v>0</v>
      </c>
      <c r="Y25" s="27">
        <f t="shared" si="2"/>
        <v>0</v>
      </c>
      <c r="Z25" s="27">
        <f t="shared" si="2"/>
        <v>0</v>
      </c>
      <c r="AA25" s="27">
        <f t="shared" si="2"/>
        <v>0</v>
      </c>
      <c r="AB25" s="27">
        <f t="shared" si="2"/>
        <v>0</v>
      </c>
      <c r="AC25" s="27">
        <f t="shared" si="2"/>
        <v>0</v>
      </c>
      <c r="AD25" s="27">
        <f t="shared" si="2"/>
        <v>0</v>
      </c>
      <c r="AE25" s="27">
        <f t="shared" si="2"/>
        <v>0</v>
      </c>
      <c r="AF25" s="27">
        <f t="shared" si="2"/>
        <v>0</v>
      </c>
      <c r="AG25" s="27">
        <f t="shared" si="2"/>
        <v>0</v>
      </c>
      <c r="AH25" s="27">
        <f t="shared" si="2"/>
        <v>0</v>
      </c>
      <c r="AI25" s="27">
        <f t="shared" si="2"/>
        <v>0</v>
      </c>
      <c r="AJ25" s="27">
        <f t="shared" si="2"/>
        <v>0</v>
      </c>
      <c r="AK25" s="27">
        <f t="shared" si="2"/>
        <v>0</v>
      </c>
      <c r="AL25" s="27">
        <f t="shared" si="2"/>
        <v>0</v>
      </c>
    </row>
    <row r="26" spans="1:38" ht="25.05" customHeight="1">
      <c r="B26" s="5" t="s">
        <v>1524</v>
      </c>
      <c r="C26" s="14" t="s">
        <v>43</v>
      </c>
      <c r="D26" s="6"/>
      <c r="E26" s="7" t="s">
        <v>41</v>
      </c>
      <c r="F26" s="8" t="s">
        <v>42</v>
      </c>
      <c r="G26" s="9">
        <v>0.29166666666666669</v>
      </c>
      <c r="H26" s="9">
        <v>0.33333333333333331</v>
      </c>
      <c r="I26" s="10">
        <f t="shared" ref="I26:I32" si="3">H26-G26</f>
        <v>4.166666666666663E-2</v>
      </c>
      <c r="J26" s="11">
        <v>3</v>
      </c>
      <c r="K26" s="62" t="s">
        <v>42</v>
      </c>
      <c r="L26" s="64" t="s">
        <v>42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 t="s">
        <v>1432</v>
      </c>
      <c r="E27" s="19" t="s">
        <v>1537</v>
      </c>
      <c r="F27" s="8" t="s">
        <v>42</v>
      </c>
      <c r="G27" s="9">
        <v>0.33333333333333331</v>
      </c>
      <c r="H27" s="9">
        <v>0.5</v>
      </c>
      <c r="I27" s="10">
        <f t="shared" si="3"/>
        <v>0.16666666666666669</v>
      </c>
      <c r="J27" s="11">
        <v>12</v>
      </c>
      <c r="K27" s="11">
        <f>88*4</f>
        <v>352</v>
      </c>
      <c r="L27" s="16">
        <f t="shared" ref="L27:L32" si="4">IFERROR(((K27/(J27*I27)/24)),"0")</f>
        <v>7.333333333333333</v>
      </c>
      <c r="M27" s="11"/>
      <c r="N27" s="11"/>
      <c r="O27" s="11"/>
      <c r="P27" s="11"/>
      <c r="Q27" s="11"/>
      <c r="R27" s="12"/>
      <c r="S27" s="12"/>
      <c r="T27" s="11">
        <v>240</v>
      </c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/>
      <c r="E28" s="15" t="s">
        <v>104</v>
      </c>
      <c r="F28" s="8" t="s">
        <v>42</v>
      </c>
      <c r="G28" s="9">
        <v>0.5</v>
      </c>
      <c r="H28" s="9">
        <v>0.54166666666666663</v>
      </c>
      <c r="I28" s="10">
        <f t="shared" si="3"/>
        <v>4.166666666666663E-2</v>
      </c>
      <c r="J28" s="11">
        <v>12</v>
      </c>
      <c r="K28" s="62" t="s">
        <v>42</v>
      </c>
      <c r="L28" s="16" t="str">
        <f t="shared" si="4"/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 t="s">
        <v>1432</v>
      </c>
      <c r="E29" s="19" t="s">
        <v>1538</v>
      </c>
      <c r="F29" s="8"/>
      <c r="G29" s="9">
        <v>0.54166666666666663</v>
      </c>
      <c r="H29" s="9">
        <v>0.58333333333333337</v>
      </c>
      <c r="I29" s="10">
        <f t="shared" si="3"/>
        <v>4.1666666666666741E-2</v>
      </c>
      <c r="J29" s="11">
        <v>12</v>
      </c>
      <c r="K29" s="62">
        <v>88</v>
      </c>
      <c r="L29" s="16"/>
      <c r="M29" s="11"/>
      <c r="N29" s="11"/>
      <c r="O29" s="11"/>
      <c r="P29" s="11"/>
      <c r="Q29" s="11"/>
      <c r="R29" s="12"/>
      <c r="S29" s="12"/>
      <c r="T29" s="11">
        <v>60</v>
      </c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6"/>
      <c r="E30" s="15" t="s">
        <v>1539</v>
      </c>
      <c r="F30" s="8" t="s">
        <v>42</v>
      </c>
      <c r="G30" s="9">
        <v>0.58333333333333337</v>
      </c>
      <c r="H30" s="9">
        <v>0.6875</v>
      </c>
      <c r="I30" s="10">
        <f t="shared" si="3"/>
        <v>0.10416666666666663</v>
      </c>
      <c r="J30" s="11">
        <v>12</v>
      </c>
      <c r="K30" s="62" t="s">
        <v>42</v>
      </c>
      <c r="L30" s="16" t="str">
        <f t="shared" si="4"/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4"/>
      <c r="D31" s="6"/>
      <c r="E31" s="15" t="s">
        <v>96</v>
      </c>
      <c r="F31" s="8" t="s">
        <v>42</v>
      </c>
      <c r="G31" s="9">
        <v>0.6875</v>
      </c>
      <c r="H31" s="9">
        <v>0.70833333333333337</v>
      </c>
      <c r="I31" s="10">
        <f t="shared" si="3"/>
        <v>2.083333333333337E-2</v>
      </c>
      <c r="J31" s="11">
        <v>12</v>
      </c>
      <c r="K31" s="62" t="s">
        <v>42</v>
      </c>
      <c r="L31" s="16" t="str">
        <f t="shared" si="4"/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5.05" customHeight="1">
      <c r="B32" s="13"/>
      <c r="C32" s="14"/>
      <c r="D32" s="18"/>
      <c r="E32" s="6"/>
      <c r="F32" s="8"/>
      <c r="G32" s="9"/>
      <c r="H32" s="9"/>
      <c r="I32" s="10">
        <f t="shared" si="3"/>
        <v>0</v>
      </c>
      <c r="J32" s="11"/>
      <c r="K32" s="62"/>
      <c r="L32" s="16" t="str">
        <f t="shared" si="4"/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s="28" customFormat="1" ht="25.05" customHeight="1">
      <c r="A33" s="2"/>
      <c r="B33" s="21"/>
      <c r="C33" s="22"/>
      <c r="D33" s="23"/>
      <c r="E33" s="24"/>
      <c r="F33" s="22"/>
      <c r="G33" s="25"/>
      <c r="H33" s="25"/>
      <c r="I33" s="26"/>
      <c r="J33" s="27"/>
      <c r="K33" s="27">
        <f t="shared" ref="K33:AL33" si="5">SUM(K26:K32)</f>
        <v>440</v>
      </c>
      <c r="L33" s="27">
        <f t="shared" si="5"/>
        <v>7.333333333333333</v>
      </c>
      <c r="M33" s="27">
        <f t="shared" si="5"/>
        <v>0</v>
      </c>
      <c r="N33" s="27">
        <f t="shared" si="5"/>
        <v>0</v>
      </c>
      <c r="O33" s="27">
        <f t="shared" si="5"/>
        <v>0</v>
      </c>
      <c r="P33" s="27">
        <f t="shared" si="5"/>
        <v>0</v>
      </c>
      <c r="Q33" s="27">
        <f t="shared" si="5"/>
        <v>0</v>
      </c>
      <c r="R33" s="27">
        <f t="shared" si="5"/>
        <v>0</v>
      </c>
      <c r="S33" s="27">
        <f t="shared" si="5"/>
        <v>0</v>
      </c>
      <c r="T33" s="27">
        <f t="shared" si="5"/>
        <v>300</v>
      </c>
      <c r="U33" s="27">
        <f t="shared" si="5"/>
        <v>0</v>
      </c>
      <c r="V33" s="27">
        <f t="shared" si="5"/>
        <v>0</v>
      </c>
      <c r="W33" s="27">
        <f t="shared" si="5"/>
        <v>0</v>
      </c>
      <c r="X33" s="27">
        <f t="shared" si="5"/>
        <v>0</v>
      </c>
      <c r="Y33" s="27">
        <f t="shared" si="5"/>
        <v>0</v>
      </c>
      <c r="Z33" s="27">
        <f t="shared" si="5"/>
        <v>0</v>
      </c>
      <c r="AA33" s="27">
        <f t="shared" si="5"/>
        <v>0</v>
      </c>
      <c r="AB33" s="27">
        <f t="shared" si="5"/>
        <v>0</v>
      </c>
      <c r="AC33" s="27">
        <f t="shared" si="5"/>
        <v>0</v>
      </c>
      <c r="AD33" s="27">
        <f t="shared" si="5"/>
        <v>0</v>
      </c>
      <c r="AE33" s="27">
        <f t="shared" si="5"/>
        <v>0</v>
      </c>
      <c r="AF33" s="27">
        <f t="shared" si="5"/>
        <v>0</v>
      </c>
      <c r="AG33" s="27">
        <f t="shared" si="5"/>
        <v>0</v>
      </c>
      <c r="AH33" s="27">
        <f t="shared" si="5"/>
        <v>0</v>
      </c>
      <c r="AI33" s="27">
        <f t="shared" si="5"/>
        <v>0</v>
      </c>
      <c r="AJ33" s="27">
        <f t="shared" si="5"/>
        <v>0</v>
      </c>
      <c r="AK33" s="27">
        <f t="shared" si="5"/>
        <v>0</v>
      </c>
      <c r="AL33" s="27">
        <f t="shared" si="5"/>
        <v>0</v>
      </c>
    </row>
    <row r="34" spans="1:38" ht="25.05" customHeight="1">
      <c r="B34" s="5" t="s">
        <v>1524</v>
      </c>
      <c r="C34" s="29" t="s">
        <v>44</v>
      </c>
      <c r="D34" s="30"/>
      <c r="E34" s="7" t="s">
        <v>41</v>
      </c>
      <c r="F34" s="8" t="s">
        <v>42</v>
      </c>
      <c r="G34" s="9">
        <v>0.29166666666666669</v>
      </c>
      <c r="H34" s="9">
        <v>0.2986111111111111</v>
      </c>
      <c r="I34" s="10">
        <f t="shared" ref="I34:I44" si="6">H34-G34</f>
        <v>6.9444444444444198E-3</v>
      </c>
      <c r="J34" s="11">
        <v>4</v>
      </c>
      <c r="K34" s="62" t="s">
        <v>42</v>
      </c>
      <c r="L34" s="64" t="s">
        <v>42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1:38" ht="25.05" customHeight="1">
      <c r="B35" s="13"/>
      <c r="C35" s="29"/>
      <c r="D35" s="30" t="s">
        <v>712</v>
      </c>
      <c r="E35" s="19" t="s">
        <v>324</v>
      </c>
      <c r="F35" s="8" t="s">
        <v>42</v>
      </c>
      <c r="G35" s="9">
        <v>0.35416666666666669</v>
      </c>
      <c r="H35" s="9">
        <v>0.35625000000000001</v>
      </c>
      <c r="I35" s="10">
        <f t="shared" si="6"/>
        <v>2.0833333333333259E-3</v>
      </c>
      <c r="J35" s="11">
        <v>14</v>
      </c>
      <c r="K35" s="11">
        <v>37.64</v>
      </c>
      <c r="L35" s="16">
        <f t="shared" ref="L35:L44" si="7">IFERROR(((K35/(J35*I35)/24)),"0")</f>
        <v>53.771428571428764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3</v>
      </c>
      <c r="X35" s="11"/>
      <c r="Y35" s="11"/>
      <c r="Z35" s="11"/>
      <c r="AA35" s="11"/>
      <c r="AB35" s="11">
        <v>3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1:38" ht="25.05" customHeight="1">
      <c r="B36" s="13"/>
      <c r="C36" s="29"/>
      <c r="D36" s="30"/>
      <c r="E36" s="19" t="s">
        <v>325</v>
      </c>
      <c r="F36" s="8" t="s">
        <v>42</v>
      </c>
      <c r="G36" s="9">
        <v>0.35902777777777778</v>
      </c>
      <c r="H36" s="9">
        <v>0.3611111111111111</v>
      </c>
      <c r="I36" s="10">
        <f t="shared" si="6"/>
        <v>2.0833333333333259E-3</v>
      </c>
      <c r="J36" s="11">
        <v>14</v>
      </c>
      <c r="K36" s="11">
        <v>38.090000000000003</v>
      </c>
      <c r="L36" s="16">
        <f t="shared" si="7"/>
        <v>54.41428571428591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3</v>
      </c>
      <c r="X36" s="11"/>
      <c r="Y36" s="11"/>
      <c r="Z36" s="11"/>
      <c r="AA36" s="11"/>
      <c r="AB36" s="11"/>
      <c r="AC36" s="11"/>
      <c r="AD36" s="11">
        <v>3</v>
      </c>
      <c r="AE36" s="11"/>
      <c r="AF36" s="11"/>
      <c r="AG36" s="11"/>
      <c r="AH36" s="11"/>
      <c r="AI36" s="11"/>
      <c r="AJ36" s="11"/>
      <c r="AK36" s="11"/>
      <c r="AL36" s="14"/>
    </row>
    <row r="37" spans="1:38" ht="25.05" customHeight="1">
      <c r="B37" s="13"/>
      <c r="C37" s="29"/>
      <c r="D37" s="30"/>
      <c r="E37" s="19" t="s">
        <v>327</v>
      </c>
      <c r="F37" s="8" t="s">
        <v>42</v>
      </c>
      <c r="G37" s="9">
        <v>0.36249999999999999</v>
      </c>
      <c r="H37" s="9">
        <v>0.36458333333333331</v>
      </c>
      <c r="I37" s="10">
        <f t="shared" si="6"/>
        <v>2.0833333333333259E-3</v>
      </c>
      <c r="J37" s="11">
        <v>14</v>
      </c>
      <c r="K37" s="11">
        <v>37.99</v>
      </c>
      <c r="L37" s="16">
        <f t="shared" si="7"/>
        <v>54.271428571428771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3</v>
      </c>
      <c r="X37" s="11"/>
      <c r="Y37" s="11"/>
      <c r="Z37" s="11"/>
      <c r="AA37" s="11"/>
      <c r="AB37" s="11">
        <v>3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/>
      <c r="E38" s="19" t="s">
        <v>328</v>
      </c>
      <c r="F38" s="8" t="s">
        <v>42</v>
      </c>
      <c r="G38" s="9">
        <v>0.36736111111111114</v>
      </c>
      <c r="H38" s="9">
        <v>0.36944444444444446</v>
      </c>
      <c r="I38" s="10">
        <f t="shared" si="6"/>
        <v>2.0833333333333259E-3</v>
      </c>
      <c r="J38" s="11">
        <v>14</v>
      </c>
      <c r="K38" s="11">
        <v>38.11</v>
      </c>
      <c r="L38" s="16">
        <f t="shared" si="7"/>
        <v>54.442857142857342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3</v>
      </c>
      <c r="X38" s="11"/>
      <c r="Y38" s="11"/>
      <c r="Z38" s="11"/>
      <c r="AA38" s="11"/>
      <c r="AB38" s="11"/>
      <c r="AC38" s="11">
        <v>3</v>
      </c>
      <c r="AD38" s="11"/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 t="s">
        <v>330</v>
      </c>
      <c r="F39" s="8" t="s">
        <v>42</v>
      </c>
      <c r="G39" s="9">
        <v>0.37291666666666667</v>
      </c>
      <c r="H39" s="9">
        <v>0.375</v>
      </c>
      <c r="I39" s="10">
        <f t="shared" si="6"/>
        <v>2.0833333333333259E-3</v>
      </c>
      <c r="J39" s="11">
        <v>14</v>
      </c>
      <c r="K39" s="11">
        <v>39.03</v>
      </c>
      <c r="L39" s="16">
        <f t="shared" si="7"/>
        <v>55.757142857143059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3</v>
      </c>
      <c r="W39" s="12"/>
      <c r="X39" s="11"/>
      <c r="Y39" s="11"/>
      <c r="Z39" s="11"/>
      <c r="AA39" s="11"/>
      <c r="AB39" s="11"/>
      <c r="AC39" s="11"/>
      <c r="AD39" s="11">
        <v>3</v>
      </c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 t="s">
        <v>331</v>
      </c>
      <c r="F40" s="8" t="s">
        <v>42</v>
      </c>
      <c r="G40" s="9">
        <v>0.37777777777777777</v>
      </c>
      <c r="H40" s="9">
        <v>0.37986111111111109</v>
      </c>
      <c r="I40" s="10">
        <f t="shared" si="6"/>
        <v>2.0833333333333259E-3</v>
      </c>
      <c r="J40" s="11">
        <v>14</v>
      </c>
      <c r="K40" s="11">
        <v>37.11</v>
      </c>
      <c r="L40" s="16">
        <f t="shared" si="7"/>
        <v>53.014285714285904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3</v>
      </c>
      <c r="X40" s="11"/>
      <c r="Y40" s="11"/>
      <c r="Z40" s="11"/>
      <c r="AA40" s="11"/>
      <c r="AB40" s="11">
        <v>3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333</v>
      </c>
      <c r="F41" s="8" t="s">
        <v>42</v>
      </c>
      <c r="G41" s="9">
        <v>0.38055555555555554</v>
      </c>
      <c r="H41" s="9">
        <v>0.38263888888888886</v>
      </c>
      <c r="I41" s="10">
        <f t="shared" si="6"/>
        <v>2.0833333333333259E-3</v>
      </c>
      <c r="J41" s="11">
        <v>14</v>
      </c>
      <c r="K41" s="11">
        <v>38.78</v>
      </c>
      <c r="L41" s="16">
        <f t="shared" si="7"/>
        <v>55.400000000000198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3</v>
      </c>
      <c r="X41" s="11"/>
      <c r="Y41" s="11"/>
      <c r="Z41" s="11"/>
      <c r="AA41" s="11"/>
      <c r="AB41" s="11"/>
      <c r="AC41" s="11">
        <v>3</v>
      </c>
      <c r="AD41" s="11"/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334</v>
      </c>
      <c r="F42" s="8" t="s">
        <v>42</v>
      </c>
      <c r="G42" s="9">
        <v>0.38472222222222224</v>
      </c>
      <c r="H42" s="9">
        <v>0.38680555555555557</v>
      </c>
      <c r="I42" s="10">
        <f t="shared" si="6"/>
        <v>2.0833333333333259E-3</v>
      </c>
      <c r="J42" s="11">
        <v>14</v>
      </c>
      <c r="K42" s="11">
        <v>38.11</v>
      </c>
      <c r="L42" s="16">
        <f t="shared" si="7"/>
        <v>54.442857142857342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3</v>
      </c>
      <c r="X42" s="11"/>
      <c r="Y42" s="11"/>
      <c r="Z42" s="11"/>
      <c r="AA42" s="11"/>
      <c r="AB42" s="11"/>
      <c r="AC42" s="11"/>
      <c r="AD42" s="11">
        <v>3</v>
      </c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 t="s">
        <v>336</v>
      </c>
      <c r="F43" s="8" t="s">
        <v>42</v>
      </c>
      <c r="G43" s="9">
        <v>0.3888888888888889</v>
      </c>
      <c r="H43" s="9">
        <v>0.39097222222222222</v>
      </c>
      <c r="I43" s="10">
        <f t="shared" si="6"/>
        <v>2.0833333333333259E-3</v>
      </c>
      <c r="J43" s="11">
        <v>14</v>
      </c>
      <c r="K43" s="11">
        <v>37.68</v>
      </c>
      <c r="L43" s="16">
        <f t="shared" si="7"/>
        <v>53.828571428571621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3</v>
      </c>
      <c r="X43" s="11"/>
      <c r="Y43" s="11"/>
      <c r="Z43" s="11"/>
      <c r="AA43" s="11"/>
      <c r="AB43" s="11">
        <v>3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337</v>
      </c>
      <c r="F44" s="8" t="s">
        <v>42</v>
      </c>
      <c r="G44" s="9">
        <v>0.3923611111111111</v>
      </c>
      <c r="H44" s="9">
        <v>0.39444444444444443</v>
      </c>
      <c r="I44" s="10">
        <f t="shared" si="6"/>
        <v>2.0833333333333259E-3</v>
      </c>
      <c r="J44" s="11">
        <v>14</v>
      </c>
      <c r="K44" s="11">
        <v>39.020000000000003</v>
      </c>
      <c r="L44" s="16">
        <f t="shared" si="7"/>
        <v>55.742857142857339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3</v>
      </c>
      <c r="X44" s="11"/>
      <c r="Y44" s="11"/>
      <c r="Z44" s="11"/>
      <c r="AA44" s="11"/>
      <c r="AB44" s="11"/>
      <c r="AC44" s="11">
        <v>3</v>
      </c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339</v>
      </c>
      <c r="F45" s="8" t="s">
        <v>42</v>
      </c>
      <c r="G45" s="9">
        <v>0.39583333333333331</v>
      </c>
      <c r="H45" s="9">
        <v>0.39791666666666664</v>
      </c>
      <c r="I45" s="10">
        <f t="shared" ref="I45:I109" si="8">H45-G45</f>
        <v>2.0833333333333259E-3</v>
      </c>
      <c r="J45" s="11">
        <v>11</v>
      </c>
      <c r="K45" s="11">
        <v>37.840000000000003</v>
      </c>
      <c r="L45" s="16">
        <f t="shared" ref="L45:L109" si="9">IFERROR(((K45/(J45*I45)/24)),"0")</f>
        <v>68.800000000000253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3</v>
      </c>
      <c r="X45" s="11"/>
      <c r="Y45" s="11"/>
      <c r="Z45" s="11"/>
      <c r="AA45" s="11"/>
      <c r="AB45" s="11"/>
      <c r="AC45" s="11"/>
      <c r="AD45" s="11">
        <v>3</v>
      </c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340</v>
      </c>
      <c r="F46" s="8" t="s">
        <v>42</v>
      </c>
      <c r="G46" s="9">
        <v>0.4</v>
      </c>
      <c r="H46" s="9">
        <v>0.40208333333333335</v>
      </c>
      <c r="I46" s="10">
        <f t="shared" si="8"/>
        <v>2.0833333333333259E-3</v>
      </c>
      <c r="J46" s="11">
        <v>11</v>
      </c>
      <c r="K46" s="11">
        <v>37.72</v>
      </c>
      <c r="L46" s="16">
        <f t="shared" si="9"/>
        <v>68.58181818181842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3</v>
      </c>
      <c r="X46" s="11"/>
      <c r="Y46" s="11"/>
      <c r="Z46" s="11"/>
      <c r="AA46" s="11"/>
      <c r="AB46" s="11">
        <v>3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 t="s">
        <v>342</v>
      </c>
      <c r="F47" s="8" t="s">
        <v>42</v>
      </c>
      <c r="G47" s="9">
        <v>0.40347222222222223</v>
      </c>
      <c r="H47" s="9">
        <v>0.40555555555555556</v>
      </c>
      <c r="I47" s="10">
        <f t="shared" si="8"/>
        <v>2.0833333333333259E-3</v>
      </c>
      <c r="J47" s="11">
        <v>11</v>
      </c>
      <c r="K47" s="11">
        <v>38.119999999999997</v>
      </c>
      <c r="L47" s="16">
        <f t="shared" si="9"/>
        <v>69.309090909091154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3</v>
      </c>
      <c r="X47" s="11"/>
      <c r="Y47" s="11"/>
      <c r="Z47" s="11"/>
      <c r="AA47" s="11"/>
      <c r="AB47" s="11"/>
      <c r="AC47" s="11"/>
      <c r="AD47" s="11">
        <v>3</v>
      </c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 t="s">
        <v>343</v>
      </c>
      <c r="F48" s="8" t="s">
        <v>42</v>
      </c>
      <c r="G48" s="9">
        <v>0.40833333333333333</v>
      </c>
      <c r="H48" s="9">
        <v>0.41041666666666665</v>
      </c>
      <c r="I48" s="10">
        <f t="shared" si="8"/>
        <v>2.0833333333333259E-3</v>
      </c>
      <c r="J48" s="11">
        <v>11</v>
      </c>
      <c r="K48" s="11">
        <v>37.65</v>
      </c>
      <c r="L48" s="16">
        <f t="shared" si="9"/>
        <v>68.454545454545695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3</v>
      </c>
      <c r="X48" s="11"/>
      <c r="Y48" s="11"/>
      <c r="Z48" s="11"/>
      <c r="AA48" s="11"/>
      <c r="AB48" s="11">
        <v>3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345</v>
      </c>
      <c r="F49" s="8" t="s">
        <v>42</v>
      </c>
      <c r="G49" s="9">
        <v>0.41111111111111109</v>
      </c>
      <c r="H49" s="9">
        <v>0.41319444444444442</v>
      </c>
      <c r="I49" s="10">
        <f t="shared" si="8"/>
        <v>2.0833333333333259E-3</v>
      </c>
      <c r="J49" s="11">
        <v>11</v>
      </c>
      <c r="K49" s="11">
        <v>38.57</v>
      </c>
      <c r="L49" s="16">
        <f t="shared" si="9"/>
        <v>70.127272727272981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3</v>
      </c>
      <c r="X49" s="11"/>
      <c r="Y49" s="11"/>
      <c r="Z49" s="11"/>
      <c r="AA49" s="11"/>
      <c r="AB49" s="11"/>
      <c r="AC49" s="11"/>
      <c r="AD49" s="11">
        <v>3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346</v>
      </c>
      <c r="F50" s="8" t="s">
        <v>42</v>
      </c>
      <c r="G50" s="9">
        <v>0.41597222222222224</v>
      </c>
      <c r="H50" s="9">
        <v>0.41805555555555557</v>
      </c>
      <c r="I50" s="10">
        <f t="shared" si="8"/>
        <v>2.0833333333333259E-3</v>
      </c>
      <c r="J50" s="11">
        <v>11</v>
      </c>
      <c r="K50" s="11">
        <v>37.93</v>
      </c>
      <c r="L50" s="16">
        <f t="shared" si="9"/>
        <v>68.96363636363661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3</v>
      </c>
      <c r="X50" s="11"/>
      <c r="Y50" s="11"/>
      <c r="Z50" s="11"/>
      <c r="AA50" s="11"/>
      <c r="AB50" s="11">
        <v>3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348</v>
      </c>
      <c r="F51" s="8" t="s">
        <v>42</v>
      </c>
      <c r="G51" s="9">
        <v>0.41875000000000001</v>
      </c>
      <c r="H51" s="9">
        <v>0.42083333333333334</v>
      </c>
      <c r="I51" s="10">
        <f t="shared" si="8"/>
        <v>2.0833333333333259E-3</v>
      </c>
      <c r="J51" s="11">
        <v>11</v>
      </c>
      <c r="K51" s="11">
        <v>38.28</v>
      </c>
      <c r="L51" s="16">
        <f t="shared" si="9"/>
        <v>69.60000000000025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3</v>
      </c>
      <c r="X51" s="11"/>
      <c r="Y51" s="11"/>
      <c r="Z51" s="11"/>
      <c r="AA51" s="11"/>
      <c r="AB51" s="11"/>
      <c r="AC51" s="11"/>
      <c r="AD51" s="11">
        <v>3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349</v>
      </c>
      <c r="F52" s="8" t="s">
        <v>42</v>
      </c>
      <c r="G52" s="9">
        <v>0.4236111111111111</v>
      </c>
      <c r="H52" s="9">
        <v>0.42569444444444443</v>
      </c>
      <c r="I52" s="10">
        <f t="shared" si="8"/>
        <v>2.0833333333333259E-3</v>
      </c>
      <c r="J52" s="11">
        <v>11</v>
      </c>
      <c r="K52" s="11">
        <v>37.92</v>
      </c>
      <c r="L52" s="16">
        <f t="shared" si="9"/>
        <v>68.945454545454794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3</v>
      </c>
      <c r="X52" s="11"/>
      <c r="Y52" s="11"/>
      <c r="Z52" s="11"/>
      <c r="AA52" s="11"/>
      <c r="AB52" s="11">
        <v>3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713</v>
      </c>
      <c r="F53" s="8" t="s">
        <v>42</v>
      </c>
      <c r="G53" s="9">
        <v>0.42777777777777776</v>
      </c>
      <c r="H53" s="9">
        <v>0.42986111111111114</v>
      </c>
      <c r="I53" s="10">
        <f t="shared" si="8"/>
        <v>2.0833333333333814E-3</v>
      </c>
      <c r="J53" s="11">
        <v>11</v>
      </c>
      <c r="K53" s="11">
        <v>38.19</v>
      </c>
      <c r="L53" s="16">
        <f t="shared" si="9"/>
        <v>69.436363636362032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3</v>
      </c>
      <c r="X53" s="11"/>
      <c r="Y53" s="11"/>
      <c r="Z53" s="11"/>
      <c r="AA53" s="11"/>
      <c r="AB53" s="11"/>
      <c r="AC53" s="11"/>
      <c r="AD53" s="11">
        <v>3</v>
      </c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714</v>
      </c>
      <c r="F54" s="8" t="s">
        <v>42</v>
      </c>
      <c r="G54" s="9">
        <v>0.43194444444444446</v>
      </c>
      <c r="H54" s="9">
        <v>0.43402777777777779</v>
      </c>
      <c r="I54" s="10">
        <f t="shared" si="8"/>
        <v>2.0833333333333259E-3</v>
      </c>
      <c r="J54" s="11">
        <v>11</v>
      </c>
      <c r="K54" s="11">
        <v>37.42</v>
      </c>
      <c r="L54" s="16">
        <f t="shared" si="9"/>
        <v>68.036363636363873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3</v>
      </c>
      <c r="X54" s="11"/>
      <c r="Y54" s="11"/>
      <c r="Z54" s="11"/>
      <c r="AA54" s="11"/>
      <c r="AB54" s="11">
        <v>3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715</v>
      </c>
      <c r="F55" s="8" t="s">
        <v>42</v>
      </c>
      <c r="G55" s="9">
        <v>0.43611111111111112</v>
      </c>
      <c r="H55" s="9">
        <v>0.43819444444444444</v>
      </c>
      <c r="I55" s="10">
        <f t="shared" si="8"/>
        <v>2.0833333333333259E-3</v>
      </c>
      <c r="J55" s="11">
        <v>11</v>
      </c>
      <c r="K55" s="11">
        <v>38.200000000000003</v>
      </c>
      <c r="L55" s="16">
        <f t="shared" si="9"/>
        <v>69.454545454545709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3</v>
      </c>
      <c r="X55" s="11"/>
      <c r="Y55" s="11"/>
      <c r="Z55" s="11"/>
      <c r="AA55" s="11"/>
      <c r="AB55" s="11"/>
      <c r="AC55" s="11"/>
      <c r="AD55" s="11">
        <v>3</v>
      </c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716</v>
      </c>
      <c r="F56" s="8" t="s">
        <v>42</v>
      </c>
      <c r="G56" s="9">
        <v>0.44027777777777777</v>
      </c>
      <c r="H56" s="9">
        <v>0.44236111111111109</v>
      </c>
      <c r="I56" s="10">
        <f t="shared" si="8"/>
        <v>2.0833333333333259E-3</v>
      </c>
      <c r="J56" s="11">
        <v>11</v>
      </c>
      <c r="K56" s="11">
        <v>37.869999999999997</v>
      </c>
      <c r="L56" s="16">
        <f t="shared" si="9"/>
        <v>68.854545454545686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3</v>
      </c>
      <c r="X56" s="11"/>
      <c r="Y56" s="11"/>
      <c r="Z56" s="11"/>
      <c r="AA56" s="11"/>
      <c r="AB56" s="11">
        <v>3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717</v>
      </c>
      <c r="F57" s="8" t="s">
        <v>42</v>
      </c>
      <c r="G57" s="9">
        <v>0.44374999999999998</v>
      </c>
      <c r="H57" s="9">
        <v>0.44583333333333336</v>
      </c>
      <c r="I57" s="10">
        <f t="shared" si="8"/>
        <v>2.0833333333333814E-3</v>
      </c>
      <c r="J57" s="11">
        <v>11</v>
      </c>
      <c r="K57" s="11">
        <v>38.08</v>
      </c>
      <c r="L57" s="16">
        <f t="shared" si="9"/>
        <v>69.236363636362043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3</v>
      </c>
      <c r="X57" s="11"/>
      <c r="Y57" s="11"/>
      <c r="Z57" s="11"/>
      <c r="AA57" s="11"/>
      <c r="AB57" s="11"/>
      <c r="AC57" s="11"/>
      <c r="AD57" s="11">
        <v>3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718</v>
      </c>
      <c r="F58" s="8" t="s">
        <v>42</v>
      </c>
      <c r="G58" s="9">
        <v>0.45902777777777776</v>
      </c>
      <c r="H58" s="9">
        <v>0.46111111111111114</v>
      </c>
      <c r="I58" s="10">
        <f t="shared" si="8"/>
        <v>2.0833333333333814E-3</v>
      </c>
      <c r="J58" s="11">
        <v>11</v>
      </c>
      <c r="K58" s="11">
        <v>37.1</v>
      </c>
      <c r="L58" s="16">
        <f t="shared" si="9"/>
        <v>67.45454545454389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3</v>
      </c>
      <c r="X58" s="11"/>
      <c r="Y58" s="11"/>
      <c r="Z58" s="11"/>
      <c r="AA58" s="11"/>
      <c r="AB58" s="11">
        <v>3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719</v>
      </c>
      <c r="F59" s="8" t="s">
        <v>42</v>
      </c>
      <c r="G59" s="9">
        <v>0.46180555555555558</v>
      </c>
      <c r="H59" s="9">
        <v>0.46388888888888891</v>
      </c>
      <c r="I59" s="10">
        <f t="shared" si="8"/>
        <v>2.0833333333333259E-3</v>
      </c>
      <c r="J59" s="11">
        <v>11</v>
      </c>
      <c r="K59" s="11">
        <v>38.15</v>
      </c>
      <c r="L59" s="16">
        <f t="shared" si="9"/>
        <v>69.363636363636616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3</v>
      </c>
      <c r="X59" s="11"/>
      <c r="Y59" s="11"/>
      <c r="Z59" s="11"/>
      <c r="AA59" s="11"/>
      <c r="AB59" s="11"/>
      <c r="AC59" s="11"/>
      <c r="AD59" s="11">
        <v>3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720</v>
      </c>
      <c r="F60" s="8" t="s">
        <v>42</v>
      </c>
      <c r="G60" s="9">
        <v>0.46597222222222223</v>
      </c>
      <c r="H60" s="9">
        <v>0.46805555555555556</v>
      </c>
      <c r="I60" s="10">
        <f t="shared" si="8"/>
        <v>2.0833333333333259E-3</v>
      </c>
      <c r="J60" s="11">
        <v>11</v>
      </c>
      <c r="K60" s="11">
        <v>38.79</v>
      </c>
      <c r="L60" s="16">
        <f t="shared" si="9"/>
        <v>70.527272727272972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3</v>
      </c>
      <c r="X60" s="11"/>
      <c r="Y60" s="11"/>
      <c r="Z60" s="11"/>
      <c r="AA60" s="11"/>
      <c r="AB60" s="11">
        <v>3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721</v>
      </c>
      <c r="F61" s="8" t="s">
        <v>42</v>
      </c>
      <c r="G61" s="9">
        <v>0.47083333333333333</v>
      </c>
      <c r="H61" s="9">
        <v>0.47291666666666665</v>
      </c>
      <c r="I61" s="10">
        <f t="shared" si="8"/>
        <v>2.0833333333333259E-3</v>
      </c>
      <c r="J61" s="11">
        <v>11</v>
      </c>
      <c r="K61" s="11">
        <v>37.57</v>
      </c>
      <c r="L61" s="16">
        <f t="shared" si="9"/>
        <v>68.309090909091154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3</v>
      </c>
      <c r="X61" s="11"/>
      <c r="Y61" s="11"/>
      <c r="Z61" s="11"/>
      <c r="AA61" s="11"/>
      <c r="AB61" s="11"/>
      <c r="AC61" s="11"/>
      <c r="AD61" s="11">
        <v>3</v>
      </c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722</v>
      </c>
      <c r="F62" s="8" t="s">
        <v>42</v>
      </c>
      <c r="G62" s="9">
        <v>0.47430555555555554</v>
      </c>
      <c r="H62" s="9">
        <v>0.47638888888888886</v>
      </c>
      <c r="I62" s="10">
        <f t="shared" si="8"/>
        <v>2.0833333333333259E-3</v>
      </c>
      <c r="J62" s="11">
        <v>11</v>
      </c>
      <c r="K62" s="11">
        <v>38.270000000000003</v>
      </c>
      <c r="L62" s="16">
        <f t="shared" si="9"/>
        <v>69.581818181818434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3</v>
      </c>
      <c r="X62" s="11"/>
      <c r="Y62" s="11"/>
      <c r="Z62" s="11"/>
      <c r="AA62" s="11"/>
      <c r="AB62" s="11">
        <v>3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1540</v>
      </c>
      <c r="F63" s="8" t="s">
        <v>42</v>
      </c>
      <c r="G63" s="9">
        <v>0.47916666666666669</v>
      </c>
      <c r="H63" s="9">
        <v>0.48125000000000001</v>
      </c>
      <c r="I63" s="10">
        <f t="shared" si="8"/>
        <v>2.0833333333333259E-3</v>
      </c>
      <c r="J63" s="11">
        <v>11</v>
      </c>
      <c r="K63" s="11">
        <v>38.1</v>
      </c>
      <c r="L63" s="16">
        <f t="shared" si="9"/>
        <v>69.272727272727522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3</v>
      </c>
      <c r="X63" s="11"/>
      <c r="Y63" s="11"/>
      <c r="Z63" s="11"/>
      <c r="AA63" s="11"/>
      <c r="AB63" s="11"/>
      <c r="AC63" s="11"/>
      <c r="AD63" s="11">
        <v>3</v>
      </c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1541</v>
      </c>
      <c r="F64" s="8" t="s">
        <v>42</v>
      </c>
      <c r="G64" s="9">
        <v>0.48333333333333334</v>
      </c>
      <c r="H64" s="9">
        <v>0.48541666666666666</v>
      </c>
      <c r="I64" s="10">
        <f t="shared" si="8"/>
        <v>2.0833333333333259E-3</v>
      </c>
      <c r="J64" s="11">
        <v>11</v>
      </c>
      <c r="K64" s="11">
        <v>37.93</v>
      </c>
      <c r="L64" s="16">
        <f t="shared" si="9"/>
        <v>68.96363636363661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3</v>
      </c>
      <c r="X64" s="11"/>
      <c r="Y64" s="11"/>
      <c r="Z64" s="11"/>
      <c r="AA64" s="11"/>
      <c r="AB64" s="11">
        <v>3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1542</v>
      </c>
      <c r="F65" s="8" t="s">
        <v>42</v>
      </c>
      <c r="G65" s="9">
        <v>0.48749999999999999</v>
      </c>
      <c r="H65" s="9">
        <v>0.48958333333333331</v>
      </c>
      <c r="I65" s="10">
        <f t="shared" si="8"/>
        <v>2.0833333333333259E-3</v>
      </c>
      <c r="J65" s="11">
        <v>11</v>
      </c>
      <c r="K65" s="11">
        <v>37.130000000000003</v>
      </c>
      <c r="L65" s="16">
        <f t="shared" si="9"/>
        <v>67.509090909091157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3</v>
      </c>
      <c r="X65" s="11"/>
      <c r="Y65" s="11"/>
      <c r="Z65" s="11"/>
      <c r="AA65" s="11"/>
      <c r="AB65" s="11"/>
      <c r="AC65" s="11"/>
      <c r="AD65" s="11">
        <v>3</v>
      </c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1543</v>
      </c>
      <c r="F66" s="8" t="s">
        <v>42</v>
      </c>
      <c r="G66" s="9">
        <v>0.4909722222222222</v>
      </c>
      <c r="H66" s="9">
        <v>0.49305555555555558</v>
      </c>
      <c r="I66" s="10">
        <f t="shared" si="8"/>
        <v>2.0833333333333814E-3</v>
      </c>
      <c r="J66" s="11">
        <v>11</v>
      </c>
      <c r="K66" s="11">
        <v>37.47</v>
      </c>
      <c r="L66" s="16">
        <f t="shared" si="9"/>
        <v>68.127272727271148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3</v>
      </c>
      <c r="X66" s="11"/>
      <c r="Y66" s="11"/>
      <c r="Z66" s="11"/>
      <c r="AA66" s="11"/>
      <c r="AB66" s="11">
        <v>3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1544</v>
      </c>
      <c r="F67" s="8" t="s">
        <v>42</v>
      </c>
      <c r="G67" s="9">
        <v>0.49444444444444446</v>
      </c>
      <c r="H67" s="9">
        <v>0.49652777777777779</v>
      </c>
      <c r="I67" s="10">
        <f t="shared" si="8"/>
        <v>2.0833333333333259E-3</v>
      </c>
      <c r="J67" s="11">
        <v>11</v>
      </c>
      <c r="K67" s="11">
        <v>38.74</v>
      </c>
      <c r="L67" s="16">
        <f t="shared" si="9"/>
        <v>70.436363636363893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3</v>
      </c>
      <c r="X67" s="11"/>
      <c r="Y67" s="11"/>
      <c r="Z67" s="11"/>
      <c r="AA67" s="11"/>
      <c r="AB67" s="11"/>
      <c r="AC67" s="11"/>
      <c r="AD67" s="11">
        <v>3</v>
      </c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1545</v>
      </c>
      <c r="F68" s="8" t="s">
        <v>42</v>
      </c>
      <c r="G68" s="9">
        <v>0.49861111111111112</v>
      </c>
      <c r="H68" s="9">
        <v>0.50069444444444444</v>
      </c>
      <c r="I68" s="10">
        <f t="shared" si="8"/>
        <v>2.0833333333333259E-3</v>
      </c>
      <c r="J68" s="11">
        <v>11</v>
      </c>
      <c r="K68" s="11">
        <v>37.729999999999997</v>
      </c>
      <c r="L68" s="16">
        <f t="shared" si="9"/>
        <v>68.600000000000236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3</v>
      </c>
      <c r="X68" s="11"/>
      <c r="Y68" s="11"/>
      <c r="Z68" s="11"/>
      <c r="AA68" s="11"/>
      <c r="AB68" s="11">
        <v>3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1546</v>
      </c>
      <c r="F69" s="8" t="s">
        <v>42</v>
      </c>
      <c r="G69" s="9">
        <v>0.50486111111111109</v>
      </c>
      <c r="H69" s="9">
        <v>0.50694444444444442</v>
      </c>
      <c r="I69" s="10">
        <f t="shared" si="8"/>
        <v>2.0833333333333259E-3</v>
      </c>
      <c r="J69" s="11">
        <v>11</v>
      </c>
      <c r="K69" s="11">
        <v>38.39</v>
      </c>
      <c r="L69" s="16">
        <f t="shared" si="9"/>
        <v>69.800000000000253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3</v>
      </c>
      <c r="X69" s="11"/>
      <c r="Y69" s="11"/>
      <c r="Z69" s="11"/>
      <c r="AA69" s="11"/>
      <c r="AB69" s="11"/>
      <c r="AC69" s="11"/>
      <c r="AD69" s="11">
        <v>3</v>
      </c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47" t="s">
        <v>1547</v>
      </c>
      <c r="F70" s="8" t="s">
        <v>42</v>
      </c>
      <c r="G70" s="9">
        <v>0.40486111111111112</v>
      </c>
      <c r="H70" s="9">
        <v>0.43472222222222223</v>
      </c>
      <c r="I70" s="10">
        <f t="shared" si="8"/>
        <v>2.9861111111111116E-2</v>
      </c>
      <c r="J70" s="11">
        <v>4</v>
      </c>
      <c r="K70" s="11">
        <v>139.27000000000001</v>
      </c>
      <c r="L70" s="16">
        <f t="shared" si="9"/>
        <v>48.582558139534882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/>
      <c r="AA70" s="11"/>
      <c r="AB70" s="11"/>
      <c r="AC70" s="11">
        <v>43</v>
      </c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47" t="s">
        <v>1548</v>
      </c>
      <c r="F71" s="8" t="s">
        <v>42</v>
      </c>
      <c r="G71" s="9">
        <v>0.4465277777777778</v>
      </c>
      <c r="H71" s="9">
        <v>0.47708333333333336</v>
      </c>
      <c r="I71" s="10">
        <f t="shared" si="8"/>
        <v>3.0555555555555558E-2</v>
      </c>
      <c r="J71" s="11">
        <v>4</v>
      </c>
      <c r="K71" s="11">
        <v>140.26</v>
      </c>
      <c r="L71" s="16">
        <f t="shared" si="9"/>
        <v>47.815909090909088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/>
      <c r="AB71" s="11"/>
      <c r="AC71" s="11">
        <v>44</v>
      </c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/>
      <c r="F72" s="8" t="s">
        <v>42</v>
      </c>
      <c r="G72" s="9"/>
      <c r="H72" s="9"/>
      <c r="I72" s="10">
        <f t="shared" si="8"/>
        <v>0</v>
      </c>
      <c r="J72" s="11"/>
      <c r="K72" s="11"/>
      <c r="L72" s="16" t="str">
        <f t="shared" si="9"/>
        <v>0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 t="s">
        <v>1525</v>
      </c>
      <c r="E73" s="19" t="s">
        <v>1549</v>
      </c>
      <c r="F73" s="8" t="s">
        <v>42</v>
      </c>
      <c r="G73" s="9">
        <v>0.47569444444444442</v>
      </c>
      <c r="H73" s="9">
        <v>0.49166666666666664</v>
      </c>
      <c r="I73" s="10">
        <f t="shared" si="8"/>
        <v>1.5972222222222221E-2</v>
      </c>
      <c r="J73" s="11">
        <v>2</v>
      </c>
      <c r="K73" s="11">
        <v>122.51</v>
      </c>
      <c r="L73" s="16">
        <f t="shared" si="9"/>
        <v>159.79565217391306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2</v>
      </c>
      <c r="W73" s="12"/>
      <c r="X73" s="11"/>
      <c r="Y73" s="11"/>
      <c r="Z73" s="11"/>
      <c r="AA73" s="11"/>
      <c r="AB73" s="11"/>
      <c r="AC73" s="11"/>
      <c r="AD73" s="11"/>
      <c r="AE73" s="11">
        <v>23</v>
      </c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1550</v>
      </c>
      <c r="F74" s="8" t="s">
        <v>42</v>
      </c>
      <c r="G74" s="9">
        <v>0.49722222222222223</v>
      </c>
      <c r="H74" s="9">
        <v>0.51111111111111107</v>
      </c>
      <c r="I74" s="10">
        <f t="shared" si="8"/>
        <v>1.388888888888884E-2</v>
      </c>
      <c r="J74" s="11">
        <v>2</v>
      </c>
      <c r="K74" s="11">
        <v>122.86</v>
      </c>
      <c r="L74" s="16">
        <f t="shared" si="9"/>
        <v>184.29000000000065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/>
      <c r="Y74" s="11"/>
      <c r="Z74" s="11"/>
      <c r="AA74" s="11"/>
      <c r="AB74" s="11"/>
      <c r="AC74" s="11"/>
      <c r="AD74" s="11"/>
      <c r="AE74" s="11">
        <v>20</v>
      </c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1551</v>
      </c>
      <c r="F75" s="8" t="s">
        <v>42</v>
      </c>
      <c r="G75" s="9">
        <v>0.67638888888888893</v>
      </c>
      <c r="H75" s="9">
        <v>0.69027777777777777</v>
      </c>
      <c r="I75" s="10">
        <f t="shared" si="8"/>
        <v>1.388888888888884E-2</v>
      </c>
      <c r="J75" s="11">
        <v>2</v>
      </c>
      <c r="K75" s="11">
        <v>122.7</v>
      </c>
      <c r="L75" s="16">
        <f t="shared" si="9"/>
        <v>184.05000000000067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2</v>
      </c>
      <c r="W75" s="12"/>
      <c r="X75" s="11"/>
      <c r="Y75" s="11"/>
      <c r="Z75" s="11"/>
      <c r="AA75" s="11"/>
      <c r="AB75" s="11"/>
      <c r="AC75" s="11"/>
      <c r="AD75" s="11"/>
      <c r="AE75" s="11">
        <v>20</v>
      </c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1552</v>
      </c>
      <c r="F76" s="8" t="s">
        <v>42</v>
      </c>
      <c r="G76" s="9">
        <v>0.69513888888888886</v>
      </c>
      <c r="H76" s="9">
        <v>0.70833333333333337</v>
      </c>
      <c r="I76" s="10">
        <f t="shared" si="8"/>
        <v>1.3194444444444509E-2</v>
      </c>
      <c r="J76" s="11">
        <v>2</v>
      </c>
      <c r="K76" s="11">
        <v>122.7</v>
      </c>
      <c r="L76" s="16">
        <f t="shared" si="9"/>
        <v>193.73684210526221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2</v>
      </c>
      <c r="W76" s="12"/>
      <c r="X76" s="11"/>
      <c r="Y76" s="11"/>
      <c r="Z76" s="11"/>
      <c r="AA76" s="11"/>
      <c r="AB76" s="11"/>
      <c r="AC76" s="11"/>
      <c r="AD76" s="11"/>
      <c r="AE76" s="11">
        <v>19</v>
      </c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1553</v>
      </c>
      <c r="F77" s="8" t="s">
        <v>42</v>
      </c>
      <c r="G77" s="9">
        <v>0.58750000000000002</v>
      </c>
      <c r="H77" s="9">
        <v>0.59236111111111112</v>
      </c>
      <c r="I77" s="10">
        <f t="shared" si="8"/>
        <v>4.8611111111110938E-3</v>
      </c>
      <c r="J77" s="11">
        <v>5</v>
      </c>
      <c r="K77" s="11">
        <v>79.099999999999994</v>
      </c>
      <c r="L77" s="16">
        <f t="shared" si="9"/>
        <v>135.60000000000048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2</v>
      </c>
      <c r="W77" s="12"/>
      <c r="X77" s="11"/>
      <c r="Y77" s="11"/>
      <c r="Z77" s="11"/>
      <c r="AA77" s="11"/>
      <c r="AB77" s="11">
        <v>7</v>
      </c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1554</v>
      </c>
      <c r="F78" s="8" t="s">
        <v>42</v>
      </c>
      <c r="G78" s="9">
        <v>0.59791666666666665</v>
      </c>
      <c r="H78" s="9">
        <v>0.60416666666666663</v>
      </c>
      <c r="I78" s="10">
        <f t="shared" si="8"/>
        <v>6.2499999999999778E-3</v>
      </c>
      <c r="J78" s="11">
        <v>5</v>
      </c>
      <c r="K78" s="11">
        <v>80.73</v>
      </c>
      <c r="L78" s="16">
        <f t="shared" si="9"/>
        <v>107.64000000000038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/>
      <c r="Z78" s="11"/>
      <c r="AA78" s="11"/>
      <c r="AB78" s="11">
        <v>9</v>
      </c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1555</v>
      </c>
      <c r="F79" s="8" t="s">
        <v>42</v>
      </c>
      <c r="G79" s="9">
        <v>0.60277777777777775</v>
      </c>
      <c r="H79" s="9">
        <v>0.60833333333333328</v>
      </c>
      <c r="I79" s="10">
        <f t="shared" si="8"/>
        <v>5.5555555555555358E-3</v>
      </c>
      <c r="J79" s="11">
        <v>5</v>
      </c>
      <c r="K79" s="11">
        <v>81.319999999999993</v>
      </c>
      <c r="L79" s="16">
        <f t="shared" si="9"/>
        <v>121.98000000000042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2</v>
      </c>
      <c r="W79" s="12"/>
      <c r="X79" s="11"/>
      <c r="Y79" s="11"/>
      <c r="Z79" s="11"/>
      <c r="AA79" s="11"/>
      <c r="AB79" s="11"/>
      <c r="AC79" s="11"/>
      <c r="AD79" s="11">
        <v>7</v>
      </c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1556</v>
      </c>
      <c r="F80" s="8" t="s">
        <v>42</v>
      </c>
      <c r="G80" s="9">
        <v>0.61041666666666672</v>
      </c>
      <c r="H80" s="9">
        <v>0.61944444444444446</v>
      </c>
      <c r="I80" s="10">
        <f t="shared" si="8"/>
        <v>9.0277777777777457E-3</v>
      </c>
      <c r="J80" s="11">
        <v>5</v>
      </c>
      <c r="K80" s="11">
        <v>79.78</v>
      </c>
      <c r="L80" s="16">
        <f t="shared" si="9"/>
        <v>73.643076923077189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/>
      <c r="AB80" s="11">
        <v>13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1557</v>
      </c>
      <c r="F81" s="8" t="s">
        <v>42</v>
      </c>
      <c r="G81" s="9">
        <v>0.6118055555555556</v>
      </c>
      <c r="H81" s="9">
        <v>0.62083333333333335</v>
      </c>
      <c r="I81" s="10">
        <f t="shared" si="8"/>
        <v>9.0277777777777457E-3</v>
      </c>
      <c r="J81" s="11">
        <v>5</v>
      </c>
      <c r="K81" s="11">
        <v>79.8</v>
      </c>
      <c r="L81" s="16">
        <f t="shared" si="9"/>
        <v>73.661538461538711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/>
      <c r="AA81" s="11"/>
      <c r="AB81" s="11"/>
      <c r="AC81" s="11"/>
      <c r="AD81" s="11">
        <v>13</v>
      </c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1558</v>
      </c>
      <c r="F82" s="8" t="s">
        <v>42</v>
      </c>
      <c r="G82" s="9">
        <v>0.62152777777777779</v>
      </c>
      <c r="H82" s="9">
        <v>0.62916666666666665</v>
      </c>
      <c r="I82" s="10">
        <f t="shared" si="8"/>
        <v>7.6388888888888618E-3</v>
      </c>
      <c r="J82" s="11">
        <v>5</v>
      </c>
      <c r="K82" s="11">
        <v>79.02</v>
      </c>
      <c r="L82" s="16">
        <f t="shared" si="9"/>
        <v>86.203636363636676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/>
      <c r="AB82" s="11">
        <v>11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1559</v>
      </c>
      <c r="F83" s="8" t="s">
        <v>42</v>
      </c>
      <c r="G83" s="9">
        <v>0.62847222222222221</v>
      </c>
      <c r="H83" s="9">
        <v>0.63680555555555551</v>
      </c>
      <c r="I83" s="10">
        <f t="shared" si="8"/>
        <v>8.3333333333333037E-3</v>
      </c>
      <c r="J83" s="11">
        <v>5</v>
      </c>
      <c r="K83" s="11">
        <v>74.760000000000005</v>
      </c>
      <c r="L83" s="16">
        <f t="shared" si="9"/>
        <v>74.760000000000275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/>
      <c r="AB83" s="11"/>
      <c r="AC83" s="11"/>
      <c r="AD83" s="11">
        <v>12</v>
      </c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1560</v>
      </c>
      <c r="F84" s="8" t="s">
        <v>42</v>
      </c>
      <c r="G84" s="9">
        <v>0.6333333333333333</v>
      </c>
      <c r="H84" s="9">
        <v>0.64166666666666672</v>
      </c>
      <c r="I84" s="10">
        <f t="shared" si="8"/>
        <v>8.3333333333334147E-3</v>
      </c>
      <c r="J84" s="11">
        <v>5</v>
      </c>
      <c r="K84" s="11">
        <v>79.53</v>
      </c>
      <c r="L84" s="16">
        <f t="shared" si="9"/>
        <v>79.52999999999922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2</v>
      </c>
      <c r="W84" s="12"/>
      <c r="X84" s="11"/>
      <c r="Y84" s="11"/>
      <c r="Z84" s="11"/>
      <c r="AA84" s="11"/>
      <c r="AB84" s="11">
        <v>12</v>
      </c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1561</v>
      </c>
      <c r="F85" s="8" t="s">
        <v>42</v>
      </c>
      <c r="G85" s="9">
        <v>0.64027777777777772</v>
      </c>
      <c r="H85" s="9">
        <v>0.64583333333333337</v>
      </c>
      <c r="I85" s="10">
        <f t="shared" si="8"/>
        <v>5.5555555555556468E-3</v>
      </c>
      <c r="J85" s="11">
        <v>5</v>
      </c>
      <c r="K85" s="11">
        <v>82.24</v>
      </c>
      <c r="L85" s="16">
        <f t="shared" si="9"/>
        <v>123.35999999999797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2</v>
      </c>
      <c r="W85" s="12"/>
      <c r="X85" s="11"/>
      <c r="Y85" s="11"/>
      <c r="Z85" s="11"/>
      <c r="AA85" s="11"/>
      <c r="AB85" s="11"/>
      <c r="AC85" s="11"/>
      <c r="AD85" s="11">
        <v>8</v>
      </c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1562</v>
      </c>
      <c r="F86" s="8" t="s">
        <v>42</v>
      </c>
      <c r="G86" s="9">
        <v>0.65277777777777779</v>
      </c>
      <c r="H86" s="9">
        <v>0.65694444444444444</v>
      </c>
      <c r="I86" s="10">
        <f t="shared" si="8"/>
        <v>4.1666666666666519E-3</v>
      </c>
      <c r="J86" s="11">
        <v>5</v>
      </c>
      <c r="K86" s="11">
        <v>79.290000000000006</v>
      </c>
      <c r="L86" s="16">
        <f t="shared" si="9"/>
        <v>158.58000000000058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/>
      <c r="Y86" s="11"/>
      <c r="Z86" s="11"/>
      <c r="AA86" s="11"/>
      <c r="AB86" s="11"/>
      <c r="AC86" s="11"/>
      <c r="AD86" s="11">
        <v>6</v>
      </c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1563</v>
      </c>
      <c r="F87" s="8" t="s">
        <v>42</v>
      </c>
      <c r="G87" s="9">
        <v>0.65972222222222221</v>
      </c>
      <c r="H87" s="9">
        <v>0.66597222222222219</v>
      </c>
      <c r="I87" s="10">
        <f t="shared" si="8"/>
        <v>6.2499999999999778E-3</v>
      </c>
      <c r="J87" s="11">
        <v>5</v>
      </c>
      <c r="K87" s="11">
        <v>78.900000000000006</v>
      </c>
      <c r="L87" s="16">
        <f t="shared" si="9"/>
        <v>105.20000000000039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2</v>
      </c>
      <c r="W87" s="12"/>
      <c r="X87" s="11"/>
      <c r="Y87" s="11"/>
      <c r="Z87" s="11"/>
      <c r="AA87" s="11"/>
      <c r="AB87" s="11"/>
      <c r="AC87" s="11"/>
      <c r="AD87" s="11">
        <v>9</v>
      </c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1564</v>
      </c>
      <c r="F88" s="8" t="s">
        <v>42</v>
      </c>
      <c r="G88" s="9">
        <v>0.67083333333333328</v>
      </c>
      <c r="H88" s="9">
        <v>0.67638888888888893</v>
      </c>
      <c r="I88" s="10">
        <f t="shared" si="8"/>
        <v>5.5555555555556468E-3</v>
      </c>
      <c r="J88" s="11">
        <v>5</v>
      </c>
      <c r="K88" s="11">
        <v>79.67</v>
      </c>
      <c r="L88" s="16">
        <f t="shared" si="9"/>
        <v>119.50499999999805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2</v>
      </c>
      <c r="W88" s="12"/>
      <c r="X88" s="11"/>
      <c r="Y88" s="11"/>
      <c r="Z88" s="11"/>
      <c r="AA88" s="11"/>
      <c r="AB88" s="11"/>
      <c r="AC88" s="11"/>
      <c r="AD88" s="11">
        <v>8</v>
      </c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1565</v>
      </c>
      <c r="F89" s="8" t="s">
        <v>42</v>
      </c>
      <c r="G89" s="9">
        <v>0.68055555555555558</v>
      </c>
      <c r="H89" s="9">
        <v>0.68541666666666667</v>
      </c>
      <c r="I89" s="10">
        <f t="shared" si="8"/>
        <v>4.8611111111110938E-3</v>
      </c>
      <c r="J89" s="11">
        <v>5</v>
      </c>
      <c r="K89" s="11">
        <v>79.84</v>
      </c>
      <c r="L89" s="16">
        <f t="shared" si="9"/>
        <v>136.86857142857193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2</v>
      </c>
      <c r="W89" s="12"/>
      <c r="X89" s="11"/>
      <c r="Y89" s="11"/>
      <c r="Z89" s="11"/>
      <c r="AA89" s="11"/>
      <c r="AB89" s="11"/>
      <c r="AC89" s="11"/>
      <c r="AD89" s="11">
        <v>7</v>
      </c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1566</v>
      </c>
      <c r="F90" s="8" t="s">
        <v>42</v>
      </c>
      <c r="G90" s="9">
        <v>0.69027777777777777</v>
      </c>
      <c r="H90" s="9">
        <v>0.69513888888888886</v>
      </c>
      <c r="I90" s="10">
        <f t="shared" si="8"/>
        <v>4.8611111111110938E-3</v>
      </c>
      <c r="J90" s="11">
        <v>5</v>
      </c>
      <c r="K90" s="11">
        <v>80.2</v>
      </c>
      <c r="L90" s="16">
        <f t="shared" si="9"/>
        <v>137.48571428571478</v>
      </c>
      <c r="M90" s="11"/>
      <c r="N90" s="11"/>
      <c r="O90" s="11"/>
      <c r="P90" s="11"/>
      <c r="Q90" s="11"/>
      <c r="R90" s="12"/>
      <c r="S90" s="12"/>
      <c r="T90" s="11"/>
      <c r="U90" s="11"/>
      <c r="V90" s="12">
        <v>2</v>
      </c>
      <c r="W90" s="12"/>
      <c r="X90" s="11"/>
      <c r="Y90" s="11"/>
      <c r="Z90" s="11"/>
      <c r="AA90" s="11"/>
      <c r="AB90" s="11"/>
      <c r="AC90" s="11"/>
      <c r="AD90" s="11">
        <v>7</v>
      </c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1567</v>
      </c>
      <c r="F91" s="8" t="s">
        <v>42</v>
      </c>
      <c r="G91" s="9">
        <v>0.69930555555555551</v>
      </c>
      <c r="H91" s="9">
        <v>0.70486111111111116</v>
      </c>
      <c r="I91" s="10">
        <f t="shared" si="8"/>
        <v>5.5555555555556468E-3</v>
      </c>
      <c r="J91" s="11">
        <v>5</v>
      </c>
      <c r="K91" s="11">
        <v>78.64</v>
      </c>
      <c r="L91" s="16">
        <f t="shared" si="9"/>
        <v>117.95999999999806</v>
      </c>
      <c r="M91" s="11"/>
      <c r="N91" s="11"/>
      <c r="O91" s="11"/>
      <c r="P91" s="11"/>
      <c r="Q91" s="11"/>
      <c r="R91" s="12"/>
      <c r="S91" s="12"/>
      <c r="T91" s="11"/>
      <c r="U91" s="11"/>
      <c r="V91" s="12">
        <v>2</v>
      </c>
      <c r="W91" s="12"/>
      <c r="X91" s="11"/>
      <c r="Y91" s="11"/>
      <c r="Z91" s="11"/>
      <c r="AA91" s="11"/>
      <c r="AB91" s="11"/>
      <c r="AC91" s="11"/>
      <c r="AD91" s="11">
        <v>8</v>
      </c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1568</v>
      </c>
      <c r="F92" s="8" t="s">
        <v>42</v>
      </c>
      <c r="G92" s="9">
        <v>0.70833333333333337</v>
      </c>
      <c r="H92" s="9">
        <v>0.71250000000000002</v>
      </c>
      <c r="I92" s="10">
        <f t="shared" si="8"/>
        <v>4.1666666666666519E-3</v>
      </c>
      <c r="J92" s="11">
        <v>5</v>
      </c>
      <c r="K92" s="11">
        <v>80.349999999999994</v>
      </c>
      <c r="L92" s="16">
        <f t="shared" si="9"/>
        <v>160.70000000000056</v>
      </c>
      <c r="M92" s="11"/>
      <c r="N92" s="11"/>
      <c r="O92" s="11"/>
      <c r="P92" s="11"/>
      <c r="Q92" s="11"/>
      <c r="R92" s="12"/>
      <c r="S92" s="12"/>
      <c r="T92" s="11"/>
      <c r="U92" s="11"/>
      <c r="V92" s="12">
        <v>2</v>
      </c>
      <c r="W92" s="12"/>
      <c r="X92" s="11"/>
      <c r="Y92" s="11"/>
      <c r="Z92" s="11"/>
      <c r="AA92" s="11"/>
      <c r="AB92" s="11"/>
      <c r="AC92" s="11"/>
      <c r="AD92" s="11">
        <v>6</v>
      </c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1569</v>
      </c>
      <c r="F93" s="8" t="s">
        <v>42</v>
      </c>
      <c r="G93" s="9">
        <v>0.71180555555555558</v>
      </c>
      <c r="H93" s="9">
        <v>0.71736111111111112</v>
      </c>
      <c r="I93" s="10">
        <f t="shared" si="8"/>
        <v>5.5555555555555358E-3</v>
      </c>
      <c r="J93" s="11">
        <v>5</v>
      </c>
      <c r="K93" s="11">
        <v>79.98</v>
      </c>
      <c r="L93" s="16">
        <f t="shared" si="9"/>
        <v>119.97000000000043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2</v>
      </c>
      <c r="W93" s="12"/>
      <c r="X93" s="11"/>
      <c r="Y93" s="11"/>
      <c r="Z93" s="11"/>
      <c r="AA93" s="11"/>
      <c r="AB93" s="11">
        <v>8</v>
      </c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1570</v>
      </c>
      <c r="F94" s="8" t="s">
        <v>42</v>
      </c>
      <c r="G94" s="9">
        <v>0.71666666666666667</v>
      </c>
      <c r="H94" s="9">
        <v>0.72152777777777777</v>
      </c>
      <c r="I94" s="10">
        <f t="shared" si="8"/>
        <v>4.8611111111110938E-3</v>
      </c>
      <c r="J94" s="11">
        <v>5</v>
      </c>
      <c r="K94" s="11">
        <v>78.81</v>
      </c>
      <c r="L94" s="16">
        <f t="shared" si="9"/>
        <v>135.10285714285763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2</v>
      </c>
      <c r="W94" s="12"/>
      <c r="X94" s="11"/>
      <c r="Y94" s="11"/>
      <c r="Z94" s="11"/>
      <c r="AA94" s="11"/>
      <c r="AB94" s="11"/>
      <c r="AC94" s="11"/>
      <c r="AD94" s="11">
        <v>7</v>
      </c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1571</v>
      </c>
      <c r="F95" s="8" t="s">
        <v>42</v>
      </c>
      <c r="G95" s="9">
        <v>0.72152777777777777</v>
      </c>
      <c r="H95" s="9">
        <v>0.72777777777777775</v>
      </c>
      <c r="I95" s="10">
        <f t="shared" si="8"/>
        <v>6.2499999999999778E-3</v>
      </c>
      <c r="J95" s="11">
        <v>5</v>
      </c>
      <c r="K95" s="11">
        <v>79.599999999999994</v>
      </c>
      <c r="L95" s="16">
        <f t="shared" si="9"/>
        <v>106.13333333333371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2</v>
      </c>
      <c r="W95" s="12"/>
      <c r="X95" s="11"/>
      <c r="Y95" s="11"/>
      <c r="Z95" s="11"/>
      <c r="AA95" s="11"/>
      <c r="AB95" s="11">
        <v>9</v>
      </c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1572</v>
      </c>
      <c r="F96" s="8" t="s">
        <v>42</v>
      </c>
      <c r="G96" s="9">
        <v>0.72569444444444442</v>
      </c>
      <c r="H96" s="9">
        <v>0.73124999999999996</v>
      </c>
      <c r="I96" s="10">
        <f t="shared" si="8"/>
        <v>5.5555555555555358E-3</v>
      </c>
      <c r="J96" s="11">
        <v>5</v>
      </c>
      <c r="K96" s="11">
        <v>79.16</v>
      </c>
      <c r="L96" s="16">
        <f t="shared" si="9"/>
        <v>118.74000000000042</v>
      </c>
      <c r="M96" s="11"/>
      <c r="N96" s="11"/>
      <c r="O96" s="11"/>
      <c r="P96" s="11"/>
      <c r="Q96" s="11"/>
      <c r="R96" s="12"/>
      <c r="S96" s="12"/>
      <c r="T96" s="11"/>
      <c r="U96" s="11"/>
      <c r="V96" s="12">
        <v>2</v>
      </c>
      <c r="W96" s="12"/>
      <c r="X96" s="11"/>
      <c r="Y96" s="11"/>
      <c r="Z96" s="11"/>
      <c r="AA96" s="11"/>
      <c r="AB96" s="11"/>
      <c r="AC96" s="11"/>
      <c r="AD96" s="11">
        <v>7</v>
      </c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1573</v>
      </c>
      <c r="F97" s="8" t="s">
        <v>42</v>
      </c>
      <c r="G97" s="9">
        <v>0.7319444444444444</v>
      </c>
      <c r="H97" s="9">
        <v>0.73958333333333337</v>
      </c>
      <c r="I97" s="10">
        <f t="shared" si="8"/>
        <v>7.6388888888889728E-3</v>
      </c>
      <c r="J97" s="11">
        <v>5</v>
      </c>
      <c r="K97" s="11">
        <v>81.180000000000007</v>
      </c>
      <c r="L97" s="16">
        <f t="shared" si="9"/>
        <v>88.559999999999036</v>
      </c>
      <c r="M97" s="11"/>
      <c r="N97" s="11"/>
      <c r="O97" s="11"/>
      <c r="P97" s="11"/>
      <c r="Q97" s="11"/>
      <c r="R97" s="12"/>
      <c r="S97" s="12"/>
      <c r="T97" s="11"/>
      <c r="U97" s="11"/>
      <c r="V97" s="12">
        <v>2</v>
      </c>
      <c r="W97" s="12"/>
      <c r="X97" s="11"/>
      <c r="Y97" s="11"/>
      <c r="Z97" s="11"/>
      <c r="AA97" s="11"/>
      <c r="AB97" s="11">
        <v>11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1574</v>
      </c>
      <c r="F98" s="8" t="s">
        <v>42</v>
      </c>
      <c r="G98" s="9">
        <v>0.74583333333333335</v>
      </c>
      <c r="H98" s="9">
        <v>0.75069444444444444</v>
      </c>
      <c r="I98" s="10">
        <f t="shared" si="8"/>
        <v>4.8611111111110938E-3</v>
      </c>
      <c r="J98" s="11">
        <v>5</v>
      </c>
      <c r="K98" s="11">
        <v>82.34</v>
      </c>
      <c r="L98" s="16">
        <f t="shared" si="9"/>
        <v>141.1542857142862</v>
      </c>
      <c r="M98" s="11"/>
      <c r="N98" s="11"/>
      <c r="O98" s="11"/>
      <c r="P98" s="11"/>
      <c r="Q98" s="11"/>
      <c r="R98" s="12"/>
      <c r="S98" s="12"/>
      <c r="T98" s="11"/>
      <c r="U98" s="11"/>
      <c r="V98" s="12">
        <v>2</v>
      </c>
      <c r="W98" s="12"/>
      <c r="X98" s="11"/>
      <c r="Y98" s="11"/>
      <c r="Z98" s="11"/>
      <c r="AA98" s="11"/>
      <c r="AB98" s="11">
        <v>7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1575</v>
      </c>
      <c r="F99" s="8" t="s">
        <v>42</v>
      </c>
      <c r="G99" s="9">
        <v>0.75694444444444442</v>
      </c>
      <c r="H99" s="9">
        <v>0.76180555555555551</v>
      </c>
      <c r="I99" s="10">
        <f t="shared" si="8"/>
        <v>4.8611111111110938E-3</v>
      </c>
      <c r="J99" s="11">
        <v>5</v>
      </c>
      <c r="K99" s="11">
        <v>80.72</v>
      </c>
      <c r="L99" s="16">
        <f t="shared" si="9"/>
        <v>138.37714285714335</v>
      </c>
      <c r="M99" s="11"/>
      <c r="N99" s="11"/>
      <c r="O99" s="11"/>
      <c r="P99" s="11"/>
      <c r="Q99" s="11"/>
      <c r="R99" s="12"/>
      <c r="S99" s="12"/>
      <c r="T99" s="11"/>
      <c r="U99" s="11"/>
      <c r="V99" s="12">
        <v>2</v>
      </c>
      <c r="W99" s="12"/>
      <c r="X99" s="11"/>
      <c r="Y99" s="11"/>
      <c r="Z99" s="11"/>
      <c r="AA99" s="11"/>
      <c r="AB99" s="11">
        <v>7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1576</v>
      </c>
      <c r="F100" s="8" t="s">
        <v>42</v>
      </c>
      <c r="G100" s="9">
        <v>0.76875000000000004</v>
      </c>
      <c r="H100" s="9">
        <v>0.77430555555555558</v>
      </c>
      <c r="I100" s="10">
        <f t="shared" si="8"/>
        <v>5.5555555555555358E-3</v>
      </c>
      <c r="J100" s="11">
        <v>5</v>
      </c>
      <c r="K100" s="11">
        <v>80.209999999999994</v>
      </c>
      <c r="L100" s="16">
        <f t="shared" si="9"/>
        <v>120.31500000000041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>
        <v>2</v>
      </c>
      <c r="W100" s="12"/>
      <c r="X100" s="11"/>
      <c r="Y100" s="11"/>
      <c r="Z100" s="11"/>
      <c r="AA100" s="11"/>
      <c r="AB100" s="11">
        <v>8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1577</v>
      </c>
      <c r="F101" s="8" t="s">
        <v>42</v>
      </c>
      <c r="G101" s="9">
        <v>0.40486111111111112</v>
      </c>
      <c r="H101" s="9">
        <v>0.44236111111111109</v>
      </c>
      <c r="I101" s="10">
        <f t="shared" si="8"/>
        <v>3.7499999999999978E-2</v>
      </c>
      <c r="J101" s="11">
        <v>5</v>
      </c>
      <c r="K101" s="11">
        <f>0.03*733</f>
        <v>21.99</v>
      </c>
      <c r="L101" s="16">
        <f t="shared" si="9"/>
        <v>4.8866666666666694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>
        <v>2</v>
      </c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355</v>
      </c>
      <c r="F102" s="8" t="s">
        <v>42</v>
      </c>
      <c r="G102" s="9">
        <v>0.57361111111111107</v>
      </c>
      <c r="H102" s="9">
        <v>0.58472222222222225</v>
      </c>
      <c r="I102" s="10">
        <f t="shared" si="8"/>
        <v>1.1111111111111183E-2</v>
      </c>
      <c r="J102" s="11">
        <v>5</v>
      </c>
      <c r="K102" s="11">
        <v>69.849999999999994</v>
      </c>
      <c r="L102" s="16">
        <f t="shared" si="9"/>
        <v>52.387499999999655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>
        <v>4</v>
      </c>
      <c r="X102" s="11"/>
      <c r="Y102" s="11"/>
      <c r="Z102" s="11"/>
      <c r="AA102" s="11"/>
      <c r="AB102" s="11"/>
      <c r="AC102" s="11"/>
      <c r="AD102" s="11">
        <v>16</v>
      </c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356</v>
      </c>
      <c r="F103" s="8" t="s">
        <v>42</v>
      </c>
      <c r="G103" s="9">
        <v>0.57499999999999996</v>
      </c>
      <c r="H103" s="9">
        <v>0.58611111111111114</v>
      </c>
      <c r="I103" s="10">
        <f t="shared" si="8"/>
        <v>1.1111111111111183E-2</v>
      </c>
      <c r="J103" s="11">
        <v>5</v>
      </c>
      <c r="K103" s="11">
        <v>69.28</v>
      </c>
      <c r="L103" s="16">
        <f t="shared" si="9"/>
        <v>51.959999999999667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4</v>
      </c>
      <c r="X103" s="11"/>
      <c r="Y103" s="11"/>
      <c r="Z103" s="11"/>
      <c r="AA103" s="11"/>
      <c r="AB103" s="11"/>
      <c r="AC103" s="11">
        <v>16</v>
      </c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357</v>
      </c>
      <c r="F104" s="8" t="s">
        <v>42</v>
      </c>
      <c r="G104" s="9">
        <v>0.58958333333333335</v>
      </c>
      <c r="H104" s="9">
        <v>0.59791666666666665</v>
      </c>
      <c r="I104" s="10">
        <f t="shared" si="8"/>
        <v>8.3333333333333037E-3</v>
      </c>
      <c r="J104" s="11">
        <v>5</v>
      </c>
      <c r="K104" s="11">
        <v>66.2</v>
      </c>
      <c r="L104" s="16">
        <f t="shared" si="9"/>
        <v>66.20000000000023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>
        <v>4</v>
      </c>
      <c r="X104" s="11"/>
      <c r="Y104" s="11"/>
      <c r="Z104" s="11"/>
      <c r="AA104" s="11"/>
      <c r="AB104" s="11"/>
      <c r="AC104" s="11">
        <v>12</v>
      </c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358</v>
      </c>
      <c r="F105" s="8" t="s">
        <v>42</v>
      </c>
      <c r="G105" s="9">
        <v>0.60069444444444442</v>
      </c>
      <c r="H105" s="9">
        <v>0.60972222222222228</v>
      </c>
      <c r="I105" s="10">
        <f t="shared" si="8"/>
        <v>9.0277777777778567E-3</v>
      </c>
      <c r="J105" s="11">
        <v>5</v>
      </c>
      <c r="K105" s="11">
        <v>66.52</v>
      </c>
      <c r="L105" s="16">
        <f t="shared" si="9"/>
        <v>61.403076923076384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4</v>
      </c>
      <c r="X105" s="11"/>
      <c r="Y105" s="11"/>
      <c r="Z105" s="11"/>
      <c r="AA105" s="11"/>
      <c r="AB105" s="11"/>
      <c r="AC105" s="11">
        <v>13</v>
      </c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1578</v>
      </c>
      <c r="F106" s="8" t="s">
        <v>42</v>
      </c>
      <c r="G106" s="9">
        <v>0.62291666666666667</v>
      </c>
      <c r="H106" s="9">
        <v>0.63194444444444442</v>
      </c>
      <c r="I106" s="10">
        <f t="shared" si="8"/>
        <v>9.0277777777777457E-3</v>
      </c>
      <c r="J106" s="11">
        <v>5</v>
      </c>
      <c r="K106" s="11">
        <v>71.83</v>
      </c>
      <c r="L106" s="16">
        <f t="shared" si="9"/>
        <v>66.304615384615616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>
        <v>4</v>
      </c>
      <c r="X106" s="11"/>
      <c r="Y106" s="11"/>
      <c r="Z106" s="11"/>
      <c r="AA106" s="11"/>
      <c r="AB106" s="11"/>
      <c r="AC106" s="11">
        <v>13</v>
      </c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1579</v>
      </c>
      <c r="F107" s="8" t="s">
        <v>42</v>
      </c>
      <c r="G107" s="9">
        <v>0.63541666666666663</v>
      </c>
      <c r="H107" s="9">
        <v>0.64513888888888893</v>
      </c>
      <c r="I107" s="10">
        <f t="shared" si="8"/>
        <v>9.7222222222222987E-3</v>
      </c>
      <c r="J107" s="11">
        <v>5</v>
      </c>
      <c r="K107" s="11">
        <v>71.83</v>
      </c>
      <c r="L107" s="16">
        <f t="shared" si="9"/>
        <v>61.568571428570941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>
        <v>4</v>
      </c>
      <c r="X107" s="11"/>
      <c r="Y107" s="11"/>
      <c r="Z107" s="11"/>
      <c r="AA107" s="11"/>
      <c r="AB107" s="11"/>
      <c r="AC107" s="11">
        <v>14</v>
      </c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1580</v>
      </c>
      <c r="F108" s="8" t="s">
        <v>42</v>
      </c>
      <c r="G108" s="9">
        <v>0.71180555555555558</v>
      </c>
      <c r="H108" s="9">
        <v>0.72083333333333333</v>
      </c>
      <c r="I108" s="10">
        <f t="shared" si="8"/>
        <v>9.0277777777777457E-3</v>
      </c>
      <c r="J108" s="11">
        <v>5</v>
      </c>
      <c r="K108" s="11">
        <v>71.930000000000007</v>
      </c>
      <c r="L108" s="16">
        <f t="shared" si="9"/>
        <v>66.396923076923315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>
        <v>4</v>
      </c>
      <c r="X108" s="11"/>
      <c r="Y108" s="11"/>
      <c r="Z108" s="11"/>
      <c r="AA108" s="11"/>
      <c r="AB108" s="11"/>
      <c r="AC108" s="11">
        <v>13</v>
      </c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1581</v>
      </c>
      <c r="F109" s="8" t="s">
        <v>42</v>
      </c>
      <c r="G109" s="9">
        <v>0.72499999999999998</v>
      </c>
      <c r="H109" s="9">
        <v>0.73402777777777772</v>
      </c>
      <c r="I109" s="10">
        <f t="shared" si="8"/>
        <v>9.0277777777777457E-3</v>
      </c>
      <c r="J109" s="11">
        <v>5</v>
      </c>
      <c r="K109" s="11">
        <v>71.930000000000007</v>
      </c>
      <c r="L109" s="16">
        <f t="shared" si="9"/>
        <v>66.396923076923315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>
        <v>4</v>
      </c>
      <c r="X109" s="11"/>
      <c r="Y109" s="11"/>
      <c r="Z109" s="11"/>
      <c r="AA109" s="11"/>
      <c r="AB109" s="11"/>
      <c r="AC109" s="11">
        <v>13</v>
      </c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1582</v>
      </c>
      <c r="F110" s="8" t="s">
        <v>42</v>
      </c>
      <c r="G110" s="9">
        <v>0.73750000000000004</v>
      </c>
      <c r="H110" s="9">
        <v>0.74722222222222223</v>
      </c>
      <c r="I110" s="10">
        <f t="shared" ref="I110:I142" si="10">H110-G110</f>
        <v>9.7222222222221877E-3</v>
      </c>
      <c r="J110" s="11">
        <v>5</v>
      </c>
      <c r="K110" s="11">
        <v>72.05</v>
      </c>
      <c r="L110" s="16">
        <f t="shared" ref="L110:L142" si="11">IFERROR(((K110/(J110*I110)/24)),"0")</f>
        <v>61.757142857143073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>
        <v>4</v>
      </c>
      <c r="X110" s="11"/>
      <c r="Y110" s="11"/>
      <c r="Z110" s="11"/>
      <c r="AA110" s="11"/>
      <c r="AB110" s="11"/>
      <c r="AC110" s="11">
        <v>14</v>
      </c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1583</v>
      </c>
      <c r="F111" s="8" t="s">
        <v>42</v>
      </c>
      <c r="G111" s="9">
        <v>0.75</v>
      </c>
      <c r="H111" s="9">
        <v>0.75972222222222219</v>
      </c>
      <c r="I111" s="10">
        <f t="shared" si="10"/>
        <v>9.7222222222221877E-3</v>
      </c>
      <c r="J111" s="11">
        <v>5</v>
      </c>
      <c r="K111" s="11">
        <v>72.05</v>
      </c>
      <c r="L111" s="16">
        <f t="shared" si="11"/>
        <v>61.757142857143073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>
        <v>4</v>
      </c>
      <c r="X111" s="11"/>
      <c r="Y111" s="11"/>
      <c r="Z111" s="11"/>
      <c r="AA111" s="11"/>
      <c r="AB111" s="11"/>
      <c r="AC111" s="11">
        <v>14</v>
      </c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1584</v>
      </c>
      <c r="F112" s="8" t="s">
        <v>42</v>
      </c>
      <c r="G112" s="9">
        <v>0.7631944444444444</v>
      </c>
      <c r="H112" s="9">
        <v>0.7729166666666667</v>
      </c>
      <c r="I112" s="10">
        <f t="shared" si="10"/>
        <v>9.7222222222222987E-3</v>
      </c>
      <c r="J112" s="11">
        <v>5</v>
      </c>
      <c r="K112" s="11">
        <v>70.91</v>
      </c>
      <c r="L112" s="16">
        <f t="shared" si="11"/>
        <v>60.779999999999518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>
        <v>4</v>
      </c>
      <c r="X112" s="11"/>
      <c r="Y112" s="11"/>
      <c r="Z112" s="11"/>
      <c r="AA112" s="11"/>
      <c r="AB112" s="11"/>
      <c r="AC112" s="11">
        <v>14</v>
      </c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9" t="s">
        <v>1585</v>
      </c>
      <c r="F113" s="8" t="s">
        <v>42</v>
      </c>
      <c r="G113" s="9">
        <v>0.77916666666666667</v>
      </c>
      <c r="H113" s="9">
        <v>0.79166666666666663</v>
      </c>
      <c r="I113" s="10">
        <f t="shared" si="10"/>
        <v>1.2499999999999956E-2</v>
      </c>
      <c r="J113" s="11">
        <v>5</v>
      </c>
      <c r="K113" s="11">
        <v>108.63</v>
      </c>
      <c r="L113" s="16">
        <f t="shared" si="11"/>
        <v>72.420000000000258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>
        <v>4</v>
      </c>
      <c r="X113" s="11"/>
      <c r="Y113" s="11"/>
      <c r="Z113" s="11"/>
      <c r="AA113" s="11"/>
      <c r="AB113" s="11"/>
      <c r="AC113" s="11">
        <v>18</v>
      </c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/>
      <c r="F114" s="8" t="s">
        <v>42</v>
      </c>
      <c r="G114" s="9"/>
      <c r="H114" s="9"/>
      <c r="I114" s="10">
        <f t="shared" si="10"/>
        <v>0</v>
      </c>
      <c r="J114" s="11"/>
      <c r="K114" s="11"/>
      <c r="L114" s="16" t="str">
        <f t="shared" si="11"/>
        <v>0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 t="s">
        <v>1432</v>
      </c>
      <c r="E115" s="19" t="s">
        <v>542</v>
      </c>
      <c r="F115" s="8" t="s">
        <v>42</v>
      </c>
      <c r="G115" s="9">
        <v>0.37013888888888891</v>
      </c>
      <c r="H115" s="9">
        <v>0.3923611111111111</v>
      </c>
      <c r="I115" s="10">
        <f t="shared" si="10"/>
        <v>2.2222222222222199E-2</v>
      </c>
      <c r="J115" s="11">
        <v>5</v>
      </c>
      <c r="K115" s="11">
        <v>70.08</v>
      </c>
      <c r="L115" s="16">
        <f t="shared" si="11"/>
        <v>26.280000000000026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>
        <v>2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>
        <v>10.66</v>
      </c>
      <c r="AH115" s="11">
        <v>10.66</v>
      </c>
      <c r="AI115" s="11">
        <v>10.66</v>
      </c>
      <c r="AJ115" s="11"/>
      <c r="AK115" s="11"/>
      <c r="AL115" s="14"/>
    </row>
    <row r="116" spans="2:38" ht="25.05" customHeight="1">
      <c r="B116" s="13"/>
      <c r="C116" s="29"/>
      <c r="D116" s="30"/>
      <c r="E116" s="19" t="s">
        <v>543</v>
      </c>
      <c r="F116" s="8" t="s">
        <v>42</v>
      </c>
      <c r="G116" s="9">
        <v>0.39305555555555555</v>
      </c>
      <c r="H116" s="9">
        <v>0.41249999999999998</v>
      </c>
      <c r="I116" s="10">
        <f t="shared" si="10"/>
        <v>1.9444444444444431E-2</v>
      </c>
      <c r="J116" s="11">
        <v>5</v>
      </c>
      <c r="K116" s="11">
        <v>69.44</v>
      </c>
      <c r="L116" s="16">
        <f t="shared" si="11"/>
        <v>29.760000000000019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2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>
        <v>9.33</v>
      </c>
      <c r="AH116" s="11">
        <v>9.33</v>
      </c>
      <c r="AI116" s="11">
        <v>9.33</v>
      </c>
      <c r="AJ116" s="11"/>
      <c r="AK116" s="11"/>
      <c r="AL116" s="14"/>
    </row>
    <row r="117" spans="2:38" ht="25.05" customHeight="1">
      <c r="B117" s="13"/>
      <c r="C117" s="29"/>
      <c r="D117" s="30"/>
      <c r="E117" s="19" t="s">
        <v>1586</v>
      </c>
      <c r="F117" s="8" t="s">
        <v>42</v>
      </c>
      <c r="G117" s="9">
        <v>0.41319444444444442</v>
      </c>
      <c r="H117" s="9">
        <v>0.44722222222222224</v>
      </c>
      <c r="I117" s="10">
        <f t="shared" si="10"/>
        <v>3.4027777777777823E-2</v>
      </c>
      <c r="J117" s="11">
        <v>5</v>
      </c>
      <c r="K117" s="11">
        <v>69.459999999999994</v>
      </c>
      <c r="L117" s="16">
        <f t="shared" si="11"/>
        <v>17.010612244897935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>
        <v>2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>
        <v>16.329999999999998</v>
      </c>
      <c r="AH117" s="11">
        <v>16.329999999999998</v>
      </c>
      <c r="AI117" s="11">
        <v>16.329999999999998</v>
      </c>
      <c r="AJ117" s="11"/>
      <c r="AK117" s="11"/>
      <c r="AL117" s="14"/>
    </row>
    <row r="118" spans="2:38" ht="25.05" customHeight="1">
      <c r="B118" s="13"/>
      <c r="C118" s="29"/>
      <c r="D118" s="30"/>
      <c r="E118" s="19" t="s">
        <v>1587</v>
      </c>
      <c r="F118" s="8" t="s">
        <v>42</v>
      </c>
      <c r="G118" s="9">
        <v>0.49583333333333335</v>
      </c>
      <c r="H118" s="9">
        <v>0.5131944444444444</v>
      </c>
      <c r="I118" s="10">
        <f t="shared" si="10"/>
        <v>1.7361111111111049E-2</v>
      </c>
      <c r="J118" s="11">
        <v>5</v>
      </c>
      <c r="K118" s="11">
        <v>70.5</v>
      </c>
      <c r="L118" s="16">
        <f t="shared" si="11"/>
        <v>33.840000000000124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>
        <v>2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>
        <v>8.33</v>
      </c>
      <c r="AH118" s="11">
        <v>8.33</v>
      </c>
      <c r="AI118" s="11">
        <v>8.33</v>
      </c>
      <c r="AJ118" s="11"/>
      <c r="AK118" s="11"/>
      <c r="AL118" s="14"/>
    </row>
    <row r="119" spans="2:38" ht="25.05" customHeight="1">
      <c r="B119" s="13"/>
      <c r="C119" s="29"/>
      <c r="D119" s="30"/>
      <c r="E119" s="19" t="s">
        <v>1588</v>
      </c>
      <c r="F119" s="8" t="s">
        <v>42</v>
      </c>
      <c r="G119" s="9">
        <v>0.57499999999999996</v>
      </c>
      <c r="H119" s="9">
        <v>0.59375</v>
      </c>
      <c r="I119" s="10">
        <f t="shared" si="10"/>
        <v>1.8750000000000044E-2</v>
      </c>
      <c r="J119" s="11">
        <v>5</v>
      </c>
      <c r="K119" s="11">
        <v>70.41</v>
      </c>
      <c r="L119" s="16">
        <f t="shared" si="11"/>
        <v>31.293333333333255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>
        <v>2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>
        <v>9</v>
      </c>
      <c r="AH119" s="11">
        <v>9</v>
      </c>
      <c r="AI119" s="11">
        <v>8</v>
      </c>
      <c r="AJ119" s="11"/>
      <c r="AK119" s="11"/>
      <c r="AL119" s="14"/>
    </row>
    <row r="120" spans="2:38" ht="25.05" customHeight="1">
      <c r="B120" s="13"/>
      <c r="C120" s="29"/>
      <c r="D120" s="30"/>
      <c r="E120" s="19" t="s">
        <v>1589</v>
      </c>
      <c r="F120" s="8" t="s">
        <v>42</v>
      </c>
      <c r="G120" s="9">
        <v>0.79027777777777775</v>
      </c>
      <c r="H120" s="9">
        <v>0.79722222222222228</v>
      </c>
      <c r="I120" s="10">
        <f t="shared" si="10"/>
        <v>6.9444444444445308E-3</v>
      </c>
      <c r="J120" s="11">
        <v>4</v>
      </c>
      <c r="K120" s="11">
        <v>23.68</v>
      </c>
      <c r="L120" s="16">
        <f t="shared" si="11"/>
        <v>35.519999999999563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>
        <v>2</v>
      </c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 t="s">
        <v>1590</v>
      </c>
      <c r="F121" s="8" t="s">
        <v>42</v>
      </c>
      <c r="G121" s="9">
        <v>0.75</v>
      </c>
      <c r="H121" s="9">
        <v>0.7583333333333333</v>
      </c>
      <c r="I121" s="10">
        <f t="shared" si="10"/>
        <v>8.3333333333333037E-3</v>
      </c>
      <c r="J121" s="11">
        <v>4</v>
      </c>
      <c r="K121" s="11">
        <v>90</v>
      </c>
      <c r="L121" s="16">
        <f t="shared" si="11"/>
        <v>112.5000000000004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>
        <v>2</v>
      </c>
      <c r="W121" s="12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30"/>
      <c r="E122" s="19" t="s">
        <v>1444</v>
      </c>
      <c r="F122" s="8" t="s">
        <v>42</v>
      </c>
      <c r="G122" s="9">
        <v>0.75902777777777775</v>
      </c>
      <c r="H122" s="9">
        <v>0.76944444444444449</v>
      </c>
      <c r="I122" s="10">
        <f t="shared" si="10"/>
        <v>1.0416666666666741E-2</v>
      </c>
      <c r="J122" s="11">
        <v>4</v>
      </c>
      <c r="K122" s="11">
        <v>67.92</v>
      </c>
      <c r="L122" s="16">
        <f t="shared" si="11"/>
        <v>67.919999999999519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/>
      <c r="W122" s="12">
        <v>4</v>
      </c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/>
      <c r="E123" s="19" t="s">
        <v>1445</v>
      </c>
      <c r="F123" s="8" t="s">
        <v>42</v>
      </c>
      <c r="G123" s="9">
        <v>0.77500000000000002</v>
      </c>
      <c r="H123" s="9">
        <v>0.78611111111111109</v>
      </c>
      <c r="I123" s="10">
        <f t="shared" si="10"/>
        <v>1.1111111111111072E-2</v>
      </c>
      <c r="J123" s="11">
        <v>4</v>
      </c>
      <c r="K123" s="11">
        <v>67.52</v>
      </c>
      <c r="L123" s="16">
        <f t="shared" si="11"/>
        <v>63.300000000000217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/>
      <c r="W123" s="12">
        <v>4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2:38" ht="25.05" customHeight="1">
      <c r="B124" s="13"/>
      <c r="C124" s="29"/>
      <c r="D124" s="30"/>
      <c r="E124" s="17" t="s">
        <v>1591</v>
      </c>
      <c r="F124" s="8" t="s">
        <v>42</v>
      </c>
      <c r="G124" s="9">
        <v>0.55902777777777779</v>
      </c>
      <c r="H124" s="9">
        <v>0.57291666666666663</v>
      </c>
      <c r="I124" s="10">
        <f t="shared" si="10"/>
        <v>1.388888888888884E-2</v>
      </c>
      <c r="J124" s="11">
        <v>1</v>
      </c>
      <c r="K124" s="11">
        <f>0.03*3200</f>
        <v>96</v>
      </c>
      <c r="L124" s="16">
        <f t="shared" si="11"/>
        <v>288.00000000000102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/>
      <c r="W124" s="12">
        <v>10</v>
      </c>
      <c r="X124" s="11">
        <v>10</v>
      </c>
      <c r="Y124" s="11">
        <v>10</v>
      </c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/>
      <c r="E125" s="17" t="s">
        <v>1592</v>
      </c>
      <c r="F125" s="8" t="s">
        <v>42</v>
      </c>
      <c r="G125" s="9">
        <v>0.57361111111111107</v>
      </c>
      <c r="H125" s="9">
        <v>0.59305555555555556</v>
      </c>
      <c r="I125" s="10">
        <f t="shared" si="10"/>
        <v>1.9444444444444486E-2</v>
      </c>
      <c r="J125" s="11">
        <v>1</v>
      </c>
      <c r="K125" s="11">
        <f t="shared" ref="K125:K126" si="12">0.03*3200</f>
        <v>96</v>
      </c>
      <c r="L125" s="16">
        <f t="shared" si="11"/>
        <v>205.7142857142853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>
        <v>10</v>
      </c>
      <c r="X125" s="11">
        <v>14</v>
      </c>
      <c r="Y125" s="11">
        <v>14</v>
      </c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17" t="s">
        <v>1593</v>
      </c>
      <c r="F126" s="8" t="s">
        <v>42</v>
      </c>
      <c r="G126" s="9">
        <v>0.59444444444444444</v>
      </c>
      <c r="H126" s="9">
        <v>0.60486111111111107</v>
      </c>
      <c r="I126" s="10">
        <f t="shared" si="10"/>
        <v>1.041666666666663E-2</v>
      </c>
      <c r="J126" s="11">
        <v>1</v>
      </c>
      <c r="K126" s="11">
        <f t="shared" si="12"/>
        <v>96</v>
      </c>
      <c r="L126" s="16">
        <f t="shared" si="11"/>
        <v>384.00000000000136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>
        <v>10</v>
      </c>
      <c r="X126" s="11">
        <v>12.5</v>
      </c>
      <c r="Y126" s="11">
        <v>12.5</v>
      </c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0"/>
      <c r="E127" s="17" t="s">
        <v>1594</v>
      </c>
      <c r="F127" s="8" t="s">
        <v>42</v>
      </c>
      <c r="G127" s="9">
        <v>0.60555555555555551</v>
      </c>
      <c r="H127" s="9">
        <v>0.61944444444444446</v>
      </c>
      <c r="I127" s="10">
        <f t="shared" si="10"/>
        <v>1.3888888888888951E-2</v>
      </c>
      <c r="J127" s="11">
        <v>1</v>
      </c>
      <c r="K127" s="11">
        <v>96</v>
      </c>
      <c r="L127" s="16">
        <f t="shared" si="11"/>
        <v>287.99999999999869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/>
      <c r="W127" s="12">
        <v>10</v>
      </c>
      <c r="X127" s="11">
        <v>10</v>
      </c>
      <c r="Y127" s="11">
        <v>10</v>
      </c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0"/>
      <c r="E128" s="17" t="s">
        <v>1595</v>
      </c>
      <c r="F128" s="8" t="s">
        <v>42</v>
      </c>
      <c r="G128" s="9">
        <v>0.625</v>
      </c>
      <c r="H128" s="9">
        <v>0.63888888888888884</v>
      </c>
      <c r="I128" s="10">
        <f t="shared" si="10"/>
        <v>1.388888888888884E-2</v>
      </c>
      <c r="J128" s="11">
        <v>1</v>
      </c>
      <c r="K128" s="11">
        <v>89.46</v>
      </c>
      <c r="L128" s="16">
        <f t="shared" si="11"/>
        <v>268.38000000000096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/>
      <c r="W128" s="12">
        <v>10</v>
      </c>
      <c r="X128" s="11">
        <v>10</v>
      </c>
      <c r="Y128" s="11">
        <v>10</v>
      </c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4"/>
    </row>
    <row r="129" spans="1:38" ht="25.05" customHeight="1">
      <c r="B129" s="13"/>
      <c r="C129" s="29"/>
      <c r="D129" s="30"/>
      <c r="E129" s="19"/>
      <c r="F129" s="8" t="s">
        <v>42</v>
      </c>
      <c r="G129" s="9"/>
      <c r="H129" s="9"/>
      <c r="I129" s="10">
        <f t="shared" si="10"/>
        <v>0</v>
      </c>
      <c r="J129" s="11"/>
      <c r="K129" s="11"/>
      <c r="L129" s="16" t="str">
        <f t="shared" si="11"/>
        <v>0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/>
      <c r="W129" s="12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4"/>
    </row>
    <row r="130" spans="1:38" ht="25.05" customHeight="1">
      <c r="B130" s="13"/>
      <c r="C130" s="29"/>
      <c r="D130" s="30" t="s">
        <v>1596</v>
      </c>
      <c r="E130" s="19" t="s">
        <v>1597</v>
      </c>
      <c r="F130" s="8" t="s">
        <v>42</v>
      </c>
      <c r="G130" s="9">
        <v>0.58888888888888891</v>
      </c>
      <c r="H130" s="9">
        <v>0.59722222222222221</v>
      </c>
      <c r="I130" s="10">
        <f t="shared" si="10"/>
        <v>8.3333333333333037E-3</v>
      </c>
      <c r="J130" s="11">
        <v>1</v>
      </c>
      <c r="K130" s="11">
        <v>95.11</v>
      </c>
      <c r="L130" s="16">
        <f t="shared" si="11"/>
        <v>475.55000000000172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>
        <v>2</v>
      </c>
      <c r="W130" s="12"/>
      <c r="X130" s="11"/>
      <c r="Y130" s="11"/>
      <c r="Z130" s="11"/>
      <c r="AA130" s="11"/>
      <c r="AB130" s="11"/>
      <c r="AC130" s="11"/>
      <c r="AD130" s="11"/>
      <c r="AE130" s="11">
        <v>12</v>
      </c>
      <c r="AF130" s="11"/>
      <c r="AG130" s="11"/>
      <c r="AH130" s="11"/>
      <c r="AI130" s="11"/>
      <c r="AJ130" s="11"/>
      <c r="AK130" s="11"/>
      <c r="AL130" s="14"/>
    </row>
    <row r="131" spans="1:38" ht="25.05" customHeight="1">
      <c r="B131" s="13"/>
      <c r="C131" s="29"/>
      <c r="D131" s="30"/>
      <c r="E131" s="19" t="s">
        <v>1598</v>
      </c>
      <c r="F131" s="8" t="s">
        <v>42</v>
      </c>
      <c r="G131" s="9">
        <v>0.66180555555555554</v>
      </c>
      <c r="H131" s="9">
        <v>0.67013888888888884</v>
      </c>
      <c r="I131" s="10">
        <f t="shared" si="10"/>
        <v>8.3333333333333037E-3</v>
      </c>
      <c r="J131" s="11">
        <v>1</v>
      </c>
      <c r="K131" s="11">
        <v>8.2200000000000006</v>
      </c>
      <c r="L131" s="16">
        <f t="shared" si="11"/>
        <v>41.100000000000151</v>
      </c>
      <c r="M131" s="11"/>
      <c r="N131" s="11"/>
      <c r="O131" s="11"/>
      <c r="P131" s="11"/>
      <c r="Q131" s="11"/>
      <c r="R131" s="12"/>
      <c r="S131" s="12"/>
      <c r="T131" s="11"/>
      <c r="U131" s="11"/>
      <c r="V131" s="12">
        <v>2</v>
      </c>
      <c r="W131" s="12"/>
      <c r="X131" s="11"/>
      <c r="Y131" s="11"/>
      <c r="Z131" s="11"/>
      <c r="AA131" s="11"/>
      <c r="AB131" s="11"/>
      <c r="AC131" s="11">
        <v>12</v>
      </c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spans="1:38" ht="25.05" customHeight="1">
      <c r="B132" s="13"/>
      <c r="C132" s="29"/>
      <c r="D132" s="30"/>
      <c r="E132" s="19"/>
      <c r="F132" s="8" t="s">
        <v>42</v>
      </c>
      <c r="G132" s="9"/>
      <c r="H132" s="9"/>
      <c r="I132" s="10">
        <f t="shared" si="10"/>
        <v>0</v>
      </c>
      <c r="J132" s="11"/>
      <c r="K132" s="11"/>
      <c r="L132" s="16" t="str">
        <f t="shared" si="11"/>
        <v>0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/>
      <c r="W132" s="12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spans="1:38" ht="25.05" customHeight="1">
      <c r="B133" s="13"/>
      <c r="C133" s="29"/>
      <c r="D133" s="30" t="s">
        <v>1599</v>
      </c>
      <c r="E133" s="19" t="s">
        <v>1600</v>
      </c>
      <c r="F133" s="8" t="s">
        <v>42</v>
      </c>
      <c r="G133" s="9">
        <v>0.60555555555555551</v>
      </c>
      <c r="H133" s="9">
        <v>0.62847222222222221</v>
      </c>
      <c r="I133" s="10">
        <f t="shared" si="10"/>
        <v>2.2916666666666696E-2</v>
      </c>
      <c r="J133" s="11">
        <v>3</v>
      </c>
      <c r="K133" s="11">
        <v>100.46</v>
      </c>
      <c r="L133" s="16">
        <f t="shared" si="11"/>
        <v>60.884848484848398</v>
      </c>
      <c r="M133" s="11"/>
      <c r="N133" s="11"/>
      <c r="O133" s="11"/>
      <c r="P133" s="11"/>
      <c r="Q133" s="11"/>
      <c r="R133" s="12"/>
      <c r="S133" s="12"/>
      <c r="T133" s="11"/>
      <c r="U133" s="11"/>
      <c r="V133" s="12">
        <v>2</v>
      </c>
      <c r="W133" s="12"/>
      <c r="X133" s="11"/>
      <c r="Y133" s="11"/>
      <c r="Z133" s="11"/>
      <c r="AA133" s="11"/>
      <c r="AB133" s="11"/>
      <c r="AC133" s="11"/>
      <c r="AD133" s="11"/>
      <c r="AE133" s="11">
        <v>33</v>
      </c>
      <c r="AF133" s="11"/>
      <c r="AG133" s="11"/>
      <c r="AH133" s="11"/>
      <c r="AI133" s="11"/>
      <c r="AJ133" s="11"/>
      <c r="AK133" s="11"/>
      <c r="AL133" s="14"/>
    </row>
    <row r="134" spans="1:38" ht="25.05" customHeight="1">
      <c r="B134" s="13"/>
      <c r="C134" s="29"/>
      <c r="D134" s="30"/>
      <c r="E134" s="19" t="s">
        <v>1601</v>
      </c>
      <c r="F134" s="8" t="s">
        <v>42</v>
      </c>
      <c r="G134" s="9">
        <v>0.70486111111111116</v>
      </c>
      <c r="H134" s="9">
        <v>0.71111111111111114</v>
      </c>
      <c r="I134" s="10">
        <f t="shared" si="10"/>
        <v>6.2499999999999778E-3</v>
      </c>
      <c r="J134" s="11">
        <v>3</v>
      </c>
      <c r="K134" s="11">
        <v>22.76</v>
      </c>
      <c r="L134" s="16">
        <f t="shared" si="11"/>
        <v>50.57777777777796</v>
      </c>
      <c r="M134" s="11"/>
      <c r="N134" s="11"/>
      <c r="O134" s="11"/>
      <c r="P134" s="11"/>
      <c r="Q134" s="11"/>
      <c r="R134" s="12"/>
      <c r="S134" s="12"/>
      <c r="T134" s="11"/>
      <c r="U134" s="11"/>
      <c r="V134" s="12">
        <v>2</v>
      </c>
      <c r="W134" s="12"/>
      <c r="X134" s="11"/>
      <c r="Y134" s="11"/>
      <c r="Z134" s="11"/>
      <c r="AA134" s="11"/>
      <c r="AB134" s="11"/>
      <c r="AC134" s="11">
        <v>9</v>
      </c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spans="1:38" ht="25.05" customHeight="1">
      <c r="B135" s="13"/>
      <c r="C135" s="29"/>
      <c r="D135" s="30"/>
      <c r="E135" s="19" t="s">
        <v>1602</v>
      </c>
      <c r="F135" s="8" t="s">
        <v>42</v>
      </c>
      <c r="G135" s="9">
        <v>0.65138888888888891</v>
      </c>
      <c r="H135" s="9">
        <v>0.65763888888888888</v>
      </c>
      <c r="I135" s="10">
        <f t="shared" si="10"/>
        <v>6.2499999999999778E-3</v>
      </c>
      <c r="J135" s="11">
        <v>3</v>
      </c>
      <c r="K135" s="11">
        <v>55.73</v>
      </c>
      <c r="L135" s="16">
        <f t="shared" si="11"/>
        <v>123.84444444444487</v>
      </c>
      <c r="M135" s="11"/>
      <c r="N135" s="11"/>
      <c r="O135" s="11"/>
      <c r="P135" s="11"/>
      <c r="Q135" s="11"/>
      <c r="R135" s="12"/>
      <c r="S135" s="12"/>
      <c r="T135" s="11"/>
      <c r="U135" s="11"/>
      <c r="V135" s="12">
        <v>2</v>
      </c>
      <c r="W135" s="12"/>
      <c r="X135" s="11"/>
      <c r="Y135" s="11"/>
      <c r="Z135" s="11"/>
      <c r="AA135" s="11"/>
      <c r="AB135" s="11"/>
      <c r="AC135" s="11"/>
      <c r="AD135" s="11"/>
      <c r="AE135" s="11">
        <v>9</v>
      </c>
      <c r="AF135" s="11"/>
      <c r="AG135" s="11"/>
      <c r="AH135" s="11"/>
      <c r="AI135" s="11"/>
      <c r="AJ135" s="11"/>
      <c r="AK135" s="11"/>
      <c r="AL135" s="14"/>
    </row>
    <row r="136" spans="1:38" ht="25.05" customHeight="1">
      <c r="B136" s="13"/>
      <c r="C136" s="29"/>
      <c r="D136" s="30"/>
      <c r="E136" s="19" t="s">
        <v>1603</v>
      </c>
      <c r="F136" s="8" t="s">
        <v>42</v>
      </c>
      <c r="G136" s="9">
        <v>0.68263888888888891</v>
      </c>
      <c r="H136" s="9">
        <v>0.68611111111111112</v>
      </c>
      <c r="I136" s="10">
        <f t="shared" si="10"/>
        <v>3.4722222222222099E-3</v>
      </c>
      <c r="J136" s="11">
        <v>3</v>
      </c>
      <c r="K136" s="11">
        <v>8.5</v>
      </c>
      <c r="L136" s="16">
        <f t="shared" si="11"/>
        <v>34.000000000000121</v>
      </c>
      <c r="M136" s="11"/>
      <c r="N136" s="11"/>
      <c r="O136" s="11"/>
      <c r="P136" s="11"/>
      <c r="Q136" s="11"/>
      <c r="R136" s="12"/>
      <c r="S136" s="12"/>
      <c r="T136" s="11"/>
      <c r="U136" s="11"/>
      <c r="V136" s="12">
        <v>2</v>
      </c>
      <c r="W136" s="12"/>
      <c r="X136" s="11"/>
      <c r="Y136" s="11"/>
      <c r="Z136" s="11"/>
      <c r="AA136" s="11"/>
      <c r="AB136" s="11"/>
      <c r="AC136" s="11">
        <v>5</v>
      </c>
      <c r="AD136" s="11"/>
      <c r="AE136" s="11"/>
      <c r="AF136" s="11"/>
      <c r="AG136" s="11"/>
      <c r="AH136" s="11"/>
      <c r="AI136" s="11"/>
      <c r="AJ136" s="11"/>
      <c r="AK136" s="11"/>
      <c r="AL136" s="14"/>
    </row>
    <row r="137" spans="1:38" ht="25.05" customHeight="1">
      <c r="B137" s="13"/>
      <c r="C137" s="29"/>
      <c r="D137" s="30"/>
      <c r="E137" s="19" t="s">
        <v>1604</v>
      </c>
      <c r="F137" s="8" t="s">
        <v>42</v>
      </c>
      <c r="G137" s="9">
        <v>0.6875</v>
      </c>
      <c r="H137" s="9">
        <v>0.69097222222222221</v>
      </c>
      <c r="I137" s="10">
        <f t="shared" si="10"/>
        <v>3.4722222222222099E-3</v>
      </c>
      <c r="J137" s="11">
        <v>3</v>
      </c>
      <c r="K137" s="11">
        <v>8.76</v>
      </c>
      <c r="L137" s="16">
        <f t="shared" si="11"/>
        <v>35.040000000000127</v>
      </c>
      <c r="M137" s="11"/>
      <c r="N137" s="11"/>
      <c r="O137" s="11"/>
      <c r="P137" s="11"/>
      <c r="Q137" s="11"/>
      <c r="R137" s="12"/>
      <c r="S137" s="12"/>
      <c r="T137" s="11"/>
      <c r="U137" s="11"/>
      <c r="V137" s="12"/>
      <c r="W137" s="12"/>
      <c r="X137" s="11"/>
      <c r="Y137" s="11"/>
      <c r="Z137" s="11"/>
      <c r="AA137" s="11"/>
      <c r="AB137" s="11"/>
      <c r="AC137" s="11">
        <v>5</v>
      </c>
      <c r="AD137" s="11"/>
      <c r="AE137" s="11"/>
      <c r="AF137" s="11"/>
      <c r="AG137" s="11"/>
      <c r="AH137" s="11"/>
      <c r="AI137" s="11"/>
      <c r="AJ137" s="11"/>
      <c r="AK137" s="11"/>
      <c r="AL137" s="14"/>
    </row>
    <row r="138" spans="1:38" ht="25.05" customHeight="1">
      <c r="B138" s="13"/>
      <c r="C138" s="29"/>
      <c r="D138" s="30"/>
      <c r="E138" s="19" t="s">
        <v>1605</v>
      </c>
      <c r="F138" s="8" t="s">
        <v>42</v>
      </c>
      <c r="G138" s="9">
        <v>0.67569444444444449</v>
      </c>
      <c r="H138" s="9">
        <v>0.67569444444444449</v>
      </c>
      <c r="I138" s="10">
        <f t="shared" si="10"/>
        <v>0</v>
      </c>
      <c r="J138" s="11">
        <v>3</v>
      </c>
      <c r="K138" s="11">
        <v>11.47</v>
      </c>
      <c r="L138" s="16" t="str">
        <f t="shared" si="11"/>
        <v>0</v>
      </c>
      <c r="M138" s="11"/>
      <c r="N138" s="11"/>
      <c r="O138" s="11"/>
      <c r="P138" s="11"/>
      <c r="Q138" s="11"/>
      <c r="R138" s="12"/>
      <c r="S138" s="12"/>
      <c r="T138" s="11"/>
      <c r="U138" s="11"/>
      <c r="V138" s="12">
        <v>2</v>
      </c>
      <c r="W138" s="12"/>
      <c r="X138" s="11"/>
      <c r="Y138" s="11"/>
      <c r="Z138" s="11"/>
      <c r="AA138" s="11"/>
      <c r="AB138" s="11"/>
      <c r="AC138" s="11">
        <v>1</v>
      </c>
      <c r="AD138" s="11"/>
      <c r="AE138" s="11"/>
      <c r="AF138" s="11"/>
      <c r="AG138" s="11"/>
      <c r="AH138" s="11"/>
      <c r="AI138" s="11"/>
      <c r="AJ138" s="11"/>
      <c r="AK138" s="11"/>
      <c r="AL138" s="14"/>
    </row>
    <row r="139" spans="1:38" ht="25.05" customHeight="1">
      <c r="B139" s="13"/>
      <c r="C139" s="29"/>
      <c r="D139" s="30"/>
      <c r="E139" s="19" t="s">
        <v>1606</v>
      </c>
      <c r="F139" s="8" t="s">
        <v>42</v>
      </c>
      <c r="G139" s="9">
        <v>0.67361111111111116</v>
      </c>
      <c r="H139" s="9">
        <v>0.67361111111111116</v>
      </c>
      <c r="I139" s="10">
        <f t="shared" si="10"/>
        <v>0</v>
      </c>
      <c r="J139" s="11">
        <v>3</v>
      </c>
      <c r="K139" s="11">
        <v>0.87</v>
      </c>
      <c r="L139" s="16" t="str">
        <f t="shared" si="11"/>
        <v>0</v>
      </c>
      <c r="M139" s="11"/>
      <c r="N139" s="11"/>
      <c r="O139" s="11"/>
      <c r="P139" s="11"/>
      <c r="Q139" s="11"/>
      <c r="R139" s="12"/>
      <c r="S139" s="12"/>
      <c r="T139" s="11"/>
      <c r="U139" s="11"/>
      <c r="V139" s="12">
        <v>2</v>
      </c>
      <c r="W139" s="12"/>
      <c r="X139" s="11"/>
      <c r="Y139" s="11"/>
      <c r="Z139" s="11"/>
      <c r="AA139" s="11"/>
      <c r="AB139" s="11"/>
      <c r="AC139" s="11">
        <v>1</v>
      </c>
      <c r="AD139" s="11"/>
      <c r="AE139" s="11"/>
      <c r="AF139" s="11"/>
      <c r="AG139" s="11"/>
      <c r="AH139" s="11"/>
      <c r="AI139" s="11"/>
      <c r="AJ139" s="11"/>
      <c r="AK139" s="11"/>
      <c r="AL139" s="14"/>
    </row>
    <row r="140" spans="1:38" ht="25.05" customHeight="1">
      <c r="B140" s="13"/>
      <c r="C140" s="29"/>
      <c r="D140" s="30"/>
      <c r="E140" s="19" t="s">
        <v>1607</v>
      </c>
      <c r="F140" s="8" t="s">
        <v>42</v>
      </c>
      <c r="G140" s="9">
        <v>0.66319444444444442</v>
      </c>
      <c r="H140" s="9">
        <v>0.66666666666666663</v>
      </c>
      <c r="I140" s="10">
        <f t="shared" si="10"/>
        <v>3.4722222222222099E-3</v>
      </c>
      <c r="J140" s="11">
        <v>3</v>
      </c>
      <c r="K140" s="62" t="s">
        <v>42</v>
      </c>
      <c r="L140" s="64" t="s">
        <v>42</v>
      </c>
      <c r="M140" s="11"/>
      <c r="N140" s="11"/>
      <c r="O140" s="11"/>
      <c r="P140" s="11"/>
      <c r="Q140" s="11"/>
      <c r="R140" s="12"/>
      <c r="S140" s="12"/>
      <c r="T140" s="11"/>
      <c r="U140" s="11"/>
      <c r="V140" s="12"/>
      <c r="W140" s="12">
        <v>5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4"/>
    </row>
    <row r="141" spans="1:38" ht="25.05" customHeight="1">
      <c r="B141" s="13"/>
      <c r="C141" s="29"/>
      <c r="D141" s="30"/>
      <c r="E141" s="19"/>
      <c r="F141" s="8" t="s">
        <v>42</v>
      </c>
      <c r="G141" s="9"/>
      <c r="H141" s="9"/>
      <c r="I141" s="10">
        <f t="shared" si="10"/>
        <v>0</v>
      </c>
      <c r="J141" s="11"/>
      <c r="K141" s="11"/>
      <c r="L141" s="16" t="str">
        <f t="shared" si="11"/>
        <v>0</v>
      </c>
      <c r="M141" s="11"/>
      <c r="N141" s="11"/>
      <c r="O141" s="11"/>
      <c r="P141" s="11"/>
      <c r="Q141" s="11"/>
      <c r="R141" s="12"/>
      <c r="S141" s="12"/>
      <c r="T141" s="11"/>
      <c r="U141" s="11"/>
      <c r="V141" s="12"/>
      <c r="W141" s="12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4"/>
    </row>
    <row r="142" spans="1:38" ht="25.05" customHeight="1">
      <c r="B142" s="13"/>
      <c r="C142" s="29"/>
      <c r="D142" s="30"/>
      <c r="E142" s="19"/>
      <c r="F142" s="8" t="s">
        <v>42</v>
      </c>
      <c r="G142" s="9"/>
      <c r="H142" s="9"/>
      <c r="I142" s="10">
        <f t="shared" si="10"/>
        <v>0</v>
      </c>
      <c r="J142" s="11"/>
      <c r="K142" s="11"/>
      <c r="L142" s="16" t="str">
        <f t="shared" si="11"/>
        <v>0</v>
      </c>
      <c r="M142" s="11"/>
      <c r="N142" s="11"/>
      <c r="O142" s="11"/>
      <c r="P142" s="11"/>
      <c r="Q142" s="11"/>
      <c r="R142" s="12"/>
      <c r="S142" s="12"/>
      <c r="T142" s="11"/>
      <c r="U142" s="11"/>
      <c r="V142" s="12"/>
      <c r="W142" s="12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4"/>
    </row>
    <row r="143" spans="1:38" s="28" customFormat="1" ht="25.5" customHeight="1" thickBot="1">
      <c r="A143" s="2"/>
      <c r="B143" s="32"/>
      <c r="C143" s="33"/>
      <c r="D143" s="34"/>
      <c r="E143" s="35"/>
      <c r="F143" s="35"/>
      <c r="G143" s="36"/>
      <c r="H143" s="36"/>
      <c r="I143" s="37"/>
      <c r="J143" s="38"/>
      <c r="K143" s="38">
        <f t="shared" ref="K143:AL143" si="13">SUM(K34:K142)</f>
        <v>6305.5400000000009</v>
      </c>
      <c r="L143" s="39">
        <f t="shared" si="13"/>
        <v>9296.8661511215996</v>
      </c>
      <c r="M143" s="38">
        <f t="shared" si="13"/>
        <v>0</v>
      </c>
      <c r="N143" s="38">
        <f t="shared" si="13"/>
        <v>0</v>
      </c>
      <c r="O143" s="38">
        <f t="shared" si="13"/>
        <v>0</v>
      </c>
      <c r="P143" s="38">
        <f t="shared" si="13"/>
        <v>0</v>
      </c>
      <c r="Q143" s="38">
        <f t="shared" si="13"/>
        <v>0</v>
      </c>
      <c r="R143" s="38">
        <f t="shared" si="13"/>
        <v>0</v>
      </c>
      <c r="S143" s="38">
        <f t="shared" si="13"/>
        <v>0</v>
      </c>
      <c r="T143" s="38">
        <f t="shared" si="13"/>
        <v>0</v>
      </c>
      <c r="U143" s="38">
        <f t="shared" si="13"/>
        <v>0</v>
      </c>
      <c r="V143" s="38">
        <f t="shared" si="13"/>
        <v>81</v>
      </c>
      <c r="W143" s="38">
        <f t="shared" si="13"/>
        <v>227</v>
      </c>
      <c r="X143" s="38">
        <f t="shared" si="13"/>
        <v>56.5</v>
      </c>
      <c r="Y143" s="38">
        <f t="shared" si="13"/>
        <v>56.5</v>
      </c>
      <c r="Z143" s="38">
        <f t="shared" si="13"/>
        <v>0</v>
      </c>
      <c r="AA143" s="38">
        <f t="shared" si="13"/>
        <v>0</v>
      </c>
      <c r="AB143" s="38">
        <f t="shared" si="13"/>
        <v>150</v>
      </c>
      <c r="AC143" s="38">
        <f t="shared" si="13"/>
        <v>283</v>
      </c>
      <c r="AD143" s="38">
        <f t="shared" si="13"/>
        <v>169</v>
      </c>
      <c r="AE143" s="38">
        <f t="shared" si="13"/>
        <v>136</v>
      </c>
      <c r="AF143" s="38">
        <f t="shared" si="13"/>
        <v>0</v>
      </c>
      <c r="AG143" s="38">
        <f t="shared" si="13"/>
        <v>53.65</v>
      </c>
      <c r="AH143" s="38">
        <f t="shared" si="13"/>
        <v>53.65</v>
      </c>
      <c r="AI143" s="38">
        <f t="shared" si="13"/>
        <v>52.65</v>
      </c>
      <c r="AJ143" s="38">
        <f t="shared" si="13"/>
        <v>0</v>
      </c>
      <c r="AK143" s="38">
        <f t="shared" si="13"/>
        <v>0</v>
      </c>
      <c r="AL143" s="38">
        <f t="shared" si="13"/>
        <v>0</v>
      </c>
    </row>
    <row r="144" spans="1:38" ht="38.1" customHeight="1" thickBot="1">
      <c r="B144" s="40" t="s">
        <v>45</v>
      </c>
      <c r="C144" s="41"/>
      <c r="D144" s="41"/>
      <c r="E144" s="41"/>
      <c r="F144" s="41"/>
      <c r="G144" s="41"/>
      <c r="H144" s="41"/>
      <c r="I144" s="41"/>
      <c r="J144" s="41"/>
      <c r="K144" s="42">
        <f>K25+K33+K143</f>
        <v>10115.380000000001</v>
      </c>
      <c r="L144" s="42">
        <f>L25+L33+L143</f>
        <v>10678.60403104869</v>
      </c>
      <c r="M144" s="43">
        <f t="shared" ref="M144:AL144" si="14">(M25+M33+M143)/(480-15-30)</f>
        <v>0.12643678160919541</v>
      </c>
      <c r="N144" s="43">
        <f t="shared" si="14"/>
        <v>0</v>
      </c>
      <c r="O144" s="43">
        <f t="shared" si="14"/>
        <v>0</v>
      </c>
      <c r="P144" s="43">
        <f t="shared" si="14"/>
        <v>0</v>
      </c>
      <c r="Q144" s="43">
        <f t="shared" si="14"/>
        <v>6.8965517241379309E-2</v>
      </c>
      <c r="R144" s="43">
        <f t="shared" si="14"/>
        <v>1.103448275862069</v>
      </c>
      <c r="S144" s="43">
        <f t="shared" si="14"/>
        <v>0.85057471264367812</v>
      </c>
      <c r="T144" s="43">
        <f t="shared" si="14"/>
        <v>0.68965517241379315</v>
      </c>
      <c r="U144" s="43">
        <f t="shared" si="14"/>
        <v>0</v>
      </c>
      <c r="V144" s="43">
        <f t="shared" si="14"/>
        <v>0.18620689655172415</v>
      </c>
      <c r="W144" s="43">
        <f t="shared" si="14"/>
        <v>0.52183908045977012</v>
      </c>
      <c r="X144" s="43">
        <f t="shared" si="14"/>
        <v>0.12988505747126436</v>
      </c>
      <c r="Y144" s="43">
        <f t="shared" si="14"/>
        <v>0.12988505747126436</v>
      </c>
      <c r="Z144" s="43">
        <f t="shared" si="14"/>
        <v>0</v>
      </c>
      <c r="AA144" s="43">
        <f t="shared" si="14"/>
        <v>0</v>
      </c>
      <c r="AB144" s="43">
        <f t="shared" si="14"/>
        <v>0.34482758620689657</v>
      </c>
      <c r="AC144" s="43">
        <f t="shared" si="14"/>
        <v>0.65057471264367817</v>
      </c>
      <c r="AD144" s="43">
        <f t="shared" si="14"/>
        <v>0.38850574712643676</v>
      </c>
      <c r="AE144" s="43">
        <f t="shared" si="14"/>
        <v>0.31264367816091954</v>
      </c>
      <c r="AF144" s="43">
        <f t="shared" si="14"/>
        <v>0</v>
      </c>
      <c r="AG144" s="43">
        <f t="shared" si="14"/>
        <v>0.12333333333333334</v>
      </c>
      <c r="AH144" s="43">
        <f t="shared" si="14"/>
        <v>0.12333333333333334</v>
      </c>
      <c r="AI144" s="43">
        <f t="shared" si="14"/>
        <v>0.12103448275862069</v>
      </c>
      <c r="AJ144" s="43">
        <f t="shared" si="14"/>
        <v>0</v>
      </c>
      <c r="AK144" s="43">
        <f t="shared" si="14"/>
        <v>0</v>
      </c>
      <c r="AL144" s="43">
        <f t="shared" si="14"/>
        <v>0</v>
      </c>
    </row>
    <row r="145" spans="2:36" ht="25.05" customHeight="1">
      <c r="B145" s="44"/>
      <c r="C145" s="44"/>
      <c r="D145" s="44"/>
      <c r="E145" s="45"/>
      <c r="F145" s="45"/>
      <c r="G145" s="45"/>
      <c r="H145" s="45"/>
      <c r="I145" s="46"/>
      <c r="J145" s="46"/>
      <c r="K145" s="45"/>
      <c r="L145" s="47"/>
      <c r="M145" s="47"/>
      <c r="N145" s="47"/>
      <c r="O145" s="47"/>
      <c r="P145" s="47"/>
      <c r="Q145" s="45"/>
      <c r="R145" s="45"/>
      <c r="S145" s="45"/>
      <c r="T145" s="45"/>
      <c r="U145" s="45"/>
      <c r="V145" s="45"/>
      <c r="W145" s="45"/>
      <c r="X145" s="45"/>
      <c r="Y145" s="45"/>
      <c r="Z145" s="45"/>
      <c r="AA145" s="45"/>
      <c r="AB145" s="45"/>
      <c r="AC145" s="45"/>
      <c r="AD145" s="45"/>
      <c r="AE145" s="45"/>
      <c r="AF145" s="45"/>
      <c r="AG145" s="45"/>
      <c r="AH145" s="45"/>
      <c r="AI145" s="45"/>
      <c r="AJ145" s="45"/>
    </row>
    <row r="146" spans="2:36" ht="25.05" customHeight="1">
      <c r="B146" s="44"/>
      <c r="C146" s="44"/>
      <c r="D146" s="44"/>
      <c r="E146" s="45"/>
      <c r="F146" s="45"/>
      <c r="G146" s="45"/>
      <c r="H146" s="45"/>
      <c r="I146" s="48" t="s">
        <v>46</v>
      </c>
      <c r="J146" s="46"/>
      <c r="K146" s="45"/>
      <c r="L146" s="47"/>
      <c r="M146" s="47"/>
      <c r="N146" s="47"/>
      <c r="O146" s="47"/>
      <c r="P146" s="47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</row>
    <row r="147" spans="2:36" ht="25.05" customHeight="1">
      <c r="B147" s="44"/>
      <c r="C147" s="44"/>
      <c r="D147" s="44"/>
      <c r="E147" s="45"/>
      <c r="F147" s="45"/>
      <c r="G147" s="45"/>
      <c r="H147" s="45"/>
      <c r="I147" s="49" t="s">
        <v>47</v>
      </c>
      <c r="J147" s="9">
        <v>0</v>
      </c>
      <c r="K147" s="11">
        <v>14</v>
      </c>
      <c r="L147" s="11" t="s">
        <v>48</v>
      </c>
      <c r="M147" s="47"/>
      <c r="N147" s="14">
        <v>2</v>
      </c>
      <c r="O147" s="14"/>
      <c r="P147" s="14"/>
      <c r="Q147" s="50" t="s">
        <v>49</v>
      </c>
      <c r="R147" s="51"/>
      <c r="S147" s="45"/>
      <c r="T147" s="45"/>
      <c r="U147" s="45"/>
      <c r="V147" s="45"/>
      <c r="W147" s="45"/>
      <c r="X147" s="45"/>
      <c r="Y147" s="45"/>
      <c r="Z147" s="45"/>
      <c r="AA147" s="45"/>
      <c r="AC147" s="45"/>
      <c r="AD147" s="45"/>
      <c r="AE147" s="45"/>
      <c r="AF147" s="45"/>
      <c r="AG147" s="45"/>
      <c r="AH147" s="45"/>
    </row>
    <row r="148" spans="2:36" ht="25.05" customHeight="1">
      <c r="B148" s="44"/>
      <c r="C148" s="44"/>
      <c r="D148" s="44"/>
      <c r="E148" s="45"/>
      <c r="F148" s="45"/>
      <c r="G148" s="45"/>
      <c r="H148" s="45"/>
      <c r="I148" s="49" t="s">
        <v>50</v>
      </c>
      <c r="J148" s="9">
        <v>0</v>
      </c>
      <c r="K148" s="11">
        <v>3</v>
      </c>
      <c r="L148" s="11" t="s">
        <v>48</v>
      </c>
      <c r="M148" s="47"/>
      <c r="N148" s="14">
        <v>4</v>
      </c>
      <c r="O148" s="14"/>
      <c r="P148" s="14"/>
      <c r="Q148" s="50" t="s">
        <v>51</v>
      </c>
      <c r="R148" s="51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</row>
    <row r="149" spans="2:36" ht="25.05" customHeight="1">
      <c r="B149" s="44"/>
      <c r="C149" s="44"/>
      <c r="D149" s="44"/>
      <c r="E149" s="45"/>
      <c r="F149" s="45"/>
      <c r="G149" s="45"/>
      <c r="H149" s="45"/>
      <c r="I149" s="49" t="s">
        <v>52</v>
      </c>
      <c r="J149" s="9">
        <v>0</v>
      </c>
      <c r="K149" s="11">
        <v>19</v>
      </c>
      <c r="L149" s="11" t="s">
        <v>48</v>
      </c>
      <c r="M149" s="47"/>
      <c r="N149" s="14">
        <v>1</v>
      </c>
      <c r="O149" s="14"/>
      <c r="P149" s="14"/>
      <c r="Q149" s="50" t="s">
        <v>53</v>
      </c>
      <c r="R149" s="51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</row>
    <row r="150" spans="2:36" ht="25.05" customHeight="1">
      <c r="B150" s="44"/>
      <c r="C150" s="44"/>
      <c r="D150" s="44"/>
      <c r="E150" s="45"/>
      <c r="F150" s="45"/>
      <c r="G150" s="45"/>
      <c r="H150" s="45"/>
      <c r="I150" s="52" t="s">
        <v>54</v>
      </c>
      <c r="J150" s="53">
        <v>0</v>
      </c>
      <c r="K150" s="11">
        <v>7</v>
      </c>
      <c r="L150" s="54" t="s">
        <v>48</v>
      </c>
      <c r="M150" s="47"/>
      <c r="N150" s="14">
        <v>4</v>
      </c>
      <c r="O150" s="14"/>
      <c r="P150" s="14"/>
      <c r="Q150" s="50" t="s">
        <v>55</v>
      </c>
      <c r="R150" s="51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</row>
    <row r="151" spans="2:36" ht="25.05" customHeight="1">
      <c r="B151" s="44"/>
      <c r="C151" s="44"/>
      <c r="D151" s="44"/>
      <c r="E151" s="45"/>
      <c r="F151" s="45"/>
      <c r="G151" s="45"/>
      <c r="H151" s="45"/>
      <c r="I151" s="49" t="s">
        <v>56</v>
      </c>
      <c r="J151" s="9">
        <v>0</v>
      </c>
      <c r="K151" s="11">
        <v>43</v>
      </c>
      <c r="L151" s="11" t="s">
        <v>48</v>
      </c>
      <c r="M151" s="47"/>
      <c r="N151"/>
      <c r="O151"/>
      <c r="P151"/>
      <c r="Q151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</row>
    <row r="152" spans="2:36" ht="25.05" customHeight="1">
      <c r="B152" s="44"/>
      <c r="C152" s="44"/>
      <c r="D152" s="44"/>
      <c r="E152" s="45"/>
      <c r="F152" s="45"/>
      <c r="G152" s="45"/>
      <c r="H152" s="45"/>
      <c r="M152" s="47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</row>
    <row r="153" spans="2:36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55329-2A42-4C03-A4D7-EBF00349F577}">
  <sheetPr>
    <pageSetUpPr fitToPage="1"/>
  </sheetPr>
  <dimension ref="A1:AL120"/>
  <sheetViews>
    <sheetView zoomScale="40" zoomScaleNormal="40" workbookViewId="0">
      <pane xSplit="12" ySplit="3" topLeftCell="AL105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/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0.79513888888888884</v>
      </c>
      <c r="I4" s="10">
        <f t="shared" ref="I4:I23" si="0">H4-G4</f>
        <v>3.4722222222222099E-3</v>
      </c>
      <c r="J4" s="11">
        <v>7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148" t="s">
        <v>712</v>
      </c>
      <c r="E5" s="17" t="s">
        <v>1608</v>
      </c>
      <c r="F5" s="55" t="s">
        <v>232</v>
      </c>
      <c r="G5" s="9">
        <v>0.80555555555555558</v>
      </c>
      <c r="H5" s="9">
        <v>0.83333333333333337</v>
      </c>
      <c r="I5" s="10">
        <f t="shared" si="0"/>
        <v>2.777777777777779E-2</v>
      </c>
      <c r="J5" s="11">
        <v>1</v>
      </c>
      <c r="K5" s="11">
        <v>60.8</v>
      </c>
      <c r="L5" s="16">
        <f t="shared" ref="L5:L23" si="1">IFERROR(((K5/(J5*I5)/24)),"0")</f>
        <v>91.199999999999946</v>
      </c>
      <c r="M5" s="11">
        <v>40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7" t="s">
        <v>1609</v>
      </c>
      <c r="F6" s="55" t="s">
        <v>798</v>
      </c>
      <c r="G6" s="9">
        <v>0.83472222222222225</v>
      </c>
      <c r="H6" s="9">
        <v>0.89097222222222228</v>
      </c>
      <c r="I6" s="10">
        <f t="shared" si="0"/>
        <v>5.6250000000000022E-2</v>
      </c>
      <c r="J6" s="11">
        <v>1</v>
      </c>
      <c r="K6" s="11">
        <v>456</v>
      </c>
      <c r="L6" s="16">
        <f t="shared" si="1"/>
        <v>337.77777777777766</v>
      </c>
      <c r="M6" s="11">
        <v>81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7" t="s">
        <v>1610</v>
      </c>
      <c r="F7" s="88" t="s">
        <v>42</v>
      </c>
      <c r="G7" s="9">
        <v>0.79513888888888884</v>
      </c>
      <c r="H7" s="9">
        <v>46098.222222222219</v>
      </c>
      <c r="I7" s="10">
        <f t="shared" si="0"/>
        <v>46097.427083333328</v>
      </c>
      <c r="J7" s="11">
        <v>1</v>
      </c>
      <c r="K7" s="11">
        <v>592</v>
      </c>
      <c r="L7" s="16">
        <f t="shared" si="1"/>
        <v>5.3509855597960211E-4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7" t="s">
        <v>1611</v>
      </c>
      <c r="F8" s="55" t="s">
        <v>61</v>
      </c>
      <c r="G8" s="9">
        <v>0.80208333333333337</v>
      </c>
      <c r="H8" s="9">
        <v>46098.253472222219</v>
      </c>
      <c r="I8" s="10">
        <f t="shared" si="0"/>
        <v>46097.451388888883</v>
      </c>
      <c r="J8" s="11">
        <v>5</v>
      </c>
      <c r="K8" s="11">
        <v>624</v>
      </c>
      <c r="L8" s="16">
        <f t="shared" si="1"/>
        <v>1.1280450097189937E-4</v>
      </c>
      <c r="M8" s="11"/>
      <c r="N8" s="11"/>
      <c r="O8" s="11"/>
      <c r="P8" s="11"/>
      <c r="Q8" s="11"/>
      <c r="R8" s="12"/>
      <c r="S8" s="12">
        <v>650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1612</v>
      </c>
      <c r="F9" s="55" t="s">
        <v>812</v>
      </c>
      <c r="G9" s="9">
        <v>0.79652777777777772</v>
      </c>
      <c r="H9" s="9">
        <v>0.82986111111111116</v>
      </c>
      <c r="I9" s="10">
        <f t="shared" si="0"/>
        <v>3.3333333333333437E-2</v>
      </c>
      <c r="J9" s="11">
        <v>2</v>
      </c>
      <c r="K9" s="11">
        <v>176</v>
      </c>
      <c r="L9" s="16">
        <f t="shared" si="1"/>
        <v>109.99999999999966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148" t="s">
        <v>1525</v>
      </c>
      <c r="E10" s="17" t="s">
        <v>1613</v>
      </c>
      <c r="F10" s="55" t="s">
        <v>63</v>
      </c>
      <c r="G10" s="9">
        <v>0.86805555555555558</v>
      </c>
      <c r="H10" s="9">
        <v>0.95833333333333337</v>
      </c>
      <c r="I10" s="10">
        <f t="shared" si="0"/>
        <v>9.027777777777779E-2</v>
      </c>
      <c r="J10" s="11">
        <v>1</v>
      </c>
      <c r="K10" s="11">
        <v>144</v>
      </c>
      <c r="L10" s="16">
        <f t="shared" si="1"/>
        <v>66.461538461538453</v>
      </c>
      <c r="M10" s="11"/>
      <c r="N10" s="11"/>
      <c r="O10" s="11"/>
      <c r="P10" s="11"/>
      <c r="Q10" s="11"/>
      <c r="R10" s="12">
        <v>130</v>
      </c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66" t="s">
        <v>1614</v>
      </c>
      <c r="F11" s="55" t="s">
        <v>66</v>
      </c>
      <c r="G11" s="9">
        <v>0.89236111111111116</v>
      </c>
      <c r="H11" s="9">
        <v>0.90625</v>
      </c>
      <c r="I11" s="10">
        <f t="shared" si="0"/>
        <v>1.388888888888884E-2</v>
      </c>
      <c r="J11" s="11">
        <v>1</v>
      </c>
      <c r="K11" s="11">
        <v>19.2</v>
      </c>
      <c r="L11" s="16">
        <f t="shared" si="1"/>
        <v>57.6000000000002</v>
      </c>
      <c r="M11" s="11">
        <v>20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66" t="s">
        <v>1615</v>
      </c>
      <c r="F12" s="55" t="s">
        <v>59</v>
      </c>
      <c r="G12" s="9">
        <v>0.92569444444444449</v>
      </c>
      <c r="H12" s="9">
        <v>0.93402777777777779</v>
      </c>
      <c r="I12" s="10">
        <f t="shared" si="0"/>
        <v>8.3333333333333037E-3</v>
      </c>
      <c r="J12" s="11">
        <v>1</v>
      </c>
      <c r="K12" s="11">
        <v>2.4</v>
      </c>
      <c r="L12" s="16">
        <f t="shared" si="1"/>
        <v>12.000000000000043</v>
      </c>
      <c r="M12" s="11">
        <v>12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7" t="s">
        <v>1616</v>
      </c>
      <c r="F13" s="8" t="s">
        <v>42</v>
      </c>
      <c r="G13" s="9">
        <v>0.83680555555555558</v>
      </c>
      <c r="H13" s="9">
        <v>0.8666666666666667</v>
      </c>
      <c r="I13" s="10">
        <f t="shared" si="0"/>
        <v>2.9861111111111116E-2</v>
      </c>
      <c r="J13" s="11">
        <v>1</v>
      </c>
      <c r="K13" s="11">
        <v>132</v>
      </c>
      <c r="L13" s="16">
        <f t="shared" si="1"/>
        <v>184.18604651162786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43" t="s">
        <v>1617</v>
      </c>
      <c r="F14" s="57">
        <v>0.75</v>
      </c>
      <c r="G14" s="9">
        <v>0.9375</v>
      </c>
      <c r="H14" s="9">
        <v>0.95486111111111116</v>
      </c>
      <c r="I14" s="10">
        <f t="shared" si="0"/>
        <v>1.736111111111116E-2</v>
      </c>
      <c r="J14" s="11">
        <v>1</v>
      </c>
      <c r="K14" s="11">
        <v>132</v>
      </c>
      <c r="L14" s="16">
        <f t="shared" si="1"/>
        <v>316.7999999999991</v>
      </c>
      <c r="M14" s="11">
        <v>25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149"/>
      <c r="E15" s="17" t="s">
        <v>1618</v>
      </c>
      <c r="F15" s="57" t="s">
        <v>63</v>
      </c>
      <c r="G15" s="9">
        <v>9.0277777777777776E-2</v>
      </c>
      <c r="H15" s="9">
        <v>0.12569444444444444</v>
      </c>
      <c r="I15" s="10">
        <f t="shared" si="0"/>
        <v>3.5416666666666666E-2</v>
      </c>
      <c r="J15" s="11">
        <v>1</v>
      </c>
      <c r="K15" s="11">
        <v>51.6</v>
      </c>
      <c r="L15" s="16">
        <f t="shared" si="1"/>
        <v>60.705882352941181</v>
      </c>
      <c r="M15" s="11"/>
      <c r="N15" s="11"/>
      <c r="O15" s="11"/>
      <c r="P15" s="11"/>
      <c r="Q15" s="11"/>
      <c r="R15" s="12">
        <v>51</v>
      </c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148" t="s">
        <v>1487</v>
      </c>
      <c r="E16" s="15" t="s">
        <v>1619</v>
      </c>
      <c r="F16" s="55" t="s">
        <v>232</v>
      </c>
      <c r="G16" s="9">
        <v>0.92569444444444449</v>
      </c>
      <c r="H16" s="9">
        <v>0.93402777777777779</v>
      </c>
      <c r="I16" s="10">
        <f t="shared" si="0"/>
        <v>8.3333333333333037E-3</v>
      </c>
      <c r="J16" s="11">
        <v>1</v>
      </c>
      <c r="K16" s="11">
        <v>1</v>
      </c>
      <c r="L16" s="16">
        <f t="shared" si="1"/>
        <v>5.0000000000000178</v>
      </c>
      <c r="M16" s="11">
        <v>12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 t="s">
        <v>1620</v>
      </c>
      <c r="F17" s="55" t="s">
        <v>234</v>
      </c>
      <c r="G17" s="9">
        <v>0.90972222222222221</v>
      </c>
      <c r="H17" s="9">
        <v>0.92361111111111116</v>
      </c>
      <c r="I17" s="10">
        <f t="shared" si="0"/>
        <v>1.3888888888888951E-2</v>
      </c>
      <c r="J17" s="11">
        <v>1</v>
      </c>
      <c r="K17" s="11">
        <v>5</v>
      </c>
      <c r="L17" s="16">
        <f t="shared" si="1"/>
        <v>14.999999999999934</v>
      </c>
      <c r="M17" s="11">
        <v>20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/>
      <c r="E18" s="17" t="s">
        <v>731</v>
      </c>
      <c r="F18" s="57" t="s">
        <v>209</v>
      </c>
      <c r="G18" s="9">
        <v>0.83680555555555558</v>
      </c>
      <c r="H18" s="9">
        <v>0.8666666666666667</v>
      </c>
      <c r="I18" s="10">
        <f t="shared" si="0"/>
        <v>2.9861111111111116E-2</v>
      </c>
      <c r="J18" s="11">
        <v>1</v>
      </c>
      <c r="K18" s="11">
        <v>26.65</v>
      </c>
      <c r="L18" s="16">
        <f t="shared" si="1"/>
        <v>37.1860465116279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1621</v>
      </c>
      <c r="F19" s="57">
        <v>0.5</v>
      </c>
      <c r="G19" s="9">
        <v>0.9375</v>
      </c>
      <c r="H19" s="9">
        <v>0.95138888888888884</v>
      </c>
      <c r="I19" s="10">
        <f t="shared" si="0"/>
        <v>1.388888888888884E-2</v>
      </c>
      <c r="J19" s="11">
        <v>1</v>
      </c>
      <c r="K19" s="11">
        <v>26.65</v>
      </c>
      <c r="L19" s="16">
        <f t="shared" si="1"/>
        <v>79.950000000000287</v>
      </c>
      <c r="M19" s="11">
        <v>20</v>
      </c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5" customHeight="1">
      <c r="B20" s="13"/>
      <c r="C20" s="14"/>
      <c r="D20" s="6"/>
      <c r="E20" s="15" t="s">
        <v>1622</v>
      </c>
      <c r="F20" s="55" t="s">
        <v>237</v>
      </c>
      <c r="G20" s="9">
        <v>0.85069444444444442</v>
      </c>
      <c r="H20" s="9">
        <v>0.85902777777777772</v>
      </c>
      <c r="I20" s="10">
        <f t="shared" si="0"/>
        <v>8.3333333333333037E-3</v>
      </c>
      <c r="J20" s="11">
        <v>1</v>
      </c>
      <c r="K20" s="11">
        <v>0.1</v>
      </c>
      <c r="L20" s="16">
        <f t="shared" si="1"/>
        <v>0.50000000000000178</v>
      </c>
      <c r="M20" s="11"/>
      <c r="N20" s="11"/>
      <c r="O20" s="11"/>
      <c r="P20" s="11"/>
      <c r="Q20" s="11"/>
      <c r="R20" s="12"/>
      <c r="S20" s="12">
        <v>12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624</v>
      </c>
      <c r="F21" s="8" t="s">
        <v>42</v>
      </c>
      <c r="G21" s="9">
        <v>0.2048611111111111</v>
      </c>
      <c r="H21" s="9">
        <v>0.20833333333333334</v>
      </c>
      <c r="I21" s="10">
        <f t="shared" si="0"/>
        <v>3.4722222222222376E-3</v>
      </c>
      <c r="J21" s="11">
        <v>1</v>
      </c>
      <c r="K21" s="11">
        <v>2.65</v>
      </c>
      <c r="L21" s="16">
        <f t="shared" si="1"/>
        <v>31.799999999999859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71" t="s">
        <v>458</v>
      </c>
      <c r="F22" s="55" t="s">
        <v>239</v>
      </c>
      <c r="G22" s="9">
        <v>0.21180555555555555</v>
      </c>
      <c r="H22" s="9">
        <v>0.21875</v>
      </c>
      <c r="I22" s="10">
        <f t="shared" si="0"/>
        <v>6.9444444444444475E-3</v>
      </c>
      <c r="J22" s="11">
        <v>1</v>
      </c>
      <c r="K22" s="11">
        <v>2.65</v>
      </c>
      <c r="L22" s="16">
        <f t="shared" si="1"/>
        <v>15.899999999999991</v>
      </c>
      <c r="M22" s="11">
        <v>10</v>
      </c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/>
      <c r="F23" s="55"/>
      <c r="G23" s="9"/>
      <c r="H23" s="9"/>
      <c r="I23" s="10">
        <f t="shared" si="0"/>
        <v>0</v>
      </c>
      <c r="J23" s="11"/>
      <c r="K23" s="11"/>
      <c r="L23" s="16" t="str">
        <f t="shared" si="1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s="28" customFormat="1" ht="25.05" customHeight="1">
      <c r="A24" s="2"/>
      <c r="B24" s="21"/>
      <c r="C24" s="22"/>
      <c r="D24" s="23"/>
      <c r="E24" s="24"/>
      <c r="F24" s="24"/>
      <c r="G24" s="25"/>
      <c r="H24" s="25"/>
      <c r="I24" s="26"/>
      <c r="J24" s="27"/>
      <c r="K24" s="27">
        <f t="shared" ref="K24:AL24" si="2">SUM(K4:K22)</f>
        <v>2454.7000000000003</v>
      </c>
      <c r="L24" s="39">
        <f t="shared" si="2"/>
        <v>1422.0679395185693</v>
      </c>
      <c r="M24" s="27">
        <f t="shared" si="2"/>
        <v>240</v>
      </c>
      <c r="N24" s="27">
        <f t="shared" si="2"/>
        <v>0</v>
      </c>
      <c r="O24" s="27">
        <f t="shared" si="2"/>
        <v>0</v>
      </c>
      <c r="P24" s="27">
        <f t="shared" si="2"/>
        <v>0</v>
      </c>
      <c r="Q24" s="27">
        <f t="shared" si="2"/>
        <v>0</v>
      </c>
      <c r="R24" s="27">
        <f t="shared" si="2"/>
        <v>181</v>
      </c>
      <c r="S24" s="27">
        <f t="shared" si="2"/>
        <v>662</v>
      </c>
      <c r="T24" s="27">
        <f t="shared" si="2"/>
        <v>0</v>
      </c>
      <c r="U24" s="27">
        <f t="shared" si="2"/>
        <v>0</v>
      </c>
      <c r="V24" s="27">
        <f t="shared" si="2"/>
        <v>0</v>
      </c>
      <c r="W24" s="27">
        <f t="shared" si="2"/>
        <v>0</v>
      </c>
      <c r="X24" s="27">
        <f t="shared" si="2"/>
        <v>0</v>
      </c>
      <c r="Y24" s="27">
        <f t="shared" si="2"/>
        <v>0</v>
      </c>
      <c r="Z24" s="27">
        <f t="shared" si="2"/>
        <v>0</v>
      </c>
      <c r="AA24" s="27">
        <f t="shared" si="2"/>
        <v>0</v>
      </c>
      <c r="AB24" s="27">
        <f t="shared" si="2"/>
        <v>0</v>
      </c>
      <c r="AC24" s="27">
        <f t="shared" si="2"/>
        <v>0</v>
      </c>
      <c r="AD24" s="27">
        <f t="shared" si="2"/>
        <v>0</v>
      </c>
      <c r="AE24" s="27">
        <f t="shared" si="2"/>
        <v>0</v>
      </c>
      <c r="AF24" s="27">
        <f t="shared" si="2"/>
        <v>0</v>
      </c>
      <c r="AG24" s="27">
        <f t="shared" si="2"/>
        <v>0</v>
      </c>
      <c r="AH24" s="27">
        <f t="shared" si="2"/>
        <v>0</v>
      </c>
      <c r="AI24" s="27">
        <f t="shared" si="2"/>
        <v>0</v>
      </c>
      <c r="AJ24" s="27">
        <f t="shared" si="2"/>
        <v>0</v>
      </c>
      <c r="AK24" s="27">
        <f t="shared" si="2"/>
        <v>0</v>
      </c>
      <c r="AL24" s="27">
        <f t="shared" si="2"/>
        <v>0</v>
      </c>
    </row>
    <row r="25" spans="1:38" ht="25.05" customHeight="1">
      <c r="B25" s="13"/>
      <c r="C25" s="14" t="s">
        <v>43</v>
      </c>
      <c r="D25" s="6"/>
      <c r="E25" s="7" t="s">
        <v>41</v>
      </c>
      <c r="F25" s="8" t="s">
        <v>42</v>
      </c>
      <c r="G25" s="9"/>
      <c r="H25" s="9"/>
      <c r="I25" s="10">
        <f>H25-G25</f>
        <v>0</v>
      </c>
      <c r="J25" s="11"/>
      <c r="K25" s="11"/>
      <c r="L25" s="16" t="str">
        <f>IFERROR(((K25/(J25*I25)/24)),"0")</f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7"/>
      <c r="F26" s="8"/>
      <c r="G26" s="9"/>
      <c r="H26" s="9"/>
      <c r="I26" s="10"/>
      <c r="J26" s="11"/>
      <c r="K26" s="11"/>
      <c r="L26" s="16"/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7"/>
      <c r="F27" s="8"/>
      <c r="G27" s="9"/>
      <c r="H27" s="9"/>
      <c r="I27" s="10"/>
      <c r="J27" s="11"/>
      <c r="K27" s="11"/>
      <c r="L27" s="16"/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18"/>
      <c r="E28" s="6"/>
      <c r="F28" s="14"/>
      <c r="G28" s="9"/>
      <c r="H28" s="9"/>
      <c r="I28" s="10"/>
      <c r="J28" s="11"/>
      <c r="K28" s="11"/>
      <c r="L28" s="16"/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s="28" customFormat="1" ht="25.05" customHeight="1">
      <c r="A29" s="2"/>
      <c r="B29" s="21"/>
      <c r="C29" s="22"/>
      <c r="D29" s="23"/>
      <c r="E29" s="24"/>
      <c r="F29" s="22"/>
      <c r="G29" s="25"/>
      <c r="H29" s="25"/>
      <c r="I29" s="26"/>
      <c r="J29" s="27"/>
      <c r="K29" s="27">
        <f t="shared" ref="K29:AL29" si="3">SUM(K25:K28)</f>
        <v>0</v>
      </c>
      <c r="L29" s="27">
        <f t="shared" si="3"/>
        <v>0</v>
      </c>
      <c r="M29" s="27">
        <f t="shared" si="3"/>
        <v>0</v>
      </c>
      <c r="N29" s="27">
        <f t="shared" si="3"/>
        <v>0</v>
      </c>
      <c r="O29" s="27">
        <f t="shared" si="3"/>
        <v>0</v>
      </c>
      <c r="P29" s="27">
        <f t="shared" si="3"/>
        <v>0</v>
      </c>
      <c r="Q29" s="27">
        <f t="shared" si="3"/>
        <v>0</v>
      </c>
      <c r="R29" s="27">
        <f t="shared" si="3"/>
        <v>0</v>
      </c>
      <c r="S29" s="27">
        <f t="shared" si="3"/>
        <v>0</v>
      </c>
      <c r="T29" s="27">
        <f t="shared" si="3"/>
        <v>0</v>
      </c>
      <c r="U29" s="27">
        <f t="shared" si="3"/>
        <v>0</v>
      </c>
      <c r="V29" s="27">
        <f t="shared" si="3"/>
        <v>0</v>
      </c>
      <c r="W29" s="27">
        <f t="shared" si="3"/>
        <v>0</v>
      </c>
      <c r="X29" s="27">
        <f t="shared" si="3"/>
        <v>0</v>
      </c>
      <c r="Y29" s="27">
        <f t="shared" si="3"/>
        <v>0</v>
      </c>
      <c r="Z29" s="27">
        <f t="shared" si="3"/>
        <v>0</v>
      </c>
      <c r="AA29" s="27">
        <f t="shared" si="3"/>
        <v>0</v>
      </c>
      <c r="AB29" s="27">
        <f t="shared" si="3"/>
        <v>0</v>
      </c>
      <c r="AC29" s="27">
        <f t="shared" si="3"/>
        <v>0</v>
      </c>
      <c r="AD29" s="27">
        <f t="shared" si="3"/>
        <v>0</v>
      </c>
      <c r="AE29" s="27">
        <f t="shared" si="3"/>
        <v>0</v>
      </c>
      <c r="AF29" s="27">
        <f t="shared" si="3"/>
        <v>0</v>
      </c>
      <c r="AG29" s="27">
        <f t="shared" si="3"/>
        <v>0</v>
      </c>
      <c r="AH29" s="27">
        <f t="shared" si="3"/>
        <v>0</v>
      </c>
      <c r="AI29" s="27">
        <f t="shared" si="3"/>
        <v>0</v>
      </c>
      <c r="AJ29" s="27">
        <f t="shared" si="3"/>
        <v>0</v>
      </c>
      <c r="AK29" s="27">
        <f t="shared" si="3"/>
        <v>0</v>
      </c>
      <c r="AL29" s="27">
        <f t="shared" si="3"/>
        <v>0</v>
      </c>
    </row>
    <row r="30" spans="1:38" ht="25.05" customHeight="1">
      <c r="B30" s="13"/>
      <c r="C30" s="29" t="s">
        <v>44</v>
      </c>
      <c r="D30" s="30"/>
      <c r="E30" s="7" t="s">
        <v>41</v>
      </c>
      <c r="F30" s="8" t="s">
        <v>42</v>
      </c>
      <c r="G30" s="9">
        <v>0.29166666666666669</v>
      </c>
      <c r="H30" s="9">
        <v>0.33333333333333331</v>
      </c>
      <c r="I30" s="10">
        <f t="shared" ref="I30:I61" si="4">H30-G30</f>
        <v>4.166666666666663E-2</v>
      </c>
      <c r="J30" s="11">
        <v>5</v>
      </c>
      <c r="K30" s="11">
        <v>0</v>
      </c>
      <c r="L30" s="16">
        <f t="shared" ref="L30:L61" si="5">IFERROR(((K30/(J30*I30)/24)),"0")</f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148" t="s">
        <v>712</v>
      </c>
      <c r="E31" s="147" t="s">
        <v>1623</v>
      </c>
      <c r="F31" s="8" t="s">
        <v>42</v>
      </c>
      <c r="G31" s="9">
        <v>0.87361111111111112</v>
      </c>
      <c r="H31" s="9">
        <v>0.88402777777777775</v>
      </c>
      <c r="I31" s="10">
        <f t="shared" si="4"/>
        <v>1.041666666666663E-2</v>
      </c>
      <c r="J31" s="11">
        <v>4</v>
      </c>
      <c r="K31" s="11">
        <f>0.1*16</f>
        <v>1.6</v>
      </c>
      <c r="L31" s="16">
        <f t="shared" si="5"/>
        <v>1.6000000000000059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5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148" t="s">
        <v>967</v>
      </c>
      <c r="E32" s="147" t="s">
        <v>814</v>
      </c>
      <c r="F32" s="8" t="s">
        <v>42</v>
      </c>
      <c r="G32" s="9">
        <v>0.875</v>
      </c>
      <c r="H32" s="9">
        <v>0.87847222222222221</v>
      </c>
      <c r="I32" s="10">
        <f t="shared" si="4"/>
        <v>3.4722222222222099E-3</v>
      </c>
      <c r="J32" s="11">
        <v>4</v>
      </c>
      <c r="K32" s="11">
        <v>10.38</v>
      </c>
      <c r="L32" s="16">
        <f t="shared" si="5"/>
        <v>31.140000000000114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2</v>
      </c>
      <c r="W32" s="12"/>
      <c r="X32" s="11"/>
      <c r="Y32" s="11"/>
      <c r="Z32" s="11">
        <v>5</v>
      </c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148" t="s">
        <v>967</v>
      </c>
      <c r="E33" s="147" t="s">
        <v>815</v>
      </c>
      <c r="F33" s="8" t="s">
        <v>42</v>
      </c>
      <c r="G33" s="9">
        <v>0.875</v>
      </c>
      <c r="H33" s="9">
        <v>0.87847222222222221</v>
      </c>
      <c r="I33" s="10">
        <f t="shared" si="4"/>
        <v>3.4722222222222099E-3</v>
      </c>
      <c r="J33" s="11">
        <v>4</v>
      </c>
      <c r="K33" s="11">
        <v>10.64</v>
      </c>
      <c r="L33" s="16">
        <f t="shared" si="5"/>
        <v>31.920000000000115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/>
      <c r="Y33" s="11"/>
      <c r="Z33" s="11">
        <v>5</v>
      </c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148" t="s">
        <v>967</v>
      </c>
      <c r="E34" s="147" t="s">
        <v>816</v>
      </c>
      <c r="F34" s="8" t="s">
        <v>42</v>
      </c>
      <c r="G34" s="9">
        <v>0.875</v>
      </c>
      <c r="H34" s="9">
        <v>0.87847222222222221</v>
      </c>
      <c r="I34" s="10">
        <f t="shared" si="4"/>
        <v>3.4722222222222099E-3</v>
      </c>
      <c r="J34" s="11">
        <v>4</v>
      </c>
      <c r="K34" s="11">
        <v>10.28</v>
      </c>
      <c r="L34" s="16">
        <f t="shared" si="5"/>
        <v>30.840000000000106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>
        <v>5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148" t="s">
        <v>967</v>
      </c>
      <c r="E35" s="147" t="s">
        <v>817</v>
      </c>
      <c r="F35" s="8" t="s">
        <v>42</v>
      </c>
      <c r="G35" s="9">
        <v>0.8833333333333333</v>
      </c>
      <c r="H35" s="9">
        <v>0.88680555555555551</v>
      </c>
      <c r="I35" s="10">
        <f t="shared" si="4"/>
        <v>3.4722222222222099E-3</v>
      </c>
      <c r="J35" s="11">
        <v>4</v>
      </c>
      <c r="K35" s="11">
        <v>10.63</v>
      </c>
      <c r="L35" s="16">
        <f t="shared" si="5"/>
        <v>31.890000000000114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>
        <v>5</v>
      </c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148" t="s">
        <v>967</v>
      </c>
      <c r="E36" s="147" t="s">
        <v>818</v>
      </c>
      <c r="F36" s="8" t="s">
        <v>42</v>
      </c>
      <c r="G36" s="9">
        <v>0.8833333333333333</v>
      </c>
      <c r="H36" s="9">
        <v>0.88680555555555551</v>
      </c>
      <c r="I36" s="10">
        <f t="shared" si="4"/>
        <v>3.4722222222222099E-3</v>
      </c>
      <c r="J36" s="11">
        <v>4</v>
      </c>
      <c r="K36" s="11">
        <v>10.86</v>
      </c>
      <c r="L36" s="16">
        <f t="shared" si="5"/>
        <v>32.580000000000112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>
        <v>5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148" t="s">
        <v>967</v>
      </c>
      <c r="E37" s="147" t="s">
        <v>819</v>
      </c>
      <c r="F37" s="8" t="s">
        <v>42</v>
      </c>
      <c r="G37" s="9">
        <v>0.8833333333333333</v>
      </c>
      <c r="H37" s="9">
        <v>0.88680555555555551</v>
      </c>
      <c r="I37" s="10">
        <f t="shared" si="4"/>
        <v>3.4722222222222099E-3</v>
      </c>
      <c r="J37" s="11">
        <v>4</v>
      </c>
      <c r="K37" s="11">
        <v>10.61</v>
      </c>
      <c r="L37" s="16">
        <f t="shared" si="5"/>
        <v>31.830000000000112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2</v>
      </c>
      <c r="X37" s="11"/>
      <c r="Y37" s="11"/>
      <c r="Z37" s="11">
        <v>5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148" t="s">
        <v>967</v>
      </c>
      <c r="E38" s="147" t="s">
        <v>820</v>
      </c>
      <c r="F38" s="8" t="s">
        <v>42</v>
      </c>
      <c r="G38" s="9">
        <v>0.90069444444444446</v>
      </c>
      <c r="H38" s="9">
        <v>0.90416666666666667</v>
      </c>
      <c r="I38" s="10">
        <f t="shared" si="4"/>
        <v>3.4722222222222099E-3</v>
      </c>
      <c r="J38" s="11">
        <v>4</v>
      </c>
      <c r="K38" s="11">
        <v>10.74</v>
      </c>
      <c r="L38" s="16">
        <f t="shared" si="5"/>
        <v>32.22000000000012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>
        <v>5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148" t="s">
        <v>967</v>
      </c>
      <c r="E39" s="147" t="s">
        <v>821</v>
      </c>
      <c r="F39" s="8" t="s">
        <v>42</v>
      </c>
      <c r="G39" s="9">
        <v>0.90069444444444446</v>
      </c>
      <c r="H39" s="9">
        <v>0.90416666666666667</v>
      </c>
      <c r="I39" s="10">
        <f t="shared" si="4"/>
        <v>3.4722222222222099E-3</v>
      </c>
      <c r="J39" s="11">
        <v>4</v>
      </c>
      <c r="K39" s="11">
        <v>10.59</v>
      </c>
      <c r="L39" s="16">
        <f t="shared" si="5"/>
        <v>31.770000000000113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2</v>
      </c>
      <c r="X39" s="11"/>
      <c r="Y39" s="11"/>
      <c r="Z39" s="11">
        <v>5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148" t="s">
        <v>967</v>
      </c>
      <c r="E40" s="147" t="s">
        <v>822</v>
      </c>
      <c r="F40" s="8" t="s">
        <v>42</v>
      </c>
      <c r="G40" s="9">
        <v>0.90069444444444446</v>
      </c>
      <c r="H40" s="9">
        <v>0.90416666666666667</v>
      </c>
      <c r="I40" s="10">
        <f t="shared" si="4"/>
        <v>3.4722222222222099E-3</v>
      </c>
      <c r="J40" s="11">
        <v>4</v>
      </c>
      <c r="K40" s="11">
        <v>10.75</v>
      </c>
      <c r="L40" s="16">
        <f t="shared" si="5"/>
        <v>32.250000000000114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>
        <v>5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148" t="s">
        <v>967</v>
      </c>
      <c r="E41" s="147" t="s">
        <v>823</v>
      </c>
      <c r="F41" s="8" t="s">
        <v>42</v>
      </c>
      <c r="G41" s="9">
        <v>0.90763888888888888</v>
      </c>
      <c r="H41" s="9">
        <v>0.91111111111111109</v>
      </c>
      <c r="I41" s="10">
        <f t="shared" si="4"/>
        <v>3.4722222222222099E-3</v>
      </c>
      <c r="J41" s="11">
        <v>4</v>
      </c>
      <c r="K41" s="11">
        <v>10.49</v>
      </c>
      <c r="L41" s="16">
        <f t="shared" si="5"/>
        <v>31.470000000000113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>
        <v>5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148" t="s">
        <v>967</v>
      </c>
      <c r="E42" s="147" t="s">
        <v>824</v>
      </c>
      <c r="F42" s="8" t="s">
        <v>42</v>
      </c>
      <c r="G42" s="9">
        <v>0.90763888888888888</v>
      </c>
      <c r="H42" s="9">
        <v>0.91111111111111109</v>
      </c>
      <c r="I42" s="10">
        <f t="shared" si="4"/>
        <v>3.4722222222222099E-3</v>
      </c>
      <c r="J42" s="11">
        <v>4</v>
      </c>
      <c r="K42" s="11">
        <v>10.7</v>
      </c>
      <c r="L42" s="16">
        <f t="shared" si="5"/>
        <v>32.100000000000115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>
        <v>5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148" t="s">
        <v>967</v>
      </c>
      <c r="E43" s="147" t="s">
        <v>825</v>
      </c>
      <c r="F43" s="8" t="s">
        <v>42</v>
      </c>
      <c r="G43" s="9">
        <v>0.90763888888888888</v>
      </c>
      <c r="H43" s="9">
        <v>0.91111111111111109</v>
      </c>
      <c r="I43" s="10">
        <f t="shared" si="4"/>
        <v>3.4722222222222099E-3</v>
      </c>
      <c r="J43" s="11">
        <v>4</v>
      </c>
      <c r="K43" s="11">
        <v>10.39</v>
      </c>
      <c r="L43" s="16">
        <f t="shared" si="5"/>
        <v>31.170000000000112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>
        <v>5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148" t="s">
        <v>967</v>
      </c>
      <c r="E44" s="147" t="s">
        <v>826</v>
      </c>
      <c r="F44" s="8" t="s">
        <v>42</v>
      </c>
      <c r="G44" s="9">
        <v>0.16041666666666668</v>
      </c>
      <c r="H44" s="9">
        <v>0.16388888888888889</v>
      </c>
      <c r="I44" s="10">
        <f t="shared" si="4"/>
        <v>3.4722222222222099E-3</v>
      </c>
      <c r="J44" s="11">
        <v>4</v>
      </c>
      <c r="K44" s="11">
        <v>9.67</v>
      </c>
      <c r="L44" s="16">
        <f t="shared" si="5"/>
        <v>29.010000000000105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>
        <v>5</v>
      </c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148" t="s">
        <v>967</v>
      </c>
      <c r="E45" s="147" t="s">
        <v>1624</v>
      </c>
      <c r="F45" s="8" t="s">
        <v>42</v>
      </c>
      <c r="G45" s="9">
        <v>0.16041666666666668</v>
      </c>
      <c r="H45" s="9">
        <v>0.16388888888888889</v>
      </c>
      <c r="I45" s="10">
        <f t="shared" si="4"/>
        <v>3.4722222222222099E-3</v>
      </c>
      <c r="J45" s="11">
        <v>4</v>
      </c>
      <c r="K45" s="11">
        <v>10.38</v>
      </c>
      <c r="L45" s="16">
        <f t="shared" si="5"/>
        <v>31.140000000000114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>
        <v>5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148" t="s">
        <v>967</v>
      </c>
      <c r="E46" s="147" t="s">
        <v>1625</v>
      </c>
      <c r="F46" s="8" t="s">
        <v>42</v>
      </c>
      <c r="G46" s="9">
        <v>0.16666666666666666</v>
      </c>
      <c r="H46" s="9">
        <v>0.1701388888888889</v>
      </c>
      <c r="I46" s="10">
        <f t="shared" si="4"/>
        <v>3.4722222222222376E-3</v>
      </c>
      <c r="J46" s="11">
        <v>4</v>
      </c>
      <c r="K46" s="11">
        <v>10.32</v>
      </c>
      <c r="L46" s="16">
        <f t="shared" si="5"/>
        <v>30.959999999999862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>
        <v>5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148" t="s">
        <v>967</v>
      </c>
      <c r="E47" s="147" t="s">
        <v>1626</v>
      </c>
      <c r="F47" s="8" t="s">
        <v>42</v>
      </c>
      <c r="G47" s="9">
        <v>0.16666666666666666</v>
      </c>
      <c r="H47" s="9">
        <v>0.1701388888888889</v>
      </c>
      <c r="I47" s="10">
        <f t="shared" si="4"/>
        <v>3.4722222222222376E-3</v>
      </c>
      <c r="J47" s="11">
        <v>4</v>
      </c>
      <c r="K47" s="11">
        <v>10.91</v>
      </c>
      <c r="L47" s="16">
        <f t="shared" si="5"/>
        <v>32.729999999999855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/>
      <c r="Y47" s="11"/>
      <c r="Z47" s="11">
        <v>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148" t="s">
        <v>967</v>
      </c>
      <c r="E48" s="147" t="s">
        <v>968</v>
      </c>
      <c r="F48" s="8" t="s">
        <v>42</v>
      </c>
      <c r="G48" s="9">
        <v>0.87222222222222223</v>
      </c>
      <c r="H48" s="9">
        <v>0.89861111111111114</v>
      </c>
      <c r="I48" s="10">
        <f t="shared" si="4"/>
        <v>2.6388888888888906E-2</v>
      </c>
      <c r="J48" s="11">
        <v>4</v>
      </c>
      <c r="K48" s="11">
        <v>138.5</v>
      </c>
      <c r="L48" s="16">
        <f t="shared" si="5"/>
        <v>54.67105263157891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>
        <v>5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148" t="s">
        <v>967</v>
      </c>
      <c r="E49" s="147" t="s">
        <v>969</v>
      </c>
      <c r="F49" s="8" t="s">
        <v>42</v>
      </c>
      <c r="G49" s="9">
        <v>0.90694444444444444</v>
      </c>
      <c r="H49" s="9">
        <v>0.93333333333333335</v>
      </c>
      <c r="I49" s="10">
        <f t="shared" si="4"/>
        <v>2.6388888888888906E-2</v>
      </c>
      <c r="J49" s="11">
        <v>4</v>
      </c>
      <c r="K49" s="11">
        <v>140.08000000000001</v>
      </c>
      <c r="L49" s="16">
        <f t="shared" si="5"/>
        <v>55.29473684210523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>
        <v>38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148" t="s">
        <v>967</v>
      </c>
      <c r="E50" s="147" t="s">
        <v>970</v>
      </c>
      <c r="F50" s="8" t="s">
        <v>42</v>
      </c>
      <c r="G50" s="9">
        <v>0.9458333333333333</v>
      </c>
      <c r="H50" s="9">
        <v>0.96875</v>
      </c>
      <c r="I50" s="10">
        <f t="shared" si="4"/>
        <v>2.2916666666666696E-2</v>
      </c>
      <c r="J50" s="11">
        <v>4</v>
      </c>
      <c r="K50" s="11">
        <v>142.08000000000001</v>
      </c>
      <c r="L50" s="16">
        <f t="shared" si="5"/>
        <v>64.581818181818107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>
        <v>33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148" t="s">
        <v>967</v>
      </c>
      <c r="E51" s="147" t="s">
        <v>971</v>
      </c>
      <c r="F51" s="8" t="s">
        <v>42</v>
      </c>
      <c r="G51" s="9">
        <v>0.98750000000000004</v>
      </c>
      <c r="H51" s="9">
        <v>1.0125</v>
      </c>
      <c r="I51" s="10">
        <f t="shared" si="4"/>
        <v>2.4999999999999911E-2</v>
      </c>
      <c r="J51" s="11">
        <v>4</v>
      </c>
      <c r="K51" s="11">
        <v>139.69</v>
      </c>
      <c r="L51" s="16">
        <f t="shared" si="5"/>
        <v>58.204166666666872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>
        <v>36</v>
      </c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148" t="s">
        <v>967</v>
      </c>
      <c r="E52" s="147" t="s">
        <v>972</v>
      </c>
      <c r="F52" s="8" t="s">
        <v>42</v>
      </c>
      <c r="G52" s="9">
        <v>0.98750000000000004</v>
      </c>
      <c r="H52" s="9">
        <v>1.0125</v>
      </c>
      <c r="I52" s="10">
        <f t="shared" si="4"/>
        <v>2.4999999999999911E-2</v>
      </c>
      <c r="J52" s="11">
        <v>4</v>
      </c>
      <c r="K52" s="11">
        <v>140.75</v>
      </c>
      <c r="L52" s="16">
        <f t="shared" si="5"/>
        <v>58.645833333333542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>
        <v>36</v>
      </c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148" t="s">
        <v>967</v>
      </c>
      <c r="E53" s="147" t="s">
        <v>973</v>
      </c>
      <c r="F53" s="8" t="s">
        <v>42</v>
      </c>
      <c r="G53" s="9">
        <v>0.12152777777777778</v>
      </c>
      <c r="H53" s="9">
        <v>0.14583333333333334</v>
      </c>
      <c r="I53" s="10">
        <f t="shared" si="4"/>
        <v>2.4305555555555566E-2</v>
      </c>
      <c r="J53" s="11">
        <v>4</v>
      </c>
      <c r="K53" s="11">
        <v>138.78</v>
      </c>
      <c r="L53" s="16">
        <f t="shared" si="5"/>
        <v>59.47714285714283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>
        <v>35</v>
      </c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148" t="s">
        <v>967</v>
      </c>
      <c r="E54" s="147" t="s">
        <v>1627</v>
      </c>
      <c r="F54" s="8" t="s">
        <v>42</v>
      </c>
      <c r="G54" s="9">
        <v>0.13750000000000001</v>
      </c>
      <c r="H54" s="9">
        <v>0.15972222222222221</v>
      </c>
      <c r="I54" s="10">
        <f t="shared" si="4"/>
        <v>2.2222222222222199E-2</v>
      </c>
      <c r="J54" s="11">
        <v>4</v>
      </c>
      <c r="K54" s="11">
        <v>141.68</v>
      </c>
      <c r="L54" s="16">
        <f t="shared" si="5"/>
        <v>66.412500000000065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>
        <v>32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148" t="s">
        <v>967</v>
      </c>
      <c r="E55" s="147" t="s">
        <v>1628</v>
      </c>
      <c r="F55" s="8" t="s">
        <v>42</v>
      </c>
      <c r="G55" s="9">
        <v>0.14652777777777778</v>
      </c>
      <c r="H55" s="9">
        <v>0.1701388888888889</v>
      </c>
      <c r="I55" s="10">
        <f t="shared" si="4"/>
        <v>2.361111111111111E-2</v>
      </c>
      <c r="J55" s="11">
        <v>4</v>
      </c>
      <c r="K55" s="11">
        <v>140.01</v>
      </c>
      <c r="L55" s="16">
        <f t="shared" si="5"/>
        <v>61.769117647058827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>
        <v>34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148" t="s">
        <v>967</v>
      </c>
      <c r="E56" s="147" t="s">
        <v>1629</v>
      </c>
      <c r="F56" s="14"/>
      <c r="G56" s="9">
        <v>0.15694444444444444</v>
      </c>
      <c r="H56" s="9">
        <v>0.18263888888888888</v>
      </c>
      <c r="I56" s="10">
        <f t="shared" si="4"/>
        <v>2.5694444444444436E-2</v>
      </c>
      <c r="J56" s="11">
        <v>4</v>
      </c>
      <c r="K56" s="11">
        <v>140</v>
      </c>
      <c r="L56" s="16">
        <f t="shared" si="5"/>
        <v>56.756756756756772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>
        <v>37</v>
      </c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148" t="s">
        <v>967</v>
      </c>
      <c r="E57" s="147" t="s">
        <v>1630</v>
      </c>
      <c r="F57" s="8" t="s">
        <v>42</v>
      </c>
      <c r="G57" s="9">
        <v>0.16875000000000001</v>
      </c>
      <c r="H57" s="9">
        <v>0.19097222222222221</v>
      </c>
      <c r="I57" s="10">
        <f t="shared" si="4"/>
        <v>2.2222222222222199E-2</v>
      </c>
      <c r="J57" s="11">
        <v>4</v>
      </c>
      <c r="K57" s="11">
        <v>140.62</v>
      </c>
      <c r="L57" s="16">
        <f t="shared" si="5"/>
        <v>65.915625000000077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>
        <v>32</v>
      </c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148" t="s">
        <v>967</v>
      </c>
      <c r="E58" s="147" t="s">
        <v>1631</v>
      </c>
      <c r="F58" s="8" t="s">
        <v>42</v>
      </c>
      <c r="G58" s="9">
        <v>0.18472222222222223</v>
      </c>
      <c r="H58" s="9">
        <v>0.20972222222222223</v>
      </c>
      <c r="I58" s="10">
        <f t="shared" si="4"/>
        <v>2.4999999999999994E-2</v>
      </c>
      <c r="J58" s="11">
        <v>4</v>
      </c>
      <c r="K58" s="11">
        <v>140.11000000000001</v>
      </c>
      <c r="L58" s="16">
        <f t="shared" si="5"/>
        <v>58.379166666666684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>
        <v>36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148" t="s">
        <v>967</v>
      </c>
      <c r="E59" s="147" t="s">
        <v>1632</v>
      </c>
      <c r="F59" s="8" t="s">
        <v>42</v>
      </c>
      <c r="G59" s="9">
        <v>0.19791666666666666</v>
      </c>
      <c r="H59" s="9">
        <v>0.22291666666666668</v>
      </c>
      <c r="I59" s="10">
        <f t="shared" si="4"/>
        <v>2.5000000000000022E-2</v>
      </c>
      <c r="J59" s="11">
        <v>4</v>
      </c>
      <c r="K59" s="11">
        <v>141.26</v>
      </c>
      <c r="L59" s="16">
        <f t="shared" si="5"/>
        <v>58.85833333333327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>
        <v>36</v>
      </c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148" t="s">
        <v>967</v>
      </c>
      <c r="E60" s="147" t="s">
        <v>1633</v>
      </c>
      <c r="F60" s="8" t="s">
        <v>42</v>
      </c>
      <c r="G60" s="9">
        <v>0.2013888888888889</v>
      </c>
      <c r="H60" s="9">
        <v>0.22500000000000001</v>
      </c>
      <c r="I60" s="10">
        <f t="shared" si="4"/>
        <v>2.361111111111111E-2</v>
      </c>
      <c r="J60" s="11">
        <v>4</v>
      </c>
      <c r="K60" s="11">
        <v>139.6</v>
      </c>
      <c r="L60" s="16">
        <f t="shared" si="5"/>
        <v>61.588235294117645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>
        <v>34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148" t="s">
        <v>967</v>
      </c>
      <c r="E61" s="147" t="s">
        <v>1634</v>
      </c>
      <c r="F61" s="8" t="s">
        <v>42</v>
      </c>
      <c r="G61" s="9">
        <v>0.22291666666666668</v>
      </c>
      <c r="H61" s="9">
        <v>0.24583333333333332</v>
      </c>
      <c r="I61" s="10">
        <f t="shared" si="4"/>
        <v>2.2916666666666641E-2</v>
      </c>
      <c r="J61" s="11">
        <v>4</v>
      </c>
      <c r="K61" s="11">
        <v>140.1</v>
      </c>
      <c r="L61" s="16">
        <f t="shared" si="5"/>
        <v>63.681818181818251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/>
      <c r="Y61" s="11"/>
      <c r="Z61" s="11">
        <v>33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148" t="s">
        <v>967</v>
      </c>
      <c r="E62" s="147" t="s">
        <v>827</v>
      </c>
      <c r="F62" s="8" t="s">
        <v>42</v>
      </c>
      <c r="G62" s="9">
        <v>0.93125000000000002</v>
      </c>
      <c r="H62" s="9">
        <v>0.94374999999999998</v>
      </c>
      <c r="I62" s="10">
        <f t="shared" ref="I62:I78" si="6">H62-G62</f>
        <v>1.2499999999999956E-2</v>
      </c>
      <c r="J62" s="11">
        <v>4</v>
      </c>
      <c r="K62" s="11">
        <v>62.09</v>
      </c>
      <c r="L62" s="16">
        <f t="shared" ref="L62:L93" si="7">IFERROR(((K62/(J62*I62)/24)),"0")</f>
        <v>51.741666666666852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>
        <f>18/2</f>
        <v>9</v>
      </c>
      <c r="Z62" s="11">
        <f>18/2</f>
        <v>9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148" t="s">
        <v>967</v>
      </c>
      <c r="E63" s="147" t="s">
        <v>829</v>
      </c>
      <c r="F63" s="8" t="s">
        <v>42</v>
      </c>
      <c r="G63" s="9">
        <v>0.93958333333333333</v>
      </c>
      <c r="H63" s="9">
        <v>0.95486111111111116</v>
      </c>
      <c r="I63" s="10">
        <f t="shared" si="6"/>
        <v>1.5277777777777835E-2</v>
      </c>
      <c r="J63" s="11">
        <v>4</v>
      </c>
      <c r="K63" s="11">
        <v>60.97</v>
      </c>
      <c r="L63" s="16">
        <f t="shared" si="7"/>
        <v>41.570454545454389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>
        <v>11</v>
      </c>
      <c r="Y63" s="11"/>
      <c r="Z63" s="11"/>
      <c r="AA63" s="11">
        <v>11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148" t="s">
        <v>967</v>
      </c>
      <c r="E64" s="147" t="s">
        <v>830</v>
      </c>
      <c r="F64" s="8" t="s">
        <v>42</v>
      </c>
      <c r="G64" s="9">
        <v>0.95416666666666672</v>
      </c>
      <c r="H64" s="9">
        <v>0.96666666666666667</v>
      </c>
      <c r="I64" s="10">
        <f t="shared" si="6"/>
        <v>1.2499999999999956E-2</v>
      </c>
      <c r="J64" s="11">
        <v>4</v>
      </c>
      <c r="K64" s="11">
        <v>65.2</v>
      </c>
      <c r="L64" s="16">
        <f t="shared" si="7"/>
        <v>54.333333333333535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>
        <v>9</v>
      </c>
      <c r="Y64" s="11">
        <v>9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148" t="s">
        <v>967</v>
      </c>
      <c r="E65" s="147" t="s">
        <v>831</v>
      </c>
      <c r="F65" s="8" t="s">
        <v>42</v>
      </c>
      <c r="G65" s="9">
        <v>0.9604166666666667</v>
      </c>
      <c r="H65" s="9">
        <v>0.97152777777777777</v>
      </c>
      <c r="I65" s="10">
        <f t="shared" si="6"/>
        <v>1.1111111111111072E-2</v>
      </c>
      <c r="J65" s="11">
        <v>4</v>
      </c>
      <c r="K65" s="11">
        <v>62.07</v>
      </c>
      <c r="L65" s="16">
        <f t="shared" si="7"/>
        <v>58.19062500000021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>
        <v>8</v>
      </c>
      <c r="Y65" s="11"/>
      <c r="Z65" s="11"/>
      <c r="AA65" s="11">
        <v>8</v>
      </c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148" t="s">
        <v>967</v>
      </c>
      <c r="E66" s="147" t="s">
        <v>832</v>
      </c>
      <c r="F66" s="8" t="s">
        <v>42</v>
      </c>
      <c r="G66" s="9">
        <v>0.96875</v>
      </c>
      <c r="H66" s="9">
        <v>0.98124999999999996</v>
      </c>
      <c r="I66" s="10">
        <f t="shared" si="6"/>
        <v>1.2499999999999956E-2</v>
      </c>
      <c r="J66" s="11">
        <v>4</v>
      </c>
      <c r="K66" s="11">
        <v>63.21</v>
      </c>
      <c r="L66" s="16">
        <f t="shared" si="7"/>
        <v>52.675000000000189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>
        <v>9</v>
      </c>
      <c r="Y66" s="11">
        <v>9</v>
      </c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148" t="s">
        <v>967</v>
      </c>
      <c r="E67" s="147" t="s">
        <v>833</v>
      </c>
      <c r="F67" s="14"/>
      <c r="G67" s="9">
        <v>0.97777777777777775</v>
      </c>
      <c r="H67" s="9">
        <v>0.98958333333333337</v>
      </c>
      <c r="I67" s="10">
        <f t="shared" si="6"/>
        <v>1.1805555555555625E-2</v>
      </c>
      <c r="J67" s="11">
        <v>4</v>
      </c>
      <c r="K67" s="11">
        <v>62.38</v>
      </c>
      <c r="L67" s="16">
        <f t="shared" si="7"/>
        <v>55.041176470587914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2</v>
      </c>
      <c r="X67" s="11">
        <f>17/2</f>
        <v>8.5</v>
      </c>
      <c r="Y67" s="11"/>
      <c r="Z67" s="11"/>
      <c r="AA67" s="11">
        <v>8.5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148" t="s">
        <v>967</v>
      </c>
      <c r="E68" s="147" t="s">
        <v>834</v>
      </c>
      <c r="F68" s="8" t="s">
        <v>42</v>
      </c>
      <c r="G68" s="9">
        <v>0.98402777777777772</v>
      </c>
      <c r="H68" s="9">
        <v>0.99513888888888891</v>
      </c>
      <c r="I68" s="10">
        <f t="shared" si="6"/>
        <v>1.1111111111111183E-2</v>
      </c>
      <c r="J68" s="11">
        <v>4</v>
      </c>
      <c r="K68" s="11">
        <v>63.14</v>
      </c>
      <c r="L68" s="16">
        <f t="shared" si="7"/>
        <v>59.193749999999618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>
        <v>8</v>
      </c>
      <c r="Y68" s="11">
        <v>8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148" t="s">
        <v>967</v>
      </c>
      <c r="E69" s="147" t="s">
        <v>835</v>
      </c>
      <c r="F69" s="8" t="s">
        <v>42</v>
      </c>
      <c r="G69" s="9">
        <v>0.99236111111111114</v>
      </c>
      <c r="H69" s="9">
        <v>1.0041666666666667</v>
      </c>
      <c r="I69" s="10">
        <f t="shared" si="6"/>
        <v>1.1805555555555514E-2</v>
      </c>
      <c r="J69" s="11">
        <v>4</v>
      </c>
      <c r="K69" s="11">
        <v>61.59</v>
      </c>
      <c r="L69" s="16">
        <f t="shared" si="7"/>
        <v>54.344117647059022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2</v>
      </c>
      <c r="X69" s="11">
        <v>8.5</v>
      </c>
      <c r="Y69" s="11"/>
      <c r="Z69" s="11"/>
      <c r="AA69" s="11">
        <v>8.5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148" t="s">
        <v>967</v>
      </c>
      <c r="E70" s="147" t="s">
        <v>836</v>
      </c>
      <c r="F70" s="8" t="s">
        <v>42</v>
      </c>
      <c r="G70" s="9">
        <v>2.7777777777777779E-3</v>
      </c>
      <c r="H70" s="9">
        <v>1.5277777777777777E-2</v>
      </c>
      <c r="I70" s="10">
        <f t="shared" si="6"/>
        <v>1.2499999999999999E-2</v>
      </c>
      <c r="J70" s="11">
        <v>4</v>
      </c>
      <c r="K70" s="11">
        <v>62.89</v>
      </c>
      <c r="L70" s="16">
        <f t="shared" si="7"/>
        <v>52.408333333333339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>
        <v>9</v>
      </c>
      <c r="Y70" s="11">
        <v>9</v>
      </c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148" t="s">
        <v>967</v>
      </c>
      <c r="E71" s="147" t="s">
        <v>837</v>
      </c>
      <c r="F71" s="8" t="s">
        <v>42</v>
      </c>
      <c r="G71" s="9">
        <v>8.3333333333333329E-2</v>
      </c>
      <c r="H71" s="9">
        <v>9.3055555555555558E-2</v>
      </c>
      <c r="I71" s="10">
        <f t="shared" si="6"/>
        <v>9.7222222222222293E-3</v>
      </c>
      <c r="J71" s="11">
        <v>4</v>
      </c>
      <c r="K71" s="11">
        <v>63.71</v>
      </c>
      <c r="L71" s="16">
        <f t="shared" si="7"/>
        <v>68.260714285714229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1">
        <v>7</v>
      </c>
      <c r="Y71" s="11"/>
      <c r="Z71" s="11">
        <v>7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148" t="s">
        <v>967</v>
      </c>
      <c r="E72" s="147" t="s">
        <v>838</v>
      </c>
      <c r="F72" s="8" t="s">
        <v>42</v>
      </c>
      <c r="G72" s="9">
        <v>8.8888888888888892E-2</v>
      </c>
      <c r="H72" s="9">
        <v>0.10277777777777777</v>
      </c>
      <c r="I72" s="10">
        <f t="shared" si="6"/>
        <v>1.3888888888888881E-2</v>
      </c>
      <c r="J72" s="11">
        <v>4</v>
      </c>
      <c r="K72" s="11">
        <v>60.35</v>
      </c>
      <c r="L72" s="16">
        <f t="shared" si="7"/>
        <v>45.262500000000024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2</v>
      </c>
      <c r="W72" s="12"/>
      <c r="X72" s="11"/>
      <c r="Y72" s="11">
        <v>10</v>
      </c>
      <c r="Z72" s="11"/>
      <c r="AA72" s="11">
        <v>10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148" t="s">
        <v>967</v>
      </c>
      <c r="E73" s="147" t="s">
        <v>839</v>
      </c>
      <c r="F73" s="8" t="s">
        <v>42</v>
      </c>
      <c r="G73" s="9">
        <v>9.7222222222222224E-2</v>
      </c>
      <c r="H73" s="9">
        <v>0.11388888888888889</v>
      </c>
      <c r="I73" s="10">
        <f t="shared" si="6"/>
        <v>1.6666666666666663E-2</v>
      </c>
      <c r="J73" s="11">
        <v>4</v>
      </c>
      <c r="K73" s="11">
        <v>58.32</v>
      </c>
      <c r="L73" s="16">
        <f t="shared" si="7"/>
        <v>36.45000000000001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>
        <v>12</v>
      </c>
      <c r="Y73" s="11"/>
      <c r="Z73" s="11"/>
      <c r="AA73" s="11">
        <v>12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148" t="s">
        <v>967</v>
      </c>
      <c r="E74" s="147" t="s">
        <v>840</v>
      </c>
      <c r="F74" s="8" t="s">
        <v>42</v>
      </c>
      <c r="G74" s="9">
        <v>0.10694444444444444</v>
      </c>
      <c r="H74" s="9">
        <v>0.11736111111111111</v>
      </c>
      <c r="I74" s="10">
        <f t="shared" si="6"/>
        <v>1.0416666666666671E-2</v>
      </c>
      <c r="J74" s="11">
        <v>4</v>
      </c>
      <c r="K74" s="11">
        <v>59.95</v>
      </c>
      <c r="L74" s="16">
        <f t="shared" si="7"/>
        <v>59.949999999999982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/>
      <c r="Y74" s="11">
        <f>15/2</f>
        <v>7.5</v>
      </c>
      <c r="Z74" s="11"/>
      <c r="AA74" s="11">
        <v>7.5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148" t="s">
        <v>967</v>
      </c>
      <c r="E75" s="147" t="s">
        <v>841</v>
      </c>
      <c r="F75" s="8" t="s">
        <v>42</v>
      </c>
      <c r="G75" s="9">
        <v>0.11527777777777778</v>
      </c>
      <c r="H75" s="9">
        <v>0.12708333333333333</v>
      </c>
      <c r="I75" s="10">
        <f t="shared" si="6"/>
        <v>1.1805555555555541E-2</v>
      </c>
      <c r="J75" s="11">
        <v>4</v>
      </c>
      <c r="K75" s="11">
        <v>62.67</v>
      </c>
      <c r="L75" s="16">
        <f t="shared" si="7"/>
        <v>55.297058823529483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>
        <f>17/2</f>
        <v>8.5</v>
      </c>
      <c r="Y75" s="11"/>
      <c r="Z75" s="11">
        <v>8.5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148" t="s">
        <v>967</v>
      </c>
      <c r="E76" s="147" t="s">
        <v>1635</v>
      </c>
      <c r="F76" s="8" t="s">
        <v>42</v>
      </c>
      <c r="G76" s="9">
        <v>0.12222222222222222</v>
      </c>
      <c r="H76" s="9">
        <v>0.13333333333333333</v>
      </c>
      <c r="I76" s="10">
        <f t="shared" si="6"/>
        <v>1.1111111111111113E-2</v>
      </c>
      <c r="J76" s="11">
        <v>4</v>
      </c>
      <c r="K76" s="11">
        <v>59.68</v>
      </c>
      <c r="L76" s="16">
        <f t="shared" si="7"/>
        <v>55.949999999999989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2</v>
      </c>
      <c r="W76" s="12"/>
      <c r="X76" s="11"/>
      <c r="Y76" s="11">
        <v>8</v>
      </c>
      <c r="Z76" s="11"/>
      <c r="AA76" s="11">
        <v>8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148" t="s">
        <v>967</v>
      </c>
      <c r="E77" s="147" t="s">
        <v>1636</v>
      </c>
      <c r="F77" s="8" t="s">
        <v>42</v>
      </c>
      <c r="G77" s="9">
        <v>0.13055555555555556</v>
      </c>
      <c r="H77" s="9">
        <v>0.14027777777777778</v>
      </c>
      <c r="I77" s="10">
        <f t="shared" si="6"/>
        <v>9.7222222222222154E-3</v>
      </c>
      <c r="J77" s="11">
        <v>4</v>
      </c>
      <c r="K77" s="11">
        <v>61.64</v>
      </c>
      <c r="L77" s="16">
        <f t="shared" si="7"/>
        <v>66.042857142857187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>
        <v>7</v>
      </c>
      <c r="Y77" s="11"/>
      <c r="Z77" s="11">
        <v>7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148"/>
      <c r="E78" s="147" t="s">
        <v>1637</v>
      </c>
      <c r="F78" s="8" t="s">
        <v>42</v>
      </c>
      <c r="G78" s="9">
        <v>0.13680555555555557</v>
      </c>
      <c r="H78" s="9">
        <v>0.14722222222222223</v>
      </c>
      <c r="I78" s="10">
        <f t="shared" si="6"/>
        <v>1.0416666666666657E-2</v>
      </c>
      <c r="J78" s="11">
        <v>4</v>
      </c>
      <c r="K78" s="11">
        <v>59.37</v>
      </c>
      <c r="L78" s="16">
        <f t="shared" si="7"/>
        <v>59.370000000000054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>
        <f>15/2</f>
        <v>7.5</v>
      </c>
      <c r="Z78" s="11"/>
      <c r="AA78" s="11">
        <v>7.5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148" t="s">
        <v>967</v>
      </c>
      <c r="E79" s="147" t="s">
        <v>967</v>
      </c>
      <c r="F79" s="8" t="s">
        <v>42</v>
      </c>
      <c r="G79" s="9"/>
      <c r="H79" s="9"/>
      <c r="I79" s="10"/>
      <c r="J79" s="11"/>
      <c r="K79" s="11"/>
      <c r="L79" s="16" t="str">
        <f t="shared" si="7"/>
        <v>0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148" t="s">
        <v>1525</v>
      </c>
      <c r="E80" s="147" t="s">
        <v>1638</v>
      </c>
      <c r="F80" s="8" t="s">
        <v>42</v>
      </c>
      <c r="G80" s="9">
        <v>0.86458333333333337</v>
      </c>
      <c r="H80" s="9">
        <v>0.91736111111111107</v>
      </c>
      <c r="I80" s="10">
        <f t="shared" ref="I80:I109" si="8">H80-G80</f>
        <v>5.2777777777777701E-2</v>
      </c>
      <c r="J80" s="11">
        <v>4</v>
      </c>
      <c r="K80" s="11">
        <f>2772*0.03</f>
        <v>83.16</v>
      </c>
      <c r="L80" s="16">
        <f t="shared" si="7"/>
        <v>16.413157894736866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/>
      <c r="AB80" s="11"/>
      <c r="AC80" s="11"/>
      <c r="AD80" s="11"/>
      <c r="AE80" s="11"/>
      <c r="AF80" s="11"/>
      <c r="AG80" s="11">
        <f>76/4</f>
        <v>19</v>
      </c>
      <c r="AH80" s="11">
        <f>76/4</f>
        <v>19</v>
      </c>
      <c r="AI80" s="11">
        <f>76/4</f>
        <v>19</v>
      </c>
      <c r="AJ80" s="11">
        <f>76/4</f>
        <v>19</v>
      </c>
      <c r="AK80" s="11"/>
      <c r="AL80" s="14"/>
    </row>
    <row r="81" spans="2:38" ht="25.05" customHeight="1">
      <c r="B81" s="13"/>
      <c r="C81" s="29"/>
      <c r="D81" s="148" t="s">
        <v>967</v>
      </c>
      <c r="E81" s="147" t="s">
        <v>1639</v>
      </c>
      <c r="F81" s="8" t="s">
        <v>42</v>
      </c>
      <c r="G81" s="9">
        <v>0.92500000000000004</v>
      </c>
      <c r="H81" s="9">
        <v>0.96180555555555558</v>
      </c>
      <c r="I81" s="10">
        <f t="shared" si="8"/>
        <v>3.6805555555555536E-2</v>
      </c>
      <c r="J81" s="11">
        <v>4</v>
      </c>
      <c r="K81" s="11">
        <f>2848*0.03</f>
        <v>85.44</v>
      </c>
      <c r="L81" s="16">
        <f t="shared" si="7"/>
        <v>24.181132075471709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/>
      <c r="Z81" s="11"/>
      <c r="AA81" s="11"/>
      <c r="AB81" s="11"/>
      <c r="AC81" s="11"/>
      <c r="AD81" s="11"/>
      <c r="AE81" s="11"/>
      <c r="AF81" s="11"/>
      <c r="AG81" s="11">
        <f>53/4</f>
        <v>13.25</v>
      </c>
      <c r="AH81" s="11">
        <f>53/4</f>
        <v>13.25</v>
      </c>
      <c r="AI81" s="11">
        <f>53/4</f>
        <v>13.25</v>
      </c>
      <c r="AJ81" s="11">
        <f>53/4</f>
        <v>13.25</v>
      </c>
      <c r="AK81" s="11"/>
      <c r="AL81" s="14"/>
    </row>
    <row r="82" spans="2:38" ht="25.05" customHeight="1">
      <c r="B82" s="13"/>
      <c r="C82" s="29"/>
      <c r="D82" s="148" t="s">
        <v>967</v>
      </c>
      <c r="E82" s="147" t="s">
        <v>1640</v>
      </c>
      <c r="F82" s="8" t="s">
        <v>42</v>
      </c>
      <c r="G82" s="9">
        <v>0.97013888888888888</v>
      </c>
      <c r="H82" s="9">
        <v>1.0027777777777778</v>
      </c>
      <c r="I82" s="10">
        <f t="shared" si="8"/>
        <v>3.2638888888888884E-2</v>
      </c>
      <c r="J82" s="11">
        <v>4</v>
      </c>
      <c r="K82" s="11">
        <f>2856*0.03</f>
        <v>85.679999999999993</v>
      </c>
      <c r="L82" s="16">
        <f t="shared" si="7"/>
        <v>27.344680851063831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/>
      <c r="AB82" s="11"/>
      <c r="AC82" s="11"/>
      <c r="AD82" s="11"/>
      <c r="AE82" s="11"/>
      <c r="AF82" s="11"/>
      <c r="AG82" s="11">
        <f>47/4</f>
        <v>11.75</v>
      </c>
      <c r="AH82" s="11">
        <f>47/4</f>
        <v>11.75</v>
      </c>
      <c r="AI82" s="11">
        <f>47/4</f>
        <v>11.75</v>
      </c>
      <c r="AJ82" s="11">
        <f>47/4</f>
        <v>11.75</v>
      </c>
      <c r="AK82" s="11"/>
      <c r="AL82" s="14"/>
    </row>
    <row r="83" spans="2:38" ht="25.05" customHeight="1">
      <c r="B83" s="13"/>
      <c r="C83" s="29"/>
      <c r="D83" s="148" t="s">
        <v>967</v>
      </c>
      <c r="E83" s="147" t="s">
        <v>1641</v>
      </c>
      <c r="F83" s="8" t="s">
        <v>42</v>
      </c>
      <c r="G83" s="9">
        <v>8.611111111111111E-2</v>
      </c>
      <c r="H83" s="9">
        <v>0.11527777777777778</v>
      </c>
      <c r="I83" s="10">
        <f t="shared" si="8"/>
        <v>2.9166666666666674E-2</v>
      </c>
      <c r="J83" s="11">
        <v>4</v>
      </c>
      <c r="K83" s="11">
        <f>2856*0.03</f>
        <v>85.679999999999993</v>
      </c>
      <c r="L83" s="16">
        <f t="shared" si="7"/>
        <v>30.599999999999991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2</v>
      </c>
      <c r="X83" s="11"/>
      <c r="Y83" s="11"/>
      <c r="Z83" s="11"/>
      <c r="AA83" s="11"/>
      <c r="AB83" s="11"/>
      <c r="AC83" s="11"/>
      <c r="AD83" s="11"/>
      <c r="AE83" s="11"/>
      <c r="AF83" s="11"/>
      <c r="AG83" s="11">
        <f t="shared" ref="AG83:AJ84" si="9">42/4</f>
        <v>10.5</v>
      </c>
      <c r="AH83" s="11">
        <f t="shared" si="9"/>
        <v>10.5</v>
      </c>
      <c r="AI83" s="11">
        <f t="shared" si="9"/>
        <v>10.5</v>
      </c>
      <c r="AJ83" s="11">
        <f t="shared" si="9"/>
        <v>10.5</v>
      </c>
      <c r="AK83" s="11"/>
      <c r="AL83" s="14"/>
    </row>
    <row r="84" spans="2:38" ht="25.05" customHeight="1">
      <c r="B84" s="13"/>
      <c r="C84" s="29"/>
      <c r="D84" s="148" t="s">
        <v>967</v>
      </c>
      <c r="E84" s="147" t="s">
        <v>1642</v>
      </c>
      <c r="F84" s="8" t="s">
        <v>42</v>
      </c>
      <c r="G84" s="9">
        <v>0.11597222222222223</v>
      </c>
      <c r="H84" s="9">
        <v>0.1451388888888889</v>
      </c>
      <c r="I84" s="10">
        <f t="shared" si="8"/>
        <v>2.9166666666666674E-2</v>
      </c>
      <c r="J84" s="11">
        <v>4</v>
      </c>
      <c r="K84" s="11">
        <f>2851*0.03</f>
        <v>85.53</v>
      </c>
      <c r="L84" s="16">
        <f t="shared" si="7"/>
        <v>30.546428571428564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2</v>
      </c>
      <c r="W84" s="12"/>
      <c r="X84" s="11"/>
      <c r="Y84" s="11"/>
      <c r="Z84" s="11"/>
      <c r="AA84" s="11"/>
      <c r="AB84" s="11"/>
      <c r="AC84" s="11"/>
      <c r="AD84" s="11"/>
      <c r="AE84" s="11"/>
      <c r="AF84" s="11"/>
      <c r="AG84" s="11">
        <f t="shared" si="9"/>
        <v>10.5</v>
      </c>
      <c r="AH84" s="11">
        <f t="shared" si="9"/>
        <v>10.5</v>
      </c>
      <c r="AI84" s="11">
        <f t="shared" si="9"/>
        <v>10.5</v>
      </c>
      <c r="AJ84" s="11">
        <f t="shared" si="9"/>
        <v>10.5</v>
      </c>
      <c r="AK84" s="11"/>
      <c r="AL84" s="14"/>
    </row>
    <row r="85" spans="2:38" ht="25.05" customHeight="1">
      <c r="B85" s="13"/>
      <c r="C85" s="29"/>
      <c r="D85" s="148" t="s">
        <v>967</v>
      </c>
      <c r="E85" s="147" t="s">
        <v>1643</v>
      </c>
      <c r="F85" s="8" t="s">
        <v>42</v>
      </c>
      <c r="G85" s="9">
        <v>0.14791666666666667</v>
      </c>
      <c r="H85" s="9">
        <v>0.17430555555555555</v>
      </c>
      <c r="I85" s="10">
        <f t="shared" si="8"/>
        <v>2.6388888888888878E-2</v>
      </c>
      <c r="J85" s="11">
        <v>4</v>
      </c>
      <c r="K85" s="11">
        <f>2866*0.03</f>
        <v>85.97999999999999</v>
      </c>
      <c r="L85" s="16">
        <f t="shared" si="7"/>
        <v>33.939473684210533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>
        <f>38/4</f>
        <v>9.5</v>
      </c>
      <c r="AH85" s="11">
        <f>38/4</f>
        <v>9.5</v>
      </c>
      <c r="AI85" s="11">
        <f>38/4</f>
        <v>9.5</v>
      </c>
      <c r="AJ85" s="11">
        <f>38/4</f>
        <v>9.5</v>
      </c>
      <c r="AK85" s="11"/>
      <c r="AL85" s="14"/>
    </row>
    <row r="86" spans="2:38" ht="25.05" customHeight="1">
      <c r="B86" s="13"/>
      <c r="C86" s="29"/>
      <c r="D86" s="148" t="s">
        <v>967</v>
      </c>
      <c r="E86" s="147" t="s">
        <v>1644</v>
      </c>
      <c r="F86" s="8" t="s">
        <v>42</v>
      </c>
      <c r="G86" s="9">
        <v>0.17499999999999999</v>
      </c>
      <c r="H86" s="9">
        <v>0.19583333333333333</v>
      </c>
      <c r="I86" s="10">
        <f t="shared" si="8"/>
        <v>2.0833333333333343E-2</v>
      </c>
      <c r="J86" s="11">
        <v>4</v>
      </c>
      <c r="K86" s="11">
        <f>2854*0.03</f>
        <v>85.61999999999999</v>
      </c>
      <c r="L86" s="16">
        <f t="shared" si="7"/>
        <v>42.809999999999974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/>
      <c r="Y86" s="11"/>
      <c r="Z86" s="11"/>
      <c r="AA86" s="11"/>
      <c r="AB86" s="11"/>
      <c r="AC86" s="11"/>
      <c r="AD86" s="11"/>
      <c r="AE86" s="11"/>
      <c r="AF86" s="11"/>
      <c r="AG86" s="11">
        <f>30/4</f>
        <v>7.5</v>
      </c>
      <c r="AH86" s="11">
        <f>30/4</f>
        <v>7.5</v>
      </c>
      <c r="AI86" s="11">
        <f>30/4</f>
        <v>7.5</v>
      </c>
      <c r="AJ86" s="11">
        <f>30/4</f>
        <v>7.5</v>
      </c>
      <c r="AK86" s="11"/>
      <c r="AL86" s="14"/>
    </row>
    <row r="87" spans="2:38" ht="25.05" customHeight="1">
      <c r="B87" s="13"/>
      <c r="C87" s="29"/>
      <c r="D87" s="148" t="s">
        <v>967</v>
      </c>
      <c r="E87" s="147" t="s">
        <v>1645</v>
      </c>
      <c r="F87" s="8" t="s">
        <v>42</v>
      </c>
      <c r="G87" s="9">
        <v>0.20069444444444445</v>
      </c>
      <c r="H87" s="9">
        <v>0.22777777777777777</v>
      </c>
      <c r="I87" s="10">
        <f t="shared" si="8"/>
        <v>2.708333333333332E-2</v>
      </c>
      <c r="J87" s="11">
        <v>4</v>
      </c>
      <c r="K87" s="11">
        <f>2835*0.03</f>
        <v>85.05</v>
      </c>
      <c r="L87" s="16">
        <f t="shared" si="7"/>
        <v>32.711538461538474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>
        <f>39/4</f>
        <v>9.75</v>
      </c>
      <c r="AH87" s="11">
        <f>39/4</f>
        <v>9.75</v>
      </c>
      <c r="AI87" s="11">
        <f>39/4</f>
        <v>9.75</v>
      </c>
      <c r="AJ87" s="11">
        <f>39/4</f>
        <v>9.75</v>
      </c>
      <c r="AK87" s="11"/>
      <c r="AL87" s="14"/>
    </row>
    <row r="88" spans="2:38" ht="25.05" customHeight="1">
      <c r="B88" s="13"/>
      <c r="C88" s="29"/>
      <c r="D88" s="148" t="s">
        <v>967</v>
      </c>
      <c r="E88" s="147" t="s">
        <v>1646</v>
      </c>
      <c r="F88" s="8" t="s">
        <v>42</v>
      </c>
      <c r="G88" s="9">
        <v>0.22847222222222222</v>
      </c>
      <c r="H88" s="9">
        <v>0.24791666666666667</v>
      </c>
      <c r="I88" s="10">
        <f t="shared" si="8"/>
        <v>1.9444444444444459E-2</v>
      </c>
      <c r="J88" s="11">
        <v>4</v>
      </c>
      <c r="K88" s="11">
        <f>2856*0.03</f>
        <v>85.679999999999993</v>
      </c>
      <c r="L88" s="16">
        <f t="shared" si="7"/>
        <v>45.899999999999956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2</v>
      </c>
      <c r="W88" s="12"/>
      <c r="X88" s="11"/>
      <c r="Y88" s="11"/>
      <c r="Z88" s="11"/>
      <c r="AA88" s="11"/>
      <c r="AB88" s="11"/>
      <c r="AC88" s="11"/>
      <c r="AD88" s="11"/>
      <c r="AE88" s="11"/>
      <c r="AF88" s="11"/>
      <c r="AG88" s="11">
        <f>28/4</f>
        <v>7</v>
      </c>
      <c r="AH88" s="11">
        <f>28/4</f>
        <v>7</v>
      </c>
      <c r="AI88" s="11">
        <f>28/4</f>
        <v>7</v>
      </c>
      <c r="AJ88" s="11">
        <f>28/4</f>
        <v>7</v>
      </c>
      <c r="AK88" s="11"/>
      <c r="AL88" s="14"/>
    </row>
    <row r="89" spans="2:38" ht="25.05" customHeight="1">
      <c r="B89" s="13"/>
      <c r="C89" s="29"/>
      <c r="D89" s="148"/>
      <c r="E89" s="147" t="s">
        <v>1647</v>
      </c>
      <c r="F89" s="8" t="s">
        <v>42</v>
      </c>
      <c r="G89" s="9">
        <v>0.25</v>
      </c>
      <c r="H89" s="9">
        <v>0.25694444444444442</v>
      </c>
      <c r="I89" s="10">
        <f t="shared" si="8"/>
        <v>6.9444444444444198E-3</v>
      </c>
      <c r="J89" s="11">
        <v>4</v>
      </c>
      <c r="K89" s="11">
        <f>1362*0.03</f>
        <v>40.86</v>
      </c>
      <c r="L89" s="16">
        <f t="shared" si="7"/>
        <v>61.290000000000219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/>
      <c r="X89" s="11"/>
      <c r="Y89" s="11"/>
      <c r="Z89" s="11"/>
      <c r="AA89" s="11"/>
      <c r="AB89" s="11"/>
      <c r="AC89" s="11"/>
      <c r="AD89" s="11"/>
      <c r="AE89" s="11"/>
      <c r="AF89" s="11"/>
      <c r="AG89" s="11">
        <f>10/4</f>
        <v>2.5</v>
      </c>
      <c r="AH89" s="11">
        <f>10/4</f>
        <v>2.5</v>
      </c>
      <c r="AI89" s="11">
        <f>10/4</f>
        <v>2.5</v>
      </c>
      <c r="AJ89" s="11">
        <f>10/4</f>
        <v>2.5</v>
      </c>
      <c r="AK89" s="11"/>
      <c r="AL89" s="14"/>
    </row>
    <row r="90" spans="2:38" ht="25.05" customHeight="1">
      <c r="B90" s="13"/>
      <c r="C90" s="29"/>
      <c r="D90" s="148" t="s">
        <v>967</v>
      </c>
      <c r="E90" s="147" t="s">
        <v>1648</v>
      </c>
      <c r="F90" s="8" t="s">
        <v>42</v>
      </c>
      <c r="G90" s="9">
        <v>0.1875</v>
      </c>
      <c r="H90" s="9">
        <v>0.18958333333333333</v>
      </c>
      <c r="I90" s="10">
        <f t="shared" si="8"/>
        <v>2.0833333333333259E-3</v>
      </c>
      <c r="J90" s="11">
        <v>4</v>
      </c>
      <c r="K90" s="11">
        <v>44.26</v>
      </c>
      <c r="L90" s="16">
        <f t="shared" si="7"/>
        <v>221.30000000000078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>
        <v>3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148" t="s">
        <v>967</v>
      </c>
      <c r="E91" s="147" t="s">
        <v>1649</v>
      </c>
      <c r="F91" s="8" t="s">
        <v>42</v>
      </c>
      <c r="G91" s="9">
        <v>0.19513888888888889</v>
      </c>
      <c r="H91" s="9">
        <v>0.19722222222222222</v>
      </c>
      <c r="I91" s="10">
        <f t="shared" si="8"/>
        <v>2.0833333333333259E-3</v>
      </c>
      <c r="J91" s="11">
        <v>4</v>
      </c>
      <c r="K91" s="11">
        <v>43.95</v>
      </c>
      <c r="L91" s="16">
        <f t="shared" si="7"/>
        <v>219.7500000000008</v>
      </c>
      <c r="M91" s="11"/>
      <c r="N91" s="11"/>
      <c r="O91" s="11"/>
      <c r="P91" s="11"/>
      <c r="Q91" s="11"/>
      <c r="R91" s="12"/>
      <c r="S91" s="12"/>
      <c r="T91" s="11"/>
      <c r="U91" s="11"/>
      <c r="V91" s="12">
        <v>2</v>
      </c>
      <c r="W91" s="12"/>
      <c r="X91" s="11"/>
      <c r="Y91" s="11"/>
      <c r="Z91" s="11">
        <v>3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148" t="s">
        <v>967</v>
      </c>
      <c r="E92" s="147" t="s">
        <v>1650</v>
      </c>
      <c r="F92" s="8" t="s">
        <v>42</v>
      </c>
      <c r="G92" s="9">
        <v>0.20069444444444445</v>
      </c>
      <c r="H92" s="9">
        <v>0.20277777777777778</v>
      </c>
      <c r="I92" s="10">
        <f t="shared" si="8"/>
        <v>2.0833333333333259E-3</v>
      </c>
      <c r="J92" s="11">
        <v>4</v>
      </c>
      <c r="K92" s="11">
        <v>44.83</v>
      </c>
      <c r="L92" s="16">
        <f t="shared" si="7"/>
        <v>224.15000000000077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/>
      <c r="Z92" s="11">
        <v>3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148" t="s">
        <v>967</v>
      </c>
      <c r="E93" s="147" t="s">
        <v>1651</v>
      </c>
      <c r="F93" s="8" t="s">
        <v>42</v>
      </c>
      <c r="G93" s="9">
        <v>0.20624999999999999</v>
      </c>
      <c r="H93" s="9">
        <v>0.20833333333333334</v>
      </c>
      <c r="I93" s="10">
        <f t="shared" si="8"/>
        <v>2.0833333333333537E-3</v>
      </c>
      <c r="J93" s="11">
        <v>4</v>
      </c>
      <c r="K93" s="11">
        <v>44.49</v>
      </c>
      <c r="L93" s="16">
        <f t="shared" si="7"/>
        <v>222.44999999999786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2</v>
      </c>
      <c r="W93" s="12"/>
      <c r="X93" s="11"/>
      <c r="Y93" s="11"/>
      <c r="Z93" s="11">
        <v>3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148" t="s">
        <v>967</v>
      </c>
      <c r="E94" s="147" t="s">
        <v>1652</v>
      </c>
      <c r="F94" s="8" t="s">
        <v>42</v>
      </c>
      <c r="G94" s="9">
        <v>0.21249999999999999</v>
      </c>
      <c r="H94" s="9">
        <v>0.21458333333333332</v>
      </c>
      <c r="I94" s="10">
        <f t="shared" si="8"/>
        <v>2.0833333333333259E-3</v>
      </c>
      <c r="J94" s="11">
        <v>4</v>
      </c>
      <c r="K94" s="11">
        <v>44.05</v>
      </c>
      <c r="L94" s="16">
        <f t="shared" ref="L94:L107" si="10">IFERROR(((K94/(J94*I94)/24)),"0")</f>
        <v>220.25000000000077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2</v>
      </c>
      <c r="X94" s="11"/>
      <c r="Y94" s="11"/>
      <c r="Z94" s="11">
        <v>3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148" t="s">
        <v>967</v>
      </c>
      <c r="E95" s="147" t="s">
        <v>1653</v>
      </c>
      <c r="F95" s="8" t="s">
        <v>42</v>
      </c>
      <c r="G95" s="9">
        <v>0.21805555555555556</v>
      </c>
      <c r="H95" s="9">
        <v>0.22013888888888888</v>
      </c>
      <c r="I95" s="10">
        <f t="shared" si="8"/>
        <v>2.0833333333333259E-3</v>
      </c>
      <c r="J95" s="11">
        <v>4</v>
      </c>
      <c r="K95" s="11">
        <v>44.19</v>
      </c>
      <c r="L95" s="16">
        <f t="shared" si="10"/>
        <v>220.95000000000076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2</v>
      </c>
      <c r="W95" s="12"/>
      <c r="X95" s="11"/>
      <c r="Y95" s="11"/>
      <c r="Z95" s="11">
        <v>3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148" t="s">
        <v>967</v>
      </c>
      <c r="E96" s="147" t="s">
        <v>1654</v>
      </c>
      <c r="F96" s="8" t="s">
        <v>42</v>
      </c>
      <c r="G96" s="9">
        <v>0.22569444444444445</v>
      </c>
      <c r="H96" s="9">
        <v>0.22777777777777777</v>
      </c>
      <c r="I96" s="10">
        <f t="shared" si="8"/>
        <v>2.0833333333333259E-3</v>
      </c>
      <c r="J96" s="11">
        <v>4</v>
      </c>
      <c r="K96" s="11">
        <v>43.44</v>
      </c>
      <c r="L96" s="16">
        <f t="shared" si="10"/>
        <v>217.20000000000076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2</v>
      </c>
      <c r="X96" s="11"/>
      <c r="Y96" s="11"/>
      <c r="Z96" s="11">
        <v>3</v>
      </c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1:38" ht="25.05" customHeight="1">
      <c r="B97" s="13"/>
      <c r="C97" s="29"/>
      <c r="D97" s="148" t="s">
        <v>967</v>
      </c>
      <c r="E97" s="147" t="s">
        <v>1655</v>
      </c>
      <c r="F97" s="8" t="s">
        <v>42</v>
      </c>
      <c r="G97" s="9">
        <v>0.23541666666666666</v>
      </c>
      <c r="H97" s="9">
        <v>0.23749999999999999</v>
      </c>
      <c r="I97" s="10">
        <f t="shared" si="8"/>
        <v>2.0833333333333259E-3</v>
      </c>
      <c r="J97" s="11">
        <v>4</v>
      </c>
      <c r="K97" s="11">
        <v>43.53</v>
      </c>
      <c r="L97" s="16">
        <f t="shared" si="10"/>
        <v>217.65000000000077</v>
      </c>
      <c r="M97" s="11"/>
      <c r="N97" s="11"/>
      <c r="O97" s="11"/>
      <c r="P97" s="11"/>
      <c r="Q97" s="11"/>
      <c r="R97" s="12"/>
      <c r="S97" s="12"/>
      <c r="T97" s="11"/>
      <c r="U97" s="11"/>
      <c r="V97" s="12">
        <v>2</v>
      </c>
      <c r="W97" s="12"/>
      <c r="X97" s="11"/>
      <c r="Y97" s="11"/>
      <c r="Z97" s="11">
        <v>3</v>
      </c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1:38" ht="25.05" customHeight="1">
      <c r="B98" s="13"/>
      <c r="C98" s="29"/>
      <c r="D98" s="148" t="s">
        <v>967</v>
      </c>
      <c r="E98" s="147" t="s">
        <v>1656</v>
      </c>
      <c r="F98" s="8" t="s">
        <v>42</v>
      </c>
      <c r="G98" s="9">
        <v>0.24166666666666667</v>
      </c>
      <c r="H98" s="9">
        <v>0.24374999999999999</v>
      </c>
      <c r="I98" s="10">
        <f t="shared" si="8"/>
        <v>2.0833333333333259E-3</v>
      </c>
      <c r="J98" s="11">
        <v>4</v>
      </c>
      <c r="K98" s="11">
        <v>44.5</v>
      </c>
      <c r="L98" s="16">
        <f t="shared" si="10"/>
        <v>222.5000000000008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2</v>
      </c>
      <c r="X98" s="11"/>
      <c r="Y98" s="11"/>
      <c r="Z98" s="11">
        <v>3</v>
      </c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1:38" ht="25.05" customHeight="1">
      <c r="B99" s="13"/>
      <c r="C99" s="29"/>
      <c r="D99" s="148" t="s">
        <v>967</v>
      </c>
      <c r="E99" s="147" t="s">
        <v>1657</v>
      </c>
      <c r="F99" s="8" t="s">
        <v>42</v>
      </c>
      <c r="G99" s="9">
        <v>0.24791666666666667</v>
      </c>
      <c r="H99" s="9">
        <v>0.25</v>
      </c>
      <c r="I99" s="10">
        <f t="shared" si="8"/>
        <v>2.0833333333333259E-3</v>
      </c>
      <c r="J99" s="11">
        <v>4</v>
      </c>
      <c r="K99" s="11">
        <v>44.19</v>
      </c>
      <c r="L99" s="16">
        <f t="shared" si="10"/>
        <v>220.95000000000076</v>
      </c>
      <c r="M99" s="11"/>
      <c r="N99" s="11"/>
      <c r="O99" s="11"/>
      <c r="P99" s="11"/>
      <c r="Q99" s="11"/>
      <c r="R99" s="12"/>
      <c r="S99" s="12"/>
      <c r="T99" s="11"/>
      <c r="U99" s="11"/>
      <c r="V99" s="12">
        <v>2</v>
      </c>
      <c r="W99" s="12"/>
      <c r="X99" s="11"/>
      <c r="Y99" s="11"/>
      <c r="Z99" s="11">
        <v>3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1:38" ht="25.05" customHeight="1">
      <c r="B100" s="13"/>
      <c r="C100" s="29"/>
      <c r="D100" s="148" t="s">
        <v>967</v>
      </c>
      <c r="E100" s="147" t="s">
        <v>1658</v>
      </c>
      <c r="F100" s="8" t="s">
        <v>42</v>
      </c>
      <c r="G100" s="9">
        <v>0.25347222222222221</v>
      </c>
      <c r="H100" s="9">
        <v>0.25555555555555554</v>
      </c>
      <c r="I100" s="10">
        <f t="shared" si="8"/>
        <v>2.0833333333333259E-3</v>
      </c>
      <c r="J100" s="11">
        <v>4</v>
      </c>
      <c r="K100" s="11">
        <v>44.19</v>
      </c>
      <c r="L100" s="16">
        <f t="shared" si="10"/>
        <v>220.95000000000076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>
        <v>2</v>
      </c>
      <c r="X100" s="11"/>
      <c r="Y100" s="11"/>
      <c r="Z100" s="11">
        <v>3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1:38" ht="25.05" customHeight="1">
      <c r="B101" s="13"/>
      <c r="C101" s="29"/>
      <c r="D101" s="148" t="s">
        <v>967</v>
      </c>
      <c r="E101" s="147" t="s">
        <v>1659</v>
      </c>
      <c r="F101" s="8" t="s">
        <v>42</v>
      </c>
      <c r="G101" s="9">
        <v>0.2590277777777778</v>
      </c>
      <c r="H101" s="9">
        <v>0.26111111111111113</v>
      </c>
      <c r="I101" s="10">
        <f t="shared" si="8"/>
        <v>2.0833333333333259E-3</v>
      </c>
      <c r="J101" s="11">
        <v>4</v>
      </c>
      <c r="K101" s="11">
        <v>44.03</v>
      </c>
      <c r="L101" s="16">
        <f t="shared" si="10"/>
        <v>220.15000000000077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2</v>
      </c>
      <c r="W101" s="12"/>
      <c r="X101" s="11"/>
      <c r="Y101" s="11"/>
      <c r="Z101" s="11">
        <v>3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1:38" ht="25.05" customHeight="1">
      <c r="B102" s="13"/>
      <c r="C102" s="29"/>
      <c r="D102" s="148"/>
      <c r="E102" s="147" t="s">
        <v>1660</v>
      </c>
      <c r="F102" s="8"/>
      <c r="G102" s="9">
        <v>0.26319444444444445</v>
      </c>
      <c r="H102" s="9">
        <v>0.26527777777777778</v>
      </c>
      <c r="I102" s="10">
        <f t="shared" si="8"/>
        <v>2.0833333333333259E-3</v>
      </c>
      <c r="J102" s="11">
        <v>4</v>
      </c>
      <c r="K102" s="11">
        <v>22.42</v>
      </c>
      <c r="L102" s="16">
        <f t="shared" si="10"/>
        <v>112.10000000000041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/>
      <c r="X102" s="11"/>
      <c r="Y102" s="11"/>
      <c r="Z102" s="11">
        <v>3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1:38" ht="25.05" customHeight="1">
      <c r="B103" s="13"/>
      <c r="C103" s="29"/>
      <c r="D103" s="148" t="s">
        <v>967</v>
      </c>
      <c r="E103" s="147" t="s">
        <v>1661</v>
      </c>
      <c r="F103" s="8" t="s">
        <v>42</v>
      </c>
      <c r="G103" s="9">
        <v>0.96597222222222223</v>
      </c>
      <c r="H103" s="9">
        <v>0.97569444444444442</v>
      </c>
      <c r="I103" s="10">
        <f t="shared" si="8"/>
        <v>9.7222222222221877E-3</v>
      </c>
      <c r="J103" s="11">
        <v>3</v>
      </c>
      <c r="K103" s="11">
        <v>126.08</v>
      </c>
      <c r="L103" s="16">
        <f t="shared" si="10"/>
        <v>180.11428571428635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2</v>
      </c>
      <c r="X103" s="11"/>
      <c r="Y103" s="11"/>
      <c r="Z103" s="11"/>
      <c r="AA103" s="11"/>
      <c r="AB103" s="11"/>
      <c r="AC103" s="11"/>
      <c r="AD103" s="11">
        <v>14</v>
      </c>
      <c r="AE103" s="11"/>
      <c r="AF103" s="11"/>
      <c r="AG103" s="11"/>
      <c r="AH103" s="11"/>
      <c r="AI103" s="11"/>
      <c r="AJ103" s="11"/>
      <c r="AK103" s="11"/>
      <c r="AL103" s="14"/>
    </row>
    <row r="104" spans="1:38" ht="25.05" customHeight="1">
      <c r="B104" s="13"/>
      <c r="C104" s="29"/>
      <c r="D104" s="148" t="s">
        <v>967</v>
      </c>
      <c r="E104" s="147" t="s">
        <v>1662</v>
      </c>
      <c r="F104" s="8" t="s">
        <v>42</v>
      </c>
      <c r="G104" s="9">
        <v>0.98263888888888884</v>
      </c>
      <c r="H104" s="9">
        <v>0.99236111111111114</v>
      </c>
      <c r="I104" s="10">
        <f t="shared" si="8"/>
        <v>9.7222222222222987E-3</v>
      </c>
      <c r="J104" s="11">
        <v>3</v>
      </c>
      <c r="K104" s="11">
        <v>12.81</v>
      </c>
      <c r="L104" s="16">
        <f t="shared" si="10"/>
        <v>18.299999999999859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>
        <v>2</v>
      </c>
      <c r="W104" s="12"/>
      <c r="X104" s="11"/>
      <c r="Y104" s="11"/>
      <c r="Z104" s="11"/>
      <c r="AA104" s="11"/>
      <c r="AB104" s="11"/>
      <c r="AC104" s="11"/>
      <c r="AD104" s="11">
        <v>14</v>
      </c>
      <c r="AE104" s="11"/>
      <c r="AF104" s="11"/>
      <c r="AG104" s="11"/>
      <c r="AH104" s="11"/>
      <c r="AI104" s="11"/>
      <c r="AJ104" s="11"/>
      <c r="AK104" s="11"/>
      <c r="AL104" s="14"/>
    </row>
    <row r="105" spans="1:38" ht="25.05" customHeight="1">
      <c r="B105" s="13"/>
      <c r="C105" s="29"/>
      <c r="D105" s="148" t="s">
        <v>967</v>
      </c>
      <c r="E105" s="147" t="s">
        <v>1663</v>
      </c>
      <c r="F105" s="8" t="s">
        <v>42</v>
      </c>
      <c r="G105" s="9">
        <v>1</v>
      </c>
      <c r="H105" s="9">
        <v>1.0097222222222222</v>
      </c>
      <c r="I105" s="10">
        <f t="shared" si="8"/>
        <v>9.7222222222221877E-3</v>
      </c>
      <c r="J105" s="11">
        <v>3</v>
      </c>
      <c r="K105" s="11">
        <v>127.54</v>
      </c>
      <c r="L105" s="16">
        <f t="shared" si="10"/>
        <v>182.20000000000064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2</v>
      </c>
      <c r="X105" s="11"/>
      <c r="Y105" s="11"/>
      <c r="Z105" s="11"/>
      <c r="AA105" s="11"/>
      <c r="AB105" s="11"/>
      <c r="AC105" s="11"/>
      <c r="AD105" s="11">
        <v>14</v>
      </c>
      <c r="AE105" s="11"/>
      <c r="AF105" s="11"/>
      <c r="AG105" s="11"/>
      <c r="AH105" s="11"/>
      <c r="AI105" s="11"/>
      <c r="AJ105" s="11"/>
      <c r="AK105" s="11"/>
      <c r="AL105" s="14"/>
    </row>
    <row r="106" spans="1:38" ht="25.05" customHeight="1">
      <c r="B106" s="13"/>
      <c r="C106" s="29"/>
      <c r="D106" s="148" t="s">
        <v>967</v>
      </c>
      <c r="E106" s="147" t="s">
        <v>1664</v>
      </c>
      <c r="F106" s="8" t="s">
        <v>42</v>
      </c>
      <c r="G106" s="9">
        <v>8.3333333333333329E-2</v>
      </c>
      <c r="H106" s="9">
        <v>9.3055555555555558E-2</v>
      </c>
      <c r="I106" s="10">
        <f t="shared" si="8"/>
        <v>9.7222222222222293E-3</v>
      </c>
      <c r="J106" s="11">
        <v>3</v>
      </c>
      <c r="K106" s="11">
        <v>128.19999999999999</v>
      </c>
      <c r="L106" s="16">
        <f t="shared" si="10"/>
        <v>183.142857142857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2</v>
      </c>
      <c r="W106" s="12"/>
      <c r="X106" s="11"/>
      <c r="Y106" s="11"/>
      <c r="Z106" s="11"/>
      <c r="AA106" s="11"/>
      <c r="AB106" s="11"/>
      <c r="AC106" s="11"/>
      <c r="AD106" s="11">
        <v>14</v>
      </c>
      <c r="AE106" s="11"/>
      <c r="AF106" s="11"/>
      <c r="AG106" s="11"/>
      <c r="AH106" s="11"/>
      <c r="AI106" s="11"/>
      <c r="AJ106" s="11"/>
      <c r="AK106" s="11"/>
      <c r="AL106" s="14"/>
    </row>
    <row r="107" spans="1:38" ht="25.05" customHeight="1">
      <c r="B107" s="13"/>
      <c r="C107" s="29"/>
      <c r="D107" s="148" t="s">
        <v>967</v>
      </c>
      <c r="E107" s="147" t="s">
        <v>1665</v>
      </c>
      <c r="F107" s="8" t="s">
        <v>42</v>
      </c>
      <c r="G107" s="9">
        <v>0.10138888888888889</v>
      </c>
      <c r="H107" s="9">
        <v>0.1111111111111111</v>
      </c>
      <c r="I107" s="10">
        <f t="shared" si="8"/>
        <v>9.7222222222222154E-3</v>
      </c>
      <c r="J107" s="11">
        <v>3</v>
      </c>
      <c r="K107" s="11">
        <v>127.62</v>
      </c>
      <c r="L107" s="16">
        <f t="shared" si="10"/>
        <v>182.31428571428583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>
        <v>2</v>
      </c>
      <c r="X107" s="11"/>
      <c r="Y107" s="11"/>
      <c r="Z107" s="11"/>
      <c r="AA107" s="11"/>
      <c r="AB107" s="11"/>
      <c r="AC107" s="11"/>
      <c r="AD107" s="11">
        <v>14</v>
      </c>
      <c r="AE107" s="11"/>
      <c r="AF107" s="11"/>
      <c r="AG107" s="11"/>
      <c r="AH107" s="11"/>
      <c r="AI107" s="11"/>
      <c r="AJ107" s="11"/>
      <c r="AK107" s="11"/>
      <c r="AL107" s="14"/>
    </row>
    <row r="108" spans="1:38" ht="25.05" customHeight="1">
      <c r="B108" s="13"/>
      <c r="C108" s="29"/>
      <c r="D108" s="148" t="s">
        <v>967</v>
      </c>
      <c r="E108" s="147" t="s">
        <v>1666</v>
      </c>
      <c r="F108" s="8" t="s">
        <v>42</v>
      </c>
      <c r="G108" s="9">
        <v>0.11805555555555555</v>
      </c>
      <c r="H108" s="9">
        <v>0.12777777777777777</v>
      </c>
      <c r="I108" s="10">
        <f t="shared" si="8"/>
        <v>9.7222222222222154E-3</v>
      </c>
      <c r="J108" s="11">
        <v>3</v>
      </c>
      <c r="K108" s="11">
        <v>127.05</v>
      </c>
      <c r="L108" s="16">
        <f>IFERROR(((K107/(J107*I107)/24)),"0")</f>
        <v>182.31428571428583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>
        <v>2</v>
      </c>
      <c r="W108" s="12"/>
      <c r="X108" s="11"/>
      <c r="Y108" s="11"/>
      <c r="Z108" s="11"/>
      <c r="AA108" s="11"/>
      <c r="AB108" s="11"/>
      <c r="AC108" s="11"/>
      <c r="AD108" s="11">
        <v>14</v>
      </c>
      <c r="AE108" s="11"/>
      <c r="AF108" s="11"/>
      <c r="AG108" s="11"/>
      <c r="AH108" s="11"/>
      <c r="AI108" s="11"/>
      <c r="AJ108" s="11"/>
      <c r="AK108" s="11"/>
      <c r="AL108" s="14"/>
    </row>
    <row r="109" spans="1:38" ht="25.05" customHeight="1">
      <c r="B109" s="13"/>
      <c r="C109" s="29"/>
      <c r="D109" s="148" t="s">
        <v>1487</v>
      </c>
      <c r="E109" s="147" t="s">
        <v>1667</v>
      </c>
      <c r="F109" s="8" t="s">
        <v>42</v>
      </c>
      <c r="G109" s="9">
        <v>0.24027777777777778</v>
      </c>
      <c r="H109" s="9">
        <v>0.24583333333333332</v>
      </c>
      <c r="I109" s="10">
        <f t="shared" si="8"/>
        <v>5.5555555555555358E-3</v>
      </c>
      <c r="J109" s="11">
        <v>3</v>
      </c>
      <c r="K109" s="11">
        <v>37.700000000000003</v>
      </c>
      <c r="L109" s="16">
        <f>IFERROR(((K109/(J109*I109)/24)),"0")</f>
        <v>94.250000000000341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>
        <v>2</v>
      </c>
      <c r="X109" s="11"/>
      <c r="Y109" s="11"/>
      <c r="Z109" s="11"/>
      <c r="AA109" s="11"/>
      <c r="AB109" s="11"/>
      <c r="AC109" s="11">
        <v>8</v>
      </c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1:38" s="28" customFormat="1" ht="25.5" customHeight="1" thickBot="1">
      <c r="A110" s="2"/>
      <c r="B110" s="32"/>
      <c r="C110" s="33"/>
      <c r="D110" s="34"/>
      <c r="E110" s="35"/>
      <c r="F110" s="35"/>
      <c r="G110" s="36"/>
      <c r="H110" s="36"/>
      <c r="I110" s="37"/>
      <c r="J110" s="38"/>
      <c r="K110" s="38">
        <f t="shared" ref="K110:AL110" si="11">SUM(K30:K109)</f>
        <v>5230.1799999999976</v>
      </c>
      <c r="L110" s="39">
        <f t="shared" si="11"/>
        <v>6405.6600164651063</v>
      </c>
      <c r="M110" s="38">
        <f t="shared" si="11"/>
        <v>0</v>
      </c>
      <c r="N110" s="38">
        <f t="shared" si="11"/>
        <v>0</v>
      </c>
      <c r="O110" s="38">
        <f t="shared" si="11"/>
        <v>0</v>
      </c>
      <c r="P110" s="38">
        <f t="shared" si="11"/>
        <v>0</v>
      </c>
      <c r="Q110" s="38">
        <f t="shared" si="11"/>
        <v>0</v>
      </c>
      <c r="R110" s="38">
        <f t="shared" si="11"/>
        <v>0</v>
      </c>
      <c r="S110" s="38">
        <f t="shared" si="11"/>
        <v>0</v>
      </c>
      <c r="T110" s="38">
        <f t="shared" si="11"/>
        <v>0</v>
      </c>
      <c r="U110" s="38">
        <f t="shared" si="11"/>
        <v>0</v>
      </c>
      <c r="V110" s="38">
        <f t="shared" si="11"/>
        <v>76</v>
      </c>
      <c r="W110" s="38">
        <f t="shared" si="11"/>
        <v>79</v>
      </c>
      <c r="X110" s="38">
        <f t="shared" si="11"/>
        <v>346.5</v>
      </c>
      <c r="Y110" s="38">
        <f t="shared" si="11"/>
        <v>185</v>
      </c>
      <c r="Z110" s="38">
        <f t="shared" si="11"/>
        <v>258.5</v>
      </c>
      <c r="AA110" s="38">
        <f t="shared" si="11"/>
        <v>81</v>
      </c>
      <c r="AB110" s="38">
        <f t="shared" si="11"/>
        <v>0</v>
      </c>
      <c r="AC110" s="38">
        <f t="shared" si="11"/>
        <v>8</v>
      </c>
      <c r="AD110" s="38">
        <f t="shared" si="11"/>
        <v>84</v>
      </c>
      <c r="AE110" s="38">
        <f t="shared" si="11"/>
        <v>0</v>
      </c>
      <c r="AF110" s="38">
        <f t="shared" si="11"/>
        <v>0</v>
      </c>
      <c r="AG110" s="38">
        <f t="shared" si="11"/>
        <v>101.25</v>
      </c>
      <c r="AH110" s="38">
        <f t="shared" si="11"/>
        <v>101.25</v>
      </c>
      <c r="AI110" s="38">
        <f t="shared" si="11"/>
        <v>101.25</v>
      </c>
      <c r="AJ110" s="38">
        <f t="shared" si="11"/>
        <v>101.25</v>
      </c>
      <c r="AK110" s="38">
        <f t="shared" si="11"/>
        <v>0</v>
      </c>
      <c r="AL110" s="38">
        <f t="shared" si="11"/>
        <v>0</v>
      </c>
    </row>
    <row r="111" spans="1:38" ht="38.1" customHeight="1" thickBot="1">
      <c r="B111" s="40" t="s">
        <v>45</v>
      </c>
      <c r="C111" s="41"/>
      <c r="D111" s="41"/>
      <c r="E111" s="41"/>
      <c r="F111" s="41"/>
      <c r="G111" s="41"/>
      <c r="H111" s="41"/>
      <c r="I111" s="41"/>
      <c r="J111" s="41"/>
      <c r="K111" s="42">
        <f>K24+K29+K110</f>
        <v>7684.8799999999974</v>
      </c>
      <c r="L111" s="42">
        <f>L24+L29+L110</f>
        <v>7827.7279559836752</v>
      </c>
      <c r="M111" s="43">
        <f t="shared" ref="M111:AL111" si="12">(M24+M29+M110)/(480-15-30)</f>
        <v>0.55172413793103448</v>
      </c>
      <c r="N111" s="43">
        <f t="shared" si="12"/>
        <v>0</v>
      </c>
      <c r="O111" s="43">
        <f t="shared" si="12"/>
        <v>0</v>
      </c>
      <c r="P111" s="43">
        <f t="shared" si="12"/>
        <v>0</v>
      </c>
      <c r="Q111" s="43">
        <f t="shared" si="12"/>
        <v>0</v>
      </c>
      <c r="R111" s="43">
        <f t="shared" si="12"/>
        <v>0.41609195402298849</v>
      </c>
      <c r="S111" s="43">
        <f t="shared" si="12"/>
        <v>1.5218390804597701</v>
      </c>
      <c r="T111" s="43">
        <f t="shared" si="12"/>
        <v>0</v>
      </c>
      <c r="U111" s="43">
        <f t="shared" si="12"/>
        <v>0</v>
      </c>
      <c r="V111" s="43">
        <f t="shared" si="12"/>
        <v>0.17471264367816092</v>
      </c>
      <c r="W111" s="43">
        <f t="shared" si="12"/>
        <v>0.18160919540229886</v>
      </c>
      <c r="X111" s="43">
        <f t="shared" si="12"/>
        <v>0.79655172413793107</v>
      </c>
      <c r="Y111" s="43">
        <f t="shared" si="12"/>
        <v>0.42528735632183906</v>
      </c>
      <c r="Z111" s="43">
        <f t="shared" si="12"/>
        <v>0.59425287356321843</v>
      </c>
      <c r="AA111" s="43">
        <f t="shared" si="12"/>
        <v>0.18620689655172415</v>
      </c>
      <c r="AB111" s="43">
        <f t="shared" si="12"/>
        <v>0</v>
      </c>
      <c r="AC111" s="43">
        <f t="shared" si="12"/>
        <v>1.8390804597701149E-2</v>
      </c>
      <c r="AD111" s="43">
        <f t="shared" si="12"/>
        <v>0.19310344827586207</v>
      </c>
      <c r="AE111" s="43">
        <f t="shared" si="12"/>
        <v>0</v>
      </c>
      <c r="AF111" s="43">
        <f t="shared" si="12"/>
        <v>0</v>
      </c>
      <c r="AG111" s="43">
        <f t="shared" si="12"/>
        <v>0.23275862068965517</v>
      </c>
      <c r="AH111" s="43">
        <f t="shared" si="12"/>
        <v>0.23275862068965517</v>
      </c>
      <c r="AI111" s="43">
        <f t="shared" si="12"/>
        <v>0.23275862068965517</v>
      </c>
      <c r="AJ111" s="43">
        <f t="shared" si="12"/>
        <v>0.23275862068965517</v>
      </c>
      <c r="AK111" s="43">
        <f t="shared" si="12"/>
        <v>0</v>
      </c>
      <c r="AL111" s="43">
        <f t="shared" si="12"/>
        <v>0</v>
      </c>
    </row>
    <row r="112" spans="1:38" ht="25.05" customHeight="1">
      <c r="B112" s="44"/>
      <c r="C112" s="44"/>
      <c r="D112" s="44"/>
      <c r="E112" s="45"/>
      <c r="F112" s="45"/>
      <c r="G112" s="45"/>
      <c r="H112" s="45"/>
      <c r="I112" s="46"/>
      <c r="J112" s="46"/>
      <c r="K112" s="45"/>
      <c r="L112" s="47"/>
      <c r="M112" s="47"/>
      <c r="N112" s="47"/>
      <c r="O112" s="47"/>
      <c r="P112" s="47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spans="2:36" ht="25.05" customHeight="1">
      <c r="B113" s="44"/>
      <c r="C113" s="44"/>
      <c r="D113" s="44"/>
      <c r="E113" s="45"/>
      <c r="F113" s="45"/>
      <c r="G113" s="45"/>
      <c r="H113" s="45"/>
      <c r="I113" s="48" t="s">
        <v>46</v>
      </c>
      <c r="J113" s="46"/>
      <c r="K113" s="45"/>
      <c r="L113" s="47"/>
      <c r="M113" s="47"/>
      <c r="N113" s="47"/>
      <c r="O113" s="47"/>
      <c r="P113" s="47"/>
      <c r="Q113" s="45"/>
      <c r="R113" s="45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  <c r="AI113" s="45"/>
      <c r="AJ113" s="45"/>
    </row>
    <row r="114" spans="2:36" ht="25.05" customHeight="1">
      <c r="B114" s="44"/>
      <c r="C114" s="44"/>
      <c r="D114" s="44"/>
      <c r="E114" s="45"/>
      <c r="F114" s="45"/>
      <c r="G114" s="45"/>
      <c r="H114" s="45"/>
      <c r="I114" s="49" t="s">
        <v>47</v>
      </c>
      <c r="J114" s="9">
        <v>0</v>
      </c>
      <c r="K114" s="11">
        <v>6</v>
      </c>
      <c r="L114" s="11" t="s">
        <v>48</v>
      </c>
      <c r="M114" s="47"/>
      <c r="N114" s="14">
        <v>2</v>
      </c>
      <c r="O114" s="14"/>
      <c r="P114" s="14"/>
      <c r="Q114" s="50" t="s">
        <v>49</v>
      </c>
      <c r="R114" s="51"/>
      <c r="S114" s="45"/>
      <c r="T114" s="45"/>
      <c r="U114" s="45"/>
      <c r="V114" s="45"/>
      <c r="W114" s="45"/>
      <c r="X114" s="45"/>
      <c r="Y114" s="45"/>
      <c r="Z114" s="45"/>
      <c r="AA114" s="45"/>
      <c r="AC114" s="45"/>
      <c r="AD114" s="45"/>
      <c r="AE114" s="45"/>
      <c r="AF114" s="45"/>
      <c r="AG114" s="45"/>
      <c r="AH114" s="45"/>
    </row>
    <row r="115" spans="2:36" ht="25.05" customHeight="1">
      <c r="B115" s="44"/>
      <c r="C115" s="44"/>
      <c r="D115" s="44"/>
      <c r="E115" s="45"/>
      <c r="F115" s="45"/>
      <c r="G115" s="45"/>
      <c r="H115" s="45"/>
      <c r="I115" s="49" t="s">
        <v>50</v>
      </c>
      <c r="J115" s="9">
        <v>0</v>
      </c>
      <c r="K115" s="11">
        <v>0</v>
      </c>
      <c r="L115" s="11" t="s">
        <v>48</v>
      </c>
      <c r="M115" s="47"/>
      <c r="N115" s="14">
        <v>0</v>
      </c>
      <c r="O115" s="14"/>
      <c r="P115" s="14"/>
      <c r="Q115" s="50" t="s">
        <v>51</v>
      </c>
      <c r="R115" s="51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</row>
    <row r="116" spans="2:36" ht="25.05" customHeight="1">
      <c r="B116" s="44"/>
      <c r="C116" s="44"/>
      <c r="D116" s="44"/>
      <c r="E116" s="45"/>
      <c r="F116" s="45"/>
      <c r="G116" s="45"/>
      <c r="H116" s="45"/>
      <c r="I116" s="49" t="s">
        <v>52</v>
      </c>
      <c r="J116" s="9">
        <v>0</v>
      </c>
      <c r="K116" s="11">
        <v>12</v>
      </c>
      <c r="L116" s="11" t="s">
        <v>48</v>
      </c>
      <c r="M116" s="47"/>
      <c r="N116" s="14">
        <v>0</v>
      </c>
      <c r="O116" s="14"/>
      <c r="P116" s="14"/>
      <c r="Q116" s="50" t="s">
        <v>53</v>
      </c>
      <c r="R116" s="51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</row>
    <row r="117" spans="2:36" ht="25.05" customHeight="1">
      <c r="B117" s="44"/>
      <c r="C117" s="44"/>
      <c r="D117" s="44"/>
      <c r="E117" s="45"/>
      <c r="F117" s="45"/>
      <c r="G117" s="45"/>
      <c r="H117" s="45"/>
      <c r="I117" s="52" t="s">
        <v>54</v>
      </c>
      <c r="J117" s="53">
        <v>0</v>
      </c>
      <c r="K117" s="11">
        <v>2</v>
      </c>
      <c r="L117" s="54" t="s">
        <v>48</v>
      </c>
      <c r="M117" s="47"/>
      <c r="N117" s="14">
        <v>3</v>
      </c>
      <c r="O117" s="14"/>
      <c r="P117" s="14"/>
      <c r="Q117" s="50" t="s">
        <v>55</v>
      </c>
      <c r="R117" s="51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</row>
    <row r="118" spans="2:36" ht="25.05" customHeight="1">
      <c r="B118" s="44"/>
      <c r="C118" s="44"/>
      <c r="D118" s="44"/>
      <c r="E118" s="45"/>
      <c r="F118" s="45"/>
      <c r="G118" s="45"/>
      <c r="H118" s="45"/>
      <c r="I118" s="49" t="s">
        <v>56</v>
      </c>
      <c r="J118" s="9">
        <v>0</v>
      </c>
      <c r="K118" s="11">
        <v>20</v>
      </c>
      <c r="L118" s="11" t="s">
        <v>48</v>
      </c>
      <c r="M118" s="47"/>
      <c r="N118"/>
      <c r="O118"/>
      <c r="P118"/>
      <c r="Q118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</row>
    <row r="119" spans="2:36" ht="25.05" customHeight="1">
      <c r="B119" s="44"/>
      <c r="C119" s="44"/>
      <c r="D119" s="44"/>
      <c r="E119" s="45"/>
      <c r="F119" s="45"/>
      <c r="G119" s="45"/>
      <c r="H119" s="45"/>
      <c r="M119" s="47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</row>
    <row r="120" spans="2:36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3A5E-4EC5-4EFB-A0A3-88FBD8AC49D5}">
  <sheetPr>
    <pageSetUpPr fitToPage="1"/>
  </sheetPr>
  <dimension ref="A1:AM141"/>
  <sheetViews>
    <sheetView zoomScale="85" zoomScaleNormal="85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 t="s">
        <v>1668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1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30" t="s">
        <v>1669</v>
      </c>
      <c r="E5" s="15" t="s">
        <v>1670</v>
      </c>
      <c r="F5" s="8" t="s">
        <v>1671</v>
      </c>
      <c r="G5" s="9">
        <v>0.29166666666666669</v>
      </c>
      <c r="H5" s="9">
        <v>0.31597222222222221</v>
      </c>
      <c r="I5" s="10">
        <f t="shared" si="0"/>
        <v>2.4305555555555525E-2</v>
      </c>
      <c r="J5" s="11">
        <v>2</v>
      </c>
      <c r="K5" s="11">
        <v>35.200000000000003</v>
      </c>
      <c r="L5" s="16">
        <f t="shared" ref="L5:L21" si="1">IFERROR(((K5/(J5*I5)/24)),"0")</f>
        <v>30.17142857142861</v>
      </c>
      <c r="M5" s="11"/>
      <c r="N5" s="11"/>
      <c r="O5" s="11"/>
      <c r="P5" s="11"/>
      <c r="Q5" s="11"/>
      <c r="R5" s="12">
        <v>35</v>
      </c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1672</v>
      </c>
      <c r="F6" s="8" t="s">
        <v>1673</v>
      </c>
      <c r="G6" s="9">
        <v>0.29166666666666669</v>
      </c>
      <c r="H6" s="9">
        <v>0.3611111111111111</v>
      </c>
      <c r="I6" s="10">
        <f t="shared" si="0"/>
        <v>6.944444444444442E-2</v>
      </c>
      <c r="J6" s="11">
        <v>8</v>
      </c>
      <c r="K6" s="11">
        <v>306.25</v>
      </c>
      <c r="L6" s="16">
        <f t="shared" si="1"/>
        <v>22.968750000000011</v>
      </c>
      <c r="M6" s="11"/>
      <c r="N6" s="11"/>
      <c r="O6" s="11"/>
      <c r="P6" s="11"/>
      <c r="Q6" s="11"/>
      <c r="R6" s="12"/>
      <c r="S6" s="12">
        <v>100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30"/>
      <c r="E7" s="15" t="s">
        <v>1674</v>
      </c>
      <c r="F7" s="8" t="s">
        <v>1675</v>
      </c>
      <c r="G7" s="9">
        <v>0.29166666666666669</v>
      </c>
      <c r="H7" s="9">
        <v>0.3125</v>
      </c>
      <c r="I7" s="10">
        <f t="shared" si="0"/>
        <v>2.0833333333333315E-2</v>
      </c>
      <c r="J7" s="11">
        <v>2</v>
      </c>
      <c r="K7" s="11">
        <v>89</v>
      </c>
      <c r="L7" s="16">
        <f t="shared" si="1"/>
        <v>89.000000000000071</v>
      </c>
      <c r="M7" s="11"/>
      <c r="N7" s="11"/>
      <c r="O7" s="11"/>
      <c r="P7" s="11"/>
      <c r="Q7" s="11"/>
      <c r="R7" s="12"/>
      <c r="S7" s="12">
        <v>30</v>
      </c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 t="s">
        <v>1525</v>
      </c>
      <c r="E8" s="120" t="s">
        <v>497</v>
      </c>
      <c r="F8" s="8" t="s">
        <v>1676</v>
      </c>
      <c r="G8" s="9">
        <v>0.31805555555555554</v>
      </c>
      <c r="H8" s="9">
        <v>0.34027777777777779</v>
      </c>
      <c r="I8" s="10">
        <f t="shared" si="0"/>
        <v>2.2222222222222254E-2</v>
      </c>
      <c r="J8" s="11">
        <v>2</v>
      </c>
      <c r="K8" s="11">
        <v>17.2</v>
      </c>
      <c r="L8" s="16">
        <f t="shared" si="1"/>
        <v>16.124999999999975</v>
      </c>
      <c r="M8" s="11"/>
      <c r="N8" s="11"/>
      <c r="O8" s="11"/>
      <c r="P8" s="11"/>
      <c r="Q8" s="11"/>
      <c r="R8" s="12">
        <v>32</v>
      </c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1530</v>
      </c>
      <c r="F9" s="88" t="s">
        <v>42</v>
      </c>
      <c r="G9" s="9">
        <v>0.34375</v>
      </c>
      <c r="H9" s="9">
        <v>0.375</v>
      </c>
      <c r="I9" s="10">
        <f t="shared" si="0"/>
        <v>3.125E-2</v>
      </c>
      <c r="J9" s="11">
        <v>1</v>
      </c>
      <c r="K9" s="11">
        <v>44</v>
      </c>
      <c r="L9" s="16">
        <f t="shared" si="1"/>
        <v>58.666666666666664</v>
      </c>
      <c r="M9" s="11"/>
      <c r="N9" s="11"/>
      <c r="O9" s="11"/>
      <c r="P9" s="11"/>
      <c r="Q9" s="11"/>
      <c r="R9" s="12">
        <v>45</v>
      </c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1531</v>
      </c>
      <c r="F10" s="88" t="s">
        <v>42</v>
      </c>
      <c r="G10" s="9">
        <v>0.3611111111111111</v>
      </c>
      <c r="H10" s="9">
        <v>0.40277777777777779</v>
      </c>
      <c r="I10" s="10">
        <f t="shared" si="0"/>
        <v>4.1666666666666685E-2</v>
      </c>
      <c r="J10" s="11">
        <v>1</v>
      </c>
      <c r="K10" s="11">
        <v>36</v>
      </c>
      <c r="L10" s="16">
        <f t="shared" si="1"/>
        <v>35.999999999999986</v>
      </c>
      <c r="M10" s="11"/>
      <c r="N10" s="11"/>
      <c r="O10" s="11"/>
      <c r="P10" s="11"/>
      <c r="Q10" s="11"/>
      <c r="R10" s="12">
        <v>60</v>
      </c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630</v>
      </c>
      <c r="F11" s="88" t="s">
        <v>42</v>
      </c>
      <c r="G11" s="9">
        <v>0.40277777777777779</v>
      </c>
      <c r="H11" s="9">
        <v>0.41666666666666669</v>
      </c>
      <c r="I11" s="10">
        <f t="shared" si="0"/>
        <v>1.3888888888888895E-2</v>
      </c>
      <c r="J11" s="11">
        <v>3</v>
      </c>
      <c r="K11" s="11">
        <v>96.8</v>
      </c>
      <c r="L11" s="16">
        <f t="shared" si="1"/>
        <v>96.799999999999955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1677</v>
      </c>
      <c r="F12" s="88" t="s">
        <v>42</v>
      </c>
      <c r="G12" s="9">
        <v>0.3611111111111111</v>
      </c>
      <c r="H12" s="9">
        <v>0.40277777777777779</v>
      </c>
      <c r="I12" s="10">
        <f t="shared" si="0"/>
        <v>4.1666666666666685E-2</v>
      </c>
      <c r="J12" s="11">
        <v>5</v>
      </c>
      <c r="K12" s="11">
        <v>188</v>
      </c>
      <c r="L12" s="16">
        <f t="shared" si="1"/>
        <v>37.599999999999987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1678</v>
      </c>
      <c r="F13" s="55" t="s">
        <v>1676</v>
      </c>
      <c r="G13" s="9">
        <v>0.375</v>
      </c>
      <c r="H13" s="9">
        <v>0.40972222222222221</v>
      </c>
      <c r="I13" s="10">
        <f t="shared" si="0"/>
        <v>3.472222222222221E-2</v>
      </c>
      <c r="J13" s="11">
        <v>4</v>
      </c>
      <c r="K13" s="11">
        <v>100</v>
      </c>
      <c r="L13" s="16">
        <f t="shared" si="1"/>
        <v>30.000000000000011</v>
      </c>
      <c r="M13" s="11"/>
      <c r="N13" s="11"/>
      <c r="O13" s="11"/>
      <c r="P13" s="11"/>
      <c r="Q13" s="11"/>
      <c r="R13" s="12"/>
      <c r="S13" s="12">
        <v>50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96</v>
      </c>
      <c r="F14" s="88" t="s">
        <v>42</v>
      </c>
      <c r="G14" s="9">
        <v>0.40972222222222221</v>
      </c>
      <c r="H14" s="9">
        <v>0.4236111111111111</v>
      </c>
      <c r="I14" s="10">
        <f t="shared" si="0"/>
        <v>1.3888888888888895E-2</v>
      </c>
      <c r="J14" s="11">
        <v>12</v>
      </c>
      <c r="K14" s="62" t="s">
        <v>42</v>
      </c>
      <c r="L14" s="64" t="s">
        <v>42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 t="s">
        <v>104</v>
      </c>
      <c r="F15" s="88" t="s">
        <v>42</v>
      </c>
      <c r="G15" s="9">
        <v>0.4236111111111111</v>
      </c>
      <c r="H15" s="9">
        <v>0.46527777777777779</v>
      </c>
      <c r="I15" s="10">
        <f t="shared" si="0"/>
        <v>4.1666666666666685E-2</v>
      </c>
      <c r="J15" s="11">
        <v>14</v>
      </c>
      <c r="K15" s="62" t="s">
        <v>42</v>
      </c>
      <c r="L15" s="64" t="s">
        <v>42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 t="s">
        <v>1679</v>
      </c>
      <c r="E16" s="15" t="s">
        <v>1680</v>
      </c>
      <c r="F16" s="88" t="s">
        <v>42</v>
      </c>
      <c r="G16" s="9">
        <v>0.46527777777777779</v>
      </c>
      <c r="H16" s="9">
        <v>0.59722222222222221</v>
      </c>
      <c r="I16" s="10">
        <f t="shared" si="0"/>
        <v>0.13194444444444442</v>
      </c>
      <c r="J16" s="11">
        <v>8</v>
      </c>
      <c r="K16" s="11">
        <v>452</v>
      </c>
      <c r="L16" s="16">
        <f t="shared" si="1"/>
        <v>17.842105263157897</v>
      </c>
      <c r="M16" s="11"/>
      <c r="N16" s="11"/>
      <c r="O16" s="11"/>
      <c r="P16" s="11"/>
      <c r="Q16" s="11"/>
      <c r="R16" s="12"/>
      <c r="S16" s="12">
        <v>190</v>
      </c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 t="s">
        <v>1681</v>
      </c>
      <c r="F17" s="88" t="s">
        <v>42</v>
      </c>
      <c r="G17" s="9">
        <v>0.46875</v>
      </c>
      <c r="H17" s="9">
        <v>0.61111111111111116</v>
      </c>
      <c r="I17" s="10">
        <f t="shared" si="0"/>
        <v>0.14236111111111116</v>
      </c>
      <c r="J17" s="11">
        <v>3</v>
      </c>
      <c r="K17" s="62" t="s">
        <v>42</v>
      </c>
      <c r="L17" s="16" t="str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/>
      <c r="E18" s="15" t="s">
        <v>1677</v>
      </c>
      <c r="F18" s="88" t="s">
        <v>42</v>
      </c>
      <c r="G18" s="9">
        <v>0.52083333333333337</v>
      </c>
      <c r="H18" s="9">
        <v>0.5625</v>
      </c>
      <c r="I18" s="10">
        <f t="shared" si="0"/>
        <v>4.166666666666663E-2</v>
      </c>
      <c r="J18" s="11">
        <v>2</v>
      </c>
      <c r="K18" s="11">
        <v>672</v>
      </c>
      <c r="L18" s="16">
        <f t="shared" si="1"/>
        <v>336.00000000000028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1011</v>
      </c>
      <c r="F19" s="88" t="s">
        <v>42</v>
      </c>
      <c r="G19" s="9">
        <v>0.56944444444444442</v>
      </c>
      <c r="H19" s="9">
        <v>0.64583333333333337</v>
      </c>
      <c r="I19" s="10">
        <f t="shared" si="0"/>
        <v>7.6388888888888951E-2</v>
      </c>
      <c r="J19" s="11">
        <v>12</v>
      </c>
      <c r="K19" s="11">
        <v>460</v>
      </c>
      <c r="L19" s="16">
        <f t="shared" si="1"/>
        <v>20.909090909090892</v>
      </c>
      <c r="M19" s="11"/>
      <c r="N19" s="11"/>
      <c r="O19" s="11"/>
      <c r="P19" s="11"/>
      <c r="Q19" s="11"/>
      <c r="R19" s="12"/>
      <c r="S19" s="12">
        <v>110</v>
      </c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5" customHeight="1">
      <c r="B20" s="13"/>
      <c r="C20" s="14"/>
      <c r="D20" s="6"/>
      <c r="E20" s="15" t="s">
        <v>96</v>
      </c>
      <c r="F20" s="88" t="s">
        <v>42</v>
      </c>
      <c r="G20" s="9">
        <v>0.64583333333333337</v>
      </c>
      <c r="H20" s="9">
        <v>0.66666666666666663</v>
      </c>
      <c r="I20" s="10">
        <f t="shared" si="0"/>
        <v>2.0833333333333259E-2</v>
      </c>
      <c r="J20" s="11">
        <v>12</v>
      </c>
      <c r="K20" s="62" t="s">
        <v>42</v>
      </c>
      <c r="L20" s="64" t="s">
        <v>42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/>
      <c r="F21" s="55"/>
      <c r="G21" s="9"/>
      <c r="H21" s="9"/>
      <c r="I21" s="10">
        <f t="shared" si="0"/>
        <v>0</v>
      </c>
      <c r="J21" s="11"/>
      <c r="K21" s="11"/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s="28" customFormat="1" ht="25.05" customHeight="1">
      <c r="A22" s="2"/>
      <c r="B22" s="21"/>
      <c r="C22" s="22"/>
      <c r="D22" s="23"/>
      <c r="E22" s="24"/>
      <c r="F22" s="24"/>
      <c r="G22" s="25"/>
      <c r="H22" s="25"/>
      <c r="I22" s="26"/>
      <c r="J22" s="27"/>
      <c r="K22" s="27">
        <f t="shared" ref="K22:AL22" si="2">SUM(K4:K20)</f>
        <v>2496.4499999999998</v>
      </c>
      <c r="L22" s="39">
        <f t="shared" si="2"/>
        <v>792.08304141034432</v>
      </c>
      <c r="M22" s="27">
        <f t="shared" si="2"/>
        <v>0</v>
      </c>
      <c r="N22" s="27">
        <f t="shared" si="2"/>
        <v>0</v>
      </c>
      <c r="O22" s="27">
        <f t="shared" si="2"/>
        <v>0</v>
      </c>
      <c r="P22" s="27">
        <f t="shared" si="2"/>
        <v>0</v>
      </c>
      <c r="Q22" s="27">
        <f t="shared" si="2"/>
        <v>0</v>
      </c>
      <c r="R22" s="27">
        <f t="shared" si="2"/>
        <v>172</v>
      </c>
      <c r="S22" s="27">
        <f t="shared" si="2"/>
        <v>480</v>
      </c>
      <c r="T22" s="27">
        <f t="shared" si="2"/>
        <v>0</v>
      </c>
      <c r="U22" s="27">
        <f t="shared" si="2"/>
        <v>0</v>
      </c>
      <c r="V22" s="27">
        <f t="shared" si="2"/>
        <v>0</v>
      </c>
      <c r="W22" s="27">
        <f t="shared" si="2"/>
        <v>0</v>
      </c>
      <c r="X22" s="27">
        <f t="shared" si="2"/>
        <v>0</v>
      </c>
      <c r="Y22" s="27">
        <f t="shared" si="2"/>
        <v>0</v>
      </c>
      <c r="Z22" s="27">
        <f t="shared" si="2"/>
        <v>0</v>
      </c>
      <c r="AA22" s="27">
        <f t="shared" si="2"/>
        <v>0</v>
      </c>
      <c r="AB22" s="27">
        <f t="shared" si="2"/>
        <v>0</v>
      </c>
      <c r="AC22" s="27">
        <f t="shared" si="2"/>
        <v>0</v>
      </c>
      <c r="AD22" s="27">
        <f t="shared" si="2"/>
        <v>0</v>
      </c>
      <c r="AE22" s="27">
        <f t="shared" si="2"/>
        <v>0</v>
      </c>
      <c r="AF22" s="27">
        <f t="shared" si="2"/>
        <v>0</v>
      </c>
      <c r="AG22" s="27">
        <f t="shared" si="2"/>
        <v>0</v>
      </c>
      <c r="AH22" s="27">
        <f t="shared" si="2"/>
        <v>0</v>
      </c>
      <c r="AI22" s="27">
        <f t="shared" si="2"/>
        <v>0</v>
      </c>
      <c r="AJ22" s="27">
        <f t="shared" si="2"/>
        <v>0</v>
      </c>
      <c r="AK22" s="27">
        <f t="shared" si="2"/>
        <v>0</v>
      </c>
      <c r="AL22" s="27">
        <f t="shared" si="2"/>
        <v>0</v>
      </c>
    </row>
    <row r="23" spans="1:38" ht="25.05" customHeight="1">
      <c r="B23" s="13" t="s">
        <v>1668</v>
      </c>
      <c r="C23" s="14" t="s">
        <v>43</v>
      </c>
      <c r="D23" s="6"/>
      <c r="E23" s="7" t="s">
        <v>41</v>
      </c>
      <c r="F23" s="8" t="s">
        <v>42</v>
      </c>
      <c r="G23" s="9">
        <v>0.79166666666666663</v>
      </c>
      <c r="H23" s="9">
        <v>0.83333333333333337</v>
      </c>
      <c r="I23" s="10">
        <f>H23-G23</f>
        <v>4.1666666666666741E-2</v>
      </c>
      <c r="J23" s="11">
        <v>3</v>
      </c>
      <c r="K23" s="62" t="s">
        <v>42</v>
      </c>
      <c r="L23" s="64" t="s">
        <v>42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 t="s">
        <v>1432</v>
      </c>
      <c r="E24" s="19" t="s">
        <v>1537</v>
      </c>
      <c r="F24" s="8" t="s">
        <v>42</v>
      </c>
      <c r="G24" s="9">
        <v>0.33333333333333331</v>
      </c>
      <c r="H24" s="9">
        <v>0.47916666666666669</v>
      </c>
      <c r="I24" s="10">
        <f t="shared" ref="I24:I26" si="3">H24-G24</f>
        <v>0.14583333333333337</v>
      </c>
      <c r="J24" s="11">
        <v>12</v>
      </c>
      <c r="K24" s="11">
        <v>352</v>
      </c>
      <c r="L24" s="16">
        <f t="shared" ref="L24:L26" si="4">IFERROR(((K24/(J24*I24)/24)),"0")</f>
        <v>8.3809523809523778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 t="s">
        <v>104</v>
      </c>
      <c r="F25" s="8" t="s">
        <v>42</v>
      </c>
      <c r="G25" s="9">
        <v>0.47916666666666669</v>
      </c>
      <c r="H25" s="9">
        <v>0.52083333333333337</v>
      </c>
      <c r="I25" s="10">
        <f t="shared" si="3"/>
        <v>4.1666666666666685E-2</v>
      </c>
      <c r="J25" s="11">
        <v>12</v>
      </c>
      <c r="K25" s="62" t="s">
        <v>42</v>
      </c>
      <c r="L25" s="64" t="s">
        <v>42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15"/>
      <c r="E26" s="19" t="s">
        <v>1537</v>
      </c>
      <c r="F26" s="8" t="s">
        <v>42</v>
      </c>
      <c r="G26" s="9">
        <v>0.52083333333333337</v>
      </c>
      <c r="H26" s="9">
        <v>0.66666666666666663</v>
      </c>
      <c r="I26" s="10">
        <f t="shared" si="3"/>
        <v>0.14583333333333326</v>
      </c>
      <c r="J26" s="11">
        <v>12</v>
      </c>
      <c r="K26" s="11">
        <v>352</v>
      </c>
      <c r="L26" s="16">
        <f t="shared" si="4"/>
        <v>8.3809523809523849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 t="s">
        <v>1432</v>
      </c>
      <c r="E27" s="15" t="s">
        <v>1682</v>
      </c>
      <c r="F27" s="8" t="s">
        <v>42</v>
      </c>
      <c r="G27" s="9">
        <v>0.54166666666666663</v>
      </c>
      <c r="H27" s="9">
        <v>0.70833333333333337</v>
      </c>
      <c r="I27" s="10">
        <f t="shared" ref="I27:I28" si="5">H27-G27</f>
        <v>0.16666666666666674</v>
      </c>
      <c r="J27" s="11">
        <v>12</v>
      </c>
      <c r="K27" s="62" t="s">
        <v>42</v>
      </c>
      <c r="L27" s="64" t="s">
        <v>42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/>
      <c r="E28" s="15" t="s">
        <v>96</v>
      </c>
      <c r="F28" s="8" t="s">
        <v>42</v>
      </c>
      <c r="G28" s="9">
        <v>0.70833333333333337</v>
      </c>
      <c r="H28" s="9">
        <v>0.75</v>
      </c>
      <c r="I28" s="10">
        <f t="shared" si="5"/>
        <v>4.166666666666663E-2</v>
      </c>
      <c r="J28" s="62">
        <v>12</v>
      </c>
      <c r="K28" s="62" t="s">
        <v>42</v>
      </c>
      <c r="L28" s="64" t="s">
        <v>42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18"/>
      <c r="E29" s="6"/>
      <c r="F29" s="14"/>
      <c r="G29" s="9"/>
      <c r="H29" s="9"/>
      <c r="I29" s="10"/>
      <c r="J29" s="11"/>
      <c r="K29" s="11"/>
      <c r="L29" s="16"/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s="28" customFormat="1" ht="25.05" customHeight="1">
      <c r="A30" s="2"/>
      <c r="B30" s="21"/>
      <c r="C30" s="22"/>
      <c r="D30" s="23"/>
      <c r="E30" s="24"/>
      <c r="F30" s="22"/>
      <c r="G30" s="25"/>
      <c r="H30" s="25"/>
      <c r="I30" s="26"/>
      <c r="J30" s="27"/>
      <c r="K30" s="27">
        <f t="shared" ref="K30:AI30" si="6">SUM(K23:K29)</f>
        <v>704</v>
      </c>
      <c r="L30" s="27">
        <f t="shared" si="6"/>
        <v>16.761904761904763</v>
      </c>
      <c r="M30" s="27">
        <f t="shared" si="6"/>
        <v>0</v>
      </c>
      <c r="N30" s="27">
        <f t="shared" si="6"/>
        <v>0</v>
      </c>
      <c r="O30" s="27">
        <f t="shared" si="6"/>
        <v>0</v>
      </c>
      <c r="P30" s="27">
        <f t="shared" si="6"/>
        <v>0</v>
      </c>
      <c r="Q30" s="27">
        <f t="shared" si="6"/>
        <v>0</v>
      </c>
      <c r="R30" s="27">
        <f t="shared" si="6"/>
        <v>0</v>
      </c>
      <c r="S30" s="27">
        <f t="shared" si="6"/>
        <v>0</v>
      </c>
      <c r="T30" s="27">
        <f t="shared" si="6"/>
        <v>0</v>
      </c>
      <c r="U30" s="27">
        <f t="shared" si="6"/>
        <v>0</v>
      </c>
      <c r="V30" s="27">
        <f t="shared" si="6"/>
        <v>0</v>
      </c>
      <c r="W30" s="27">
        <f t="shared" si="6"/>
        <v>0</v>
      </c>
      <c r="X30" s="27">
        <f t="shared" si="6"/>
        <v>0</v>
      </c>
      <c r="Y30" s="27">
        <f t="shared" si="6"/>
        <v>0</v>
      </c>
      <c r="Z30" s="27">
        <f t="shared" si="6"/>
        <v>0</v>
      </c>
      <c r="AA30" s="27">
        <f t="shared" si="6"/>
        <v>0</v>
      </c>
      <c r="AB30" s="27">
        <f t="shared" si="6"/>
        <v>0</v>
      </c>
      <c r="AC30" s="27">
        <f t="shared" si="6"/>
        <v>0</v>
      </c>
      <c r="AD30" s="27">
        <f t="shared" si="6"/>
        <v>0</v>
      </c>
      <c r="AE30" s="27">
        <f t="shared" si="6"/>
        <v>0</v>
      </c>
      <c r="AF30" s="27">
        <f t="shared" si="6"/>
        <v>0</v>
      </c>
      <c r="AG30" s="27">
        <f t="shared" si="6"/>
        <v>0</v>
      </c>
      <c r="AH30" s="27">
        <f t="shared" si="6"/>
        <v>0</v>
      </c>
      <c r="AI30" s="27">
        <f t="shared" si="6"/>
        <v>0</v>
      </c>
      <c r="AJ30" s="27">
        <f>SUM(AJ23:AJ29)</f>
        <v>0</v>
      </c>
      <c r="AK30" s="27">
        <f>SUM(AK23:AK29)</f>
        <v>0</v>
      </c>
      <c r="AL30" s="27">
        <f>SUM(AL23:AL29)</f>
        <v>0</v>
      </c>
    </row>
    <row r="31" spans="1:38" ht="25.05" customHeight="1">
      <c r="B31" s="5" t="s">
        <v>1668</v>
      </c>
      <c r="C31" s="29" t="s">
        <v>44</v>
      </c>
      <c r="D31" s="30"/>
      <c r="E31" s="7" t="s">
        <v>41</v>
      </c>
      <c r="F31" s="8" t="s">
        <v>42</v>
      </c>
      <c r="G31" s="9">
        <v>0.29166666666666669</v>
      </c>
      <c r="H31" s="9">
        <v>0.33333333333333331</v>
      </c>
      <c r="I31" s="10">
        <f>H31-G31</f>
        <v>4.166666666666663E-2</v>
      </c>
      <c r="J31" s="11">
        <v>4</v>
      </c>
      <c r="K31" s="62" t="s">
        <v>42</v>
      </c>
      <c r="L31" s="64" t="s">
        <v>42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6" t="s">
        <v>1669</v>
      </c>
      <c r="E32" s="19" t="s">
        <v>1683</v>
      </c>
      <c r="F32" s="8" t="s">
        <v>42</v>
      </c>
      <c r="G32" s="9">
        <v>0.34722222222222221</v>
      </c>
      <c r="H32" s="9">
        <v>0.34722222222222221</v>
      </c>
      <c r="I32" s="10">
        <f t="shared" ref="I32:I60" si="7">H32-G32</f>
        <v>0</v>
      </c>
      <c r="J32" s="11">
        <v>5</v>
      </c>
      <c r="K32" s="11">
        <v>60.81</v>
      </c>
      <c r="L32" s="16" t="str">
        <f t="shared" ref="L32:L59" si="8">IFERROR(((K32/(J32*I32)/24)),"0")</f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2</v>
      </c>
      <c r="W32" s="12"/>
      <c r="X32" s="11"/>
      <c r="Y32" s="11"/>
      <c r="Z32" s="11"/>
      <c r="AA32" s="11"/>
      <c r="AB32" s="11">
        <v>1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1684</v>
      </c>
      <c r="F33" s="8" t="s">
        <v>42</v>
      </c>
      <c r="G33" s="9">
        <v>0.35555555555555557</v>
      </c>
      <c r="H33" s="9">
        <v>0.35555555555555557</v>
      </c>
      <c r="I33" s="10">
        <f t="shared" si="7"/>
        <v>0</v>
      </c>
      <c r="J33" s="11">
        <v>5</v>
      </c>
      <c r="K33" s="11">
        <v>60.52</v>
      </c>
      <c r="L33" s="16" t="str">
        <f t="shared" si="8"/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</v>
      </c>
      <c r="W33" s="12"/>
      <c r="X33" s="11"/>
      <c r="Y33" s="11"/>
      <c r="Z33" s="11"/>
      <c r="AA33" s="11"/>
      <c r="AB33" s="11">
        <v>1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1685</v>
      </c>
      <c r="F34" s="8" t="s">
        <v>42</v>
      </c>
      <c r="G34" s="9">
        <v>0.36249999999999999</v>
      </c>
      <c r="H34" s="9">
        <v>0.36249999999999999</v>
      </c>
      <c r="I34" s="10">
        <f t="shared" si="7"/>
        <v>0</v>
      </c>
      <c r="J34" s="11">
        <v>5</v>
      </c>
      <c r="K34" s="11">
        <v>61.59</v>
      </c>
      <c r="L34" s="16" t="str">
        <f t="shared" si="8"/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/>
      <c r="AA34" s="11"/>
      <c r="AB34" s="11">
        <v>1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1686</v>
      </c>
      <c r="F35" s="8" t="s">
        <v>42</v>
      </c>
      <c r="G35" s="9">
        <v>0.37013888888888891</v>
      </c>
      <c r="H35" s="9">
        <v>0.37013888888888891</v>
      </c>
      <c r="I35" s="10">
        <f t="shared" si="7"/>
        <v>0</v>
      </c>
      <c r="J35" s="11">
        <v>5</v>
      </c>
      <c r="K35" s="11">
        <v>60.88</v>
      </c>
      <c r="L35" s="16" t="str">
        <f t="shared" si="8"/>
        <v>0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>
        <v>1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1687</v>
      </c>
      <c r="F36" s="8" t="s">
        <v>42</v>
      </c>
      <c r="G36" s="9">
        <v>0.375</v>
      </c>
      <c r="H36" s="9">
        <v>0.375</v>
      </c>
      <c r="I36" s="10">
        <f t="shared" si="7"/>
        <v>0</v>
      </c>
      <c r="J36" s="11">
        <v>5</v>
      </c>
      <c r="K36" s="11">
        <v>58.76</v>
      </c>
      <c r="L36" s="16" t="str">
        <f t="shared" si="8"/>
        <v>0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>
        <v>1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1688</v>
      </c>
      <c r="F37" s="8" t="s">
        <v>42</v>
      </c>
      <c r="G37" s="9">
        <v>0.40486111111111112</v>
      </c>
      <c r="H37" s="9">
        <v>0.40486111111111112</v>
      </c>
      <c r="I37" s="10">
        <f t="shared" si="7"/>
        <v>0</v>
      </c>
      <c r="J37" s="11">
        <v>5</v>
      </c>
      <c r="K37" s="11">
        <v>58.97</v>
      </c>
      <c r="L37" s="16" t="str">
        <f t="shared" si="8"/>
        <v>0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>
        <v>1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1689</v>
      </c>
      <c r="F38" s="8" t="s">
        <v>42</v>
      </c>
      <c r="G38" s="9">
        <v>0.41249999999999998</v>
      </c>
      <c r="H38" s="9">
        <v>0.41249999999999998</v>
      </c>
      <c r="I38" s="10">
        <f t="shared" si="7"/>
        <v>0</v>
      </c>
      <c r="J38" s="11">
        <v>5</v>
      </c>
      <c r="K38" s="11">
        <v>57.62</v>
      </c>
      <c r="L38" s="16" t="str">
        <f t="shared" si="8"/>
        <v>0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>
        <v>1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1690</v>
      </c>
      <c r="F39" s="8" t="s">
        <v>42</v>
      </c>
      <c r="G39" s="9">
        <v>0.41805555555555557</v>
      </c>
      <c r="H39" s="9">
        <v>0.41805555555555557</v>
      </c>
      <c r="I39" s="10">
        <f t="shared" si="7"/>
        <v>0</v>
      </c>
      <c r="J39" s="11">
        <v>5</v>
      </c>
      <c r="K39" s="11">
        <v>55.31</v>
      </c>
      <c r="L39" s="16" t="str">
        <f t="shared" si="8"/>
        <v>0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>
        <v>1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1691</v>
      </c>
      <c r="F40" s="8" t="s">
        <v>42</v>
      </c>
      <c r="G40" s="9">
        <v>0.32291666666666669</v>
      </c>
      <c r="H40" s="9">
        <v>0.32569444444444445</v>
      </c>
      <c r="I40" s="10">
        <f t="shared" si="7"/>
        <v>2.7777777777777679E-3</v>
      </c>
      <c r="J40" s="11">
        <v>2</v>
      </c>
      <c r="K40" s="11">
        <v>67.13</v>
      </c>
      <c r="L40" s="16">
        <f t="shared" si="8"/>
        <v>503.47500000000173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>
        <v>4</v>
      </c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1692</v>
      </c>
      <c r="F41" s="8" t="s">
        <v>42</v>
      </c>
      <c r="G41" s="9">
        <v>0.33333333333333331</v>
      </c>
      <c r="H41" s="9">
        <v>0.33750000000000002</v>
      </c>
      <c r="I41" s="10">
        <f t="shared" si="7"/>
        <v>4.1666666666667074E-3</v>
      </c>
      <c r="J41" s="11">
        <v>2</v>
      </c>
      <c r="K41" s="11">
        <v>65.739999999999995</v>
      </c>
      <c r="L41" s="16">
        <f t="shared" si="8"/>
        <v>328.69999999999675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/>
      <c r="AA41" s="11"/>
      <c r="AB41" s="11"/>
      <c r="AC41" s="11">
        <v>6</v>
      </c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65"/>
      <c r="E42" s="17" t="s">
        <v>1693</v>
      </c>
      <c r="F42" s="8" t="s">
        <v>42</v>
      </c>
      <c r="G42" s="9">
        <v>0.35486111111111113</v>
      </c>
      <c r="H42" s="9">
        <v>0.35486111111111113</v>
      </c>
      <c r="I42" s="10">
        <f t="shared" si="7"/>
        <v>0</v>
      </c>
      <c r="J42" s="11">
        <v>4</v>
      </c>
      <c r="K42" s="11">
        <v>4.0599999999999996</v>
      </c>
      <c r="L42" s="16" t="str">
        <f t="shared" si="8"/>
        <v>0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/>
      <c r="AC42" s="11"/>
      <c r="AD42" s="11">
        <v>1</v>
      </c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65"/>
      <c r="E43" s="17" t="s">
        <v>1694</v>
      </c>
      <c r="F43" s="8" t="s">
        <v>42</v>
      </c>
      <c r="G43" s="9">
        <v>0.35555555555555557</v>
      </c>
      <c r="H43" s="9">
        <v>0.35555555555555557</v>
      </c>
      <c r="I43" s="10">
        <f t="shared" si="7"/>
        <v>0</v>
      </c>
      <c r="J43" s="11">
        <v>4</v>
      </c>
      <c r="K43" s="11">
        <v>4.0599999999999996</v>
      </c>
      <c r="L43" s="16" t="str">
        <f t="shared" si="8"/>
        <v>0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/>
      <c r="AD43" s="11">
        <v>1</v>
      </c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65"/>
      <c r="E44" s="17" t="s">
        <v>1695</v>
      </c>
      <c r="F44" s="8" t="s">
        <v>42</v>
      </c>
      <c r="G44" s="9">
        <v>0.35625000000000001</v>
      </c>
      <c r="H44" s="9">
        <v>0.35625000000000001</v>
      </c>
      <c r="I44" s="10">
        <f t="shared" si="7"/>
        <v>0</v>
      </c>
      <c r="J44" s="11">
        <v>4</v>
      </c>
      <c r="K44" s="11">
        <v>4.2</v>
      </c>
      <c r="L44" s="16" t="str">
        <f t="shared" si="8"/>
        <v>0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/>
      <c r="AD44" s="11">
        <v>1</v>
      </c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65"/>
      <c r="E45" s="17" t="s">
        <v>1696</v>
      </c>
      <c r="F45" s="8" t="s">
        <v>42</v>
      </c>
      <c r="G45" s="9">
        <v>0.35694444444444445</v>
      </c>
      <c r="H45" s="9">
        <v>0.35694444444444445</v>
      </c>
      <c r="I45" s="10">
        <f t="shared" si="7"/>
        <v>0</v>
      </c>
      <c r="J45" s="11">
        <v>4</v>
      </c>
      <c r="K45" s="11">
        <v>4.12</v>
      </c>
      <c r="L45" s="16" t="str">
        <f t="shared" si="8"/>
        <v>0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/>
      <c r="AC45" s="11"/>
      <c r="AD45" s="11">
        <v>1</v>
      </c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65"/>
      <c r="E46" s="17" t="s">
        <v>1697</v>
      </c>
      <c r="F46" s="8" t="s">
        <v>42</v>
      </c>
      <c r="G46" s="9">
        <v>0.3576388888888889</v>
      </c>
      <c r="H46" s="9">
        <v>0.3576388888888889</v>
      </c>
      <c r="I46" s="10">
        <f t="shared" si="7"/>
        <v>0</v>
      </c>
      <c r="J46" s="11">
        <v>4</v>
      </c>
      <c r="K46" s="11">
        <v>4.5</v>
      </c>
      <c r="L46" s="16" t="str">
        <f t="shared" si="8"/>
        <v>0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/>
      <c r="AC46" s="11"/>
      <c r="AD46" s="11">
        <v>1</v>
      </c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65"/>
      <c r="E47" s="17" t="s">
        <v>1698</v>
      </c>
      <c r="F47" s="8" t="s">
        <v>42</v>
      </c>
      <c r="G47" s="9">
        <v>0.35833333333333334</v>
      </c>
      <c r="H47" s="9">
        <v>0.35833333333333334</v>
      </c>
      <c r="I47" s="10">
        <f t="shared" si="7"/>
        <v>0</v>
      </c>
      <c r="J47" s="11">
        <v>4</v>
      </c>
      <c r="K47" s="11">
        <v>4.22</v>
      </c>
      <c r="L47" s="16" t="str">
        <f t="shared" si="8"/>
        <v>0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/>
      <c r="AC47" s="11"/>
      <c r="AD47" s="11">
        <v>1</v>
      </c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65"/>
      <c r="E48" s="17" t="s">
        <v>1699</v>
      </c>
      <c r="F48" s="8" t="s">
        <v>42</v>
      </c>
      <c r="G48" s="9">
        <v>0.35902777777777778</v>
      </c>
      <c r="H48" s="9">
        <v>0.35902777777777778</v>
      </c>
      <c r="I48" s="10">
        <f t="shared" si="7"/>
        <v>0</v>
      </c>
      <c r="J48" s="11">
        <v>4</v>
      </c>
      <c r="K48" s="11">
        <v>4.28</v>
      </c>
      <c r="L48" s="16" t="str">
        <f t="shared" si="8"/>
        <v>0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>
        <v>1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65"/>
      <c r="E49" s="17" t="s">
        <v>1700</v>
      </c>
      <c r="F49" s="8" t="s">
        <v>42</v>
      </c>
      <c r="G49" s="9">
        <v>0.35972222222222222</v>
      </c>
      <c r="H49" s="9">
        <v>0.35972222222222222</v>
      </c>
      <c r="I49" s="10">
        <f t="shared" si="7"/>
        <v>0</v>
      </c>
      <c r="J49" s="11">
        <v>4</v>
      </c>
      <c r="K49" s="11">
        <v>4.4800000000000004</v>
      </c>
      <c r="L49" s="16" t="str">
        <f t="shared" si="8"/>
        <v>0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/>
      <c r="AC49" s="11"/>
      <c r="AD49" s="11">
        <v>1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1701</v>
      </c>
      <c r="F50" s="8" t="s">
        <v>42</v>
      </c>
      <c r="G50" s="9">
        <v>0.3576388888888889</v>
      </c>
      <c r="H50" s="9">
        <v>0.36875000000000002</v>
      </c>
      <c r="I50" s="10">
        <f t="shared" si="7"/>
        <v>1.1111111111111127E-2</v>
      </c>
      <c r="J50" s="11">
        <v>4</v>
      </c>
      <c r="K50" s="11">
        <v>54.12</v>
      </c>
      <c r="L50" s="16">
        <f t="shared" si="8"/>
        <v>50.737499999999926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>
        <v>16</v>
      </c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66" t="s">
        <v>1702</v>
      </c>
      <c r="F51" s="8" t="s">
        <v>42</v>
      </c>
      <c r="G51" s="9">
        <v>0.37916666666666665</v>
      </c>
      <c r="H51" s="9">
        <v>0.39444444444444443</v>
      </c>
      <c r="I51" s="10">
        <f t="shared" si="7"/>
        <v>1.5277777777777779E-2</v>
      </c>
      <c r="J51" s="11">
        <v>4</v>
      </c>
      <c r="K51" s="11">
        <v>52.2</v>
      </c>
      <c r="L51" s="16">
        <f t="shared" si="8"/>
        <v>35.590909090909086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/>
      <c r="AB51" s="11"/>
      <c r="AC51" s="11">
        <v>22</v>
      </c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66" t="s">
        <v>1703</v>
      </c>
      <c r="F52" s="8" t="s">
        <v>42</v>
      </c>
      <c r="G52" s="9">
        <v>0.39861111111111114</v>
      </c>
      <c r="H52" s="9">
        <v>0.40902777777777777</v>
      </c>
      <c r="I52" s="10">
        <f t="shared" si="7"/>
        <v>1.041666666666663E-2</v>
      </c>
      <c r="J52" s="11">
        <v>4</v>
      </c>
      <c r="K52" s="11">
        <v>56.76</v>
      </c>
      <c r="L52" s="16">
        <f t="shared" si="8"/>
        <v>56.760000000000197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/>
      <c r="AC52" s="11"/>
      <c r="AD52" s="11">
        <v>15</v>
      </c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66" t="s">
        <v>1704</v>
      </c>
      <c r="F53" s="8" t="s">
        <v>42</v>
      </c>
      <c r="G53" s="9">
        <v>0.40833333333333333</v>
      </c>
      <c r="H53" s="9">
        <v>0.4201388888888889</v>
      </c>
      <c r="I53" s="10">
        <f t="shared" si="7"/>
        <v>1.1805555555555569E-2</v>
      </c>
      <c r="J53" s="11">
        <v>4</v>
      </c>
      <c r="K53" s="11">
        <v>55.02</v>
      </c>
      <c r="L53" s="16">
        <f t="shared" si="8"/>
        <v>48.547058823529362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/>
      <c r="AB53" s="11"/>
      <c r="AC53" s="11">
        <v>17</v>
      </c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66" t="s">
        <v>1705</v>
      </c>
      <c r="F54" s="8" t="s">
        <v>42</v>
      </c>
      <c r="G54" s="9">
        <v>0.41458333333333336</v>
      </c>
      <c r="H54" s="9">
        <v>0.42152777777777778</v>
      </c>
      <c r="I54" s="10">
        <f t="shared" si="7"/>
        <v>6.9444444444444198E-3</v>
      </c>
      <c r="J54" s="11">
        <v>4</v>
      </c>
      <c r="K54" s="11">
        <v>57.36</v>
      </c>
      <c r="L54" s="16">
        <f t="shared" si="8"/>
        <v>86.040000000000305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/>
      <c r="AD54" s="11">
        <v>10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66" t="s">
        <v>1706</v>
      </c>
      <c r="F55" s="8" t="s">
        <v>42</v>
      </c>
      <c r="G55" s="9">
        <v>0.43055555555555558</v>
      </c>
      <c r="H55" s="9">
        <v>0.43888888888888888</v>
      </c>
      <c r="I55" s="10">
        <f t="shared" si="7"/>
        <v>8.3333333333333037E-3</v>
      </c>
      <c r="J55" s="11">
        <v>4</v>
      </c>
      <c r="K55" s="11">
        <v>53.39</v>
      </c>
      <c r="L55" s="16">
        <f t="shared" si="8"/>
        <v>66.737500000000239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/>
      <c r="AB55" s="11"/>
      <c r="AC55" s="11">
        <v>12</v>
      </c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66" t="s">
        <v>1707</v>
      </c>
      <c r="F56" s="8" t="s">
        <v>42</v>
      </c>
      <c r="G56" s="9">
        <v>0.43194444444444446</v>
      </c>
      <c r="H56" s="9">
        <v>0.44166666666666665</v>
      </c>
      <c r="I56" s="10">
        <f t="shared" si="7"/>
        <v>9.7222222222221877E-3</v>
      </c>
      <c r="J56" s="11">
        <v>4</v>
      </c>
      <c r="K56" s="11">
        <v>55.14</v>
      </c>
      <c r="L56" s="16">
        <f t="shared" si="8"/>
        <v>59.078571428571642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/>
      <c r="AD56" s="11">
        <v>14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66" t="s">
        <v>1708</v>
      </c>
      <c r="F57" s="8" t="s">
        <v>42</v>
      </c>
      <c r="G57" s="9">
        <v>0.44722222222222224</v>
      </c>
      <c r="H57" s="9">
        <v>0.45555555555555555</v>
      </c>
      <c r="I57" s="10">
        <f t="shared" si="7"/>
        <v>8.3333333333333037E-3</v>
      </c>
      <c r="J57" s="11">
        <v>4</v>
      </c>
      <c r="K57" s="11">
        <v>54.97</v>
      </c>
      <c r="L57" s="16">
        <f t="shared" si="8"/>
        <v>68.712500000000247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/>
      <c r="AA57" s="11"/>
      <c r="AB57" s="11"/>
      <c r="AC57" s="11"/>
      <c r="AD57" s="11">
        <v>12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7" t="s">
        <v>1709</v>
      </c>
      <c r="F58" s="8" t="s">
        <v>42</v>
      </c>
      <c r="G58" s="9">
        <v>0.38124999999999998</v>
      </c>
      <c r="H58" s="9">
        <v>0.41249999999999998</v>
      </c>
      <c r="I58" s="10">
        <f t="shared" si="7"/>
        <v>3.125E-2</v>
      </c>
      <c r="J58" s="11">
        <v>3</v>
      </c>
      <c r="K58" s="11">
        <v>85</v>
      </c>
      <c r="L58" s="16">
        <f t="shared" si="8"/>
        <v>37.777777777777779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>
        <v>45</v>
      </c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7" t="s">
        <v>1710</v>
      </c>
      <c r="F59" s="8" t="s">
        <v>42</v>
      </c>
      <c r="G59" s="9">
        <v>0.38541666666666669</v>
      </c>
      <c r="H59" s="9">
        <v>0.41666666666666669</v>
      </c>
      <c r="I59" s="10">
        <f t="shared" si="7"/>
        <v>3.125E-2</v>
      </c>
      <c r="J59" s="11">
        <v>3</v>
      </c>
      <c r="K59" s="11">
        <v>42.5</v>
      </c>
      <c r="L59" s="16">
        <f t="shared" si="8"/>
        <v>18.888888888888889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>
        <v>45</v>
      </c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7" t="s">
        <v>1711</v>
      </c>
      <c r="F60" s="8" t="s">
        <v>42</v>
      </c>
      <c r="G60" s="9">
        <v>0.38541666666666669</v>
      </c>
      <c r="H60" s="9">
        <v>0.41666666666666669</v>
      </c>
      <c r="I60" s="10">
        <f t="shared" si="7"/>
        <v>3.125E-2</v>
      </c>
      <c r="J60" s="11">
        <v>3</v>
      </c>
      <c r="K60" s="11">
        <v>42.5</v>
      </c>
      <c r="L60" s="16">
        <f t="shared" ref="L60:L73" si="9">IFERROR(((K60/(J60*I60)/24)),"0")</f>
        <v>18.888888888888889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>
        <v>45</v>
      </c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7" t="s">
        <v>1712</v>
      </c>
      <c r="F61" s="8" t="s">
        <v>42</v>
      </c>
      <c r="G61" s="9">
        <v>0.39027777777777778</v>
      </c>
      <c r="H61" s="9">
        <v>0.42152777777777778</v>
      </c>
      <c r="I61" s="10">
        <f t="shared" ref="I61:I73" si="10">H61-G61</f>
        <v>3.125E-2</v>
      </c>
      <c r="J61" s="11">
        <v>3</v>
      </c>
      <c r="K61" s="11">
        <v>85</v>
      </c>
      <c r="L61" s="16">
        <f t="shared" si="9"/>
        <v>37.777777777777779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>
        <v>45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7" t="s">
        <v>1713</v>
      </c>
      <c r="F62" s="8" t="s">
        <v>42</v>
      </c>
      <c r="G62" s="9">
        <v>0.39652777777777776</v>
      </c>
      <c r="H62" s="9">
        <v>0.42777777777777776</v>
      </c>
      <c r="I62" s="10">
        <f t="shared" si="10"/>
        <v>3.125E-2</v>
      </c>
      <c r="J62" s="11">
        <v>3</v>
      </c>
      <c r="K62" s="11">
        <v>85</v>
      </c>
      <c r="L62" s="16">
        <f t="shared" si="9"/>
        <v>37.777777777777779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2</v>
      </c>
      <c r="X62" s="11"/>
      <c r="Y62" s="11"/>
      <c r="Z62" s="11"/>
      <c r="AA62" s="11">
        <v>45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7" t="s">
        <v>1714</v>
      </c>
      <c r="F63" s="8" t="s">
        <v>42</v>
      </c>
      <c r="G63" s="9">
        <v>0.42430555555555555</v>
      </c>
      <c r="H63" s="9">
        <v>0.45555555555555555</v>
      </c>
      <c r="I63" s="10">
        <f t="shared" si="10"/>
        <v>3.125E-2</v>
      </c>
      <c r="J63" s="11">
        <v>3</v>
      </c>
      <c r="K63" s="11">
        <v>42.5</v>
      </c>
      <c r="L63" s="16">
        <f t="shared" si="9"/>
        <v>18.888888888888889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/>
      <c r="Y63" s="11"/>
      <c r="Z63" s="11"/>
      <c r="AA63" s="11">
        <v>45</v>
      </c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/>
      <c r="F64" s="8" t="s">
        <v>42</v>
      </c>
      <c r="G64" s="9"/>
      <c r="H64" s="9"/>
      <c r="I64" s="10">
        <f t="shared" si="10"/>
        <v>0</v>
      </c>
      <c r="J64" s="11"/>
      <c r="K64" s="11"/>
      <c r="L64" s="16" t="str">
        <f t="shared" si="9"/>
        <v>0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 t="s">
        <v>1032</v>
      </c>
      <c r="E65" s="19" t="s">
        <v>1060</v>
      </c>
      <c r="F65" s="8" t="s">
        <v>42</v>
      </c>
      <c r="G65" s="9">
        <v>0.43958333333333333</v>
      </c>
      <c r="H65" s="9">
        <v>0.44236111111111109</v>
      </c>
      <c r="I65" s="10">
        <f t="shared" si="10"/>
        <v>2.7777777777777679E-3</v>
      </c>
      <c r="J65" s="11">
        <v>8</v>
      </c>
      <c r="K65" s="11">
        <v>45.83</v>
      </c>
      <c r="L65" s="16">
        <f t="shared" si="9"/>
        <v>85.931250000000304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3</v>
      </c>
      <c r="W65" s="12"/>
      <c r="X65" s="11"/>
      <c r="Y65" s="11"/>
      <c r="Z65" s="11"/>
      <c r="AA65" s="11"/>
      <c r="AB65" s="11">
        <v>4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1061</v>
      </c>
      <c r="F66" s="8" t="s">
        <v>42</v>
      </c>
      <c r="G66" s="9">
        <v>0.4465277777777778</v>
      </c>
      <c r="H66" s="9">
        <v>0.44930555555555557</v>
      </c>
      <c r="I66" s="10">
        <f t="shared" si="10"/>
        <v>2.7777777777777679E-3</v>
      </c>
      <c r="J66" s="11">
        <v>8</v>
      </c>
      <c r="K66" s="11">
        <v>46.07</v>
      </c>
      <c r="L66" s="16">
        <f t="shared" si="9"/>
        <v>86.381250000000307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3</v>
      </c>
      <c r="X66" s="11"/>
      <c r="Y66" s="11"/>
      <c r="Z66" s="11"/>
      <c r="AA66" s="11"/>
      <c r="AB66" s="11">
        <v>4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1062</v>
      </c>
      <c r="F67" s="8" t="s">
        <v>42</v>
      </c>
      <c r="G67" s="9">
        <v>0.45624999999999999</v>
      </c>
      <c r="H67" s="9">
        <v>0.45902777777777776</v>
      </c>
      <c r="I67" s="10">
        <f t="shared" si="10"/>
        <v>2.7777777777777679E-3</v>
      </c>
      <c r="J67" s="11">
        <v>8</v>
      </c>
      <c r="K67" s="11">
        <v>43.13</v>
      </c>
      <c r="L67" s="16">
        <f t="shared" si="9"/>
        <v>80.86875000000029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3</v>
      </c>
      <c r="W67" s="12"/>
      <c r="X67" s="11"/>
      <c r="Y67" s="11"/>
      <c r="Z67" s="11"/>
      <c r="AA67" s="11"/>
      <c r="AB67" s="11">
        <v>4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1063</v>
      </c>
      <c r="F68" s="8" t="s">
        <v>42</v>
      </c>
      <c r="G68" s="9">
        <v>0.46180555555555558</v>
      </c>
      <c r="H68" s="9">
        <v>0.46458333333333335</v>
      </c>
      <c r="I68" s="10">
        <f t="shared" si="10"/>
        <v>2.7777777777777679E-3</v>
      </c>
      <c r="J68" s="11">
        <v>8</v>
      </c>
      <c r="K68" s="11">
        <v>46.18</v>
      </c>
      <c r="L68" s="16">
        <f t="shared" si="9"/>
        <v>86.587500000000304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3</v>
      </c>
      <c r="X68" s="11"/>
      <c r="Y68" s="11"/>
      <c r="Z68" s="11"/>
      <c r="AA68" s="11"/>
      <c r="AB68" s="11"/>
      <c r="AC68" s="11">
        <v>4</v>
      </c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1064</v>
      </c>
      <c r="F69" s="8" t="s">
        <v>42</v>
      </c>
      <c r="G69" s="9">
        <v>0.46597222222222223</v>
      </c>
      <c r="H69" s="9">
        <v>0.46875</v>
      </c>
      <c r="I69" s="10">
        <f t="shared" si="10"/>
        <v>2.7777777777777679E-3</v>
      </c>
      <c r="J69" s="11">
        <v>8</v>
      </c>
      <c r="K69" s="11">
        <v>46.3</v>
      </c>
      <c r="L69" s="16">
        <f t="shared" si="9"/>
        <v>86.812500000000298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3</v>
      </c>
      <c r="W69" s="12"/>
      <c r="X69" s="11"/>
      <c r="Y69" s="11"/>
      <c r="Z69" s="11"/>
      <c r="AA69" s="11"/>
      <c r="AB69" s="11">
        <v>4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1065</v>
      </c>
      <c r="F70" s="8" t="s">
        <v>42</v>
      </c>
      <c r="G70" s="9">
        <v>0.47291666666666665</v>
      </c>
      <c r="H70" s="9">
        <v>0.47569444444444442</v>
      </c>
      <c r="I70" s="10">
        <f t="shared" si="10"/>
        <v>2.7777777777777679E-3</v>
      </c>
      <c r="J70" s="11">
        <v>8</v>
      </c>
      <c r="K70" s="11">
        <v>46.6</v>
      </c>
      <c r="L70" s="16">
        <f t="shared" si="9"/>
        <v>87.375000000000327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3</v>
      </c>
      <c r="X70" s="11"/>
      <c r="Y70" s="11"/>
      <c r="Z70" s="11"/>
      <c r="AA70" s="11"/>
      <c r="AB70" s="11"/>
      <c r="AC70" s="11"/>
      <c r="AD70" s="11">
        <v>4</v>
      </c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1066</v>
      </c>
      <c r="F71" s="8" t="s">
        <v>42</v>
      </c>
      <c r="G71" s="9">
        <v>0.47847222222222224</v>
      </c>
      <c r="H71" s="9">
        <v>0.48125000000000001</v>
      </c>
      <c r="I71" s="10">
        <f t="shared" si="10"/>
        <v>2.7777777777777679E-3</v>
      </c>
      <c r="J71" s="11">
        <v>8</v>
      </c>
      <c r="K71" s="11">
        <v>49.75</v>
      </c>
      <c r="L71" s="16">
        <f t="shared" si="9"/>
        <v>93.281250000000327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3</v>
      </c>
      <c r="W71" s="12"/>
      <c r="X71" s="11"/>
      <c r="Y71" s="11"/>
      <c r="Z71" s="11"/>
      <c r="AA71" s="11"/>
      <c r="AB71" s="11">
        <v>4</v>
      </c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1067</v>
      </c>
      <c r="F72" s="8" t="s">
        <v>42</v>
      </c>
      <c r="G72" s="9">
        <v>0.4861111111111111</v>
      </c>
      <c r="H72" s="9">
        <v>0.48888888888888887</v>
      </c>
      <c r="I72" s="10">
        <f t="shared" si="10"/>
        <v>2.7777777777777679E-3</v>
      </c>
      <c r="J72" s="11">
        <v>8</v>
      </c>
      <c r="K72" s="11">
        <v>46.46</v>
      </c>
      <c r="L72" s="16">
        <f t="shared" si="9"/>
        <v>87.11250000000031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3</v>
      </c>
      <c r="X72" s="11"/>
      <c r="Y72" s="11"/>
      <c r="Z72" s="11"/>
      <c r="AA72" s="11"/>
      <c r="AB72" s="11"/>
      <c r="AC72" s="11">
        <v>4</v>
      </c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1068</v>
      </c>
      <c r="F73" s="8" t="s">
        <v>42</v>
      </c>
      <c r="G73" s="9">
        <v>0.48958333333333331</v>
      </c>
      <c r="H73" s="9">
        <v>0.49236111111111114</v>
      </c>
      <c r="I73" s="10">
        <f t="shared" si="10"/>
        <v>2.7777777777778234E-3</v>
      </c>
      <c r="J73" s="11">
        <v>8</v>
      </c>
      <c r="K73" s="11">
        <v>45.62</v>
      </c>
      <c r="L73" s="16">
        <f t="shared" si="9"/>
        <v>85.537499999998587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3</v>
      </c>
      <c r="W73" s="12"/>
      <c r="X73" s="11"/>
      <c r="Y73" s="11"/>
      <c r="Z73" s="11"/>
      <c r="AA73" s="11"/>
      <c r="AB73" s="11">
        <v>4</v>
      </c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1069</v>
      </c>
      <c r="F74" s="8" t="s">
        <v>42</v>
      </c>
      <c r="G74" s="9">
        <v>0.49652777777777779</v>
      </c>
      <c r="H74" s="9">
        <v>0.49930555555555556</v>
      </c>
      <c r="I74" s="10">
        <f t="shared" ref="I74:I87" si="11">H74-G74</f>
        <v>2.7777777777777679E-3</v>
      </c>
      <c r="J74" s="11">
        <v>8</v>
      </c>
      <c r="K74" s="11">
        <v>46.46</v>
      </c>
      <c r="L74" s="16">
        <f t="shared" ref="L74:L87" si="12">IFERROR(((K74/(J74*I74)/24)),"0")</f>
        <v>87.11250000000031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/>
      <c r="Y74" s="11"/>
      <c r="Z74" s="11"/>
      <c r="AA74" s="11"/>
      <c r="AB74" s="11"/>
      <c r="AC74" s="11">
        <v>4</v>
      </c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1070</v>
      </c>
      <c r="F75" s="8" t="s">
        <v>42</v>
      </c>
      <c r="G75" s="9">
        <v>0.56180555555555556</v>
      </c>
      <c r="H75" s="9">
        <v>0.56458333333333333</v>
      </c>
      <c r="I75" s="10">
        <f t="shared" si="11"/>
        <v>2.7777777777777679E-3</v>
      </c>
      <c r="J75" s="11">
        <v>8</v>
      </c>
      <c r="K75" s="11">
        <v>46.38</v>
      </c>
      <c r="L75" s="16">
        <f t="shared" si="12"/>
        <v>86.962500000000318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3</v>
      </c>
      <c r="W75" s="12"/>
      <c r="X75" s="11"/>
      <c r="Y75" s="11"/>
      <c r="Z75" s="11"/>
      <c r="AA75" s="11"/>
      <c r="AB75" s="11">
        <v>4</v>
      </c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1071</v>
      </c>
      <c r="F76" s="8" t="s">
        <v>42</v>
      </c>
      <c r="G76" s="9">
        <v>0.56666666666666665</v>
      </c>
      <c r="H76" s="9">
        <v>0.56944444444444442</v>
      </c>
      <c r="I76" s="10">
        <f t="shared" si="11"/>
        <v>2.7777777777777679E-3</v>
      </c>
      <c r="J76" s="11">
        <v>8</v>
      </c>
      <c r="K76" s="11">
        <v>45.48</v>
      </c>
      <c r="L76" s="16">
        <f t="shared" si="12"/>
        <v>85.275000000000304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3</v>
      </c>
      <c r="X76" s="11"/>
      <c r="Y76" s="11"/>
      <c r="Z76" s="11"/>
      <c r="AA76" s="11"/>
      <c r="AB76" s="11"/>
      <c r="AC76" s="11"/>
      <c r="AD76" s="11">
        <v>4</v>
      </c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1072</v>
      </c>
      <c r="F77" s="8" t="s">
        <v>42</v>
      </c>
      <c r="G77" s="9">
        <v>0.57222222222222219</v>
      </c>
      <c r="H77" s="9">
        <v>0.57499999999999996</v>
      </c>
      <c r="I77" s="10">
        <f t="shared" si="11"/>
        <v>2.7777777777777679E-3</v>
      </c>
      <c r="J77" s="11">
        <v>8</v>
      </c>
      <c r="K77" s="11">
        <v>46.24</v>
      </c>
      <c r="L77" s="16">
        <f t="shared" si="12"/>
        <v>86.700000000000315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3</v>
      </c>
      <c r="W77" s="12"/>
      <c r="X77" s="11"/>
      <c r="Y77" s="11"/>
      <c r="Z77" s="11"/>
      <c r="AA77" s="11"/>
      <c r="AB77" s="11">
        <v>4</v>
      </c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1073</v>
      </c>
      <c r="F78" s="8" t="s">
        <v>42</v>
      </c>
      <c r="G78" s="9">
        <v>0.5756944444444444</v>
      </c>
      <c r="H78" s="9">
        <v>0.57847222222222228</v>
      </c>
      <c r="I78" s="10">
        <f t="shared" si="11"/>
        <v>2.7777777777778789E-3</v>
      </c>
      <c r="J78" s="11">
        <v>8</v>
      </c>
      <c r="K78" s="11">
        <v>45.73</v>
      </c>
      <c r="L78" s="16">
        <f t="shared" si="12"/>
        <v>85.743749999996865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3</v>
      </c>
      <c r="X78" s="11"/>
      <c r="Y78" s="11"/>
      <c r="Z78" s="11"/>
      <c r="AA78" s="11"/>
      <c r="AB78" s="11"/>
      <c r="AC78" s="11"/>
      <c r="AD78" s="11">
        <v>4</v>
      </c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1074</v>
      </c>
      <c r="F79" s="8" t="s">
        <v>42</v>
      </c>
      <c r="G79" s="9">
        <v>0.58333333333333337</v>
      </c>
      <c r="H79" s="9">
        <v>0.58611111111111114</v>
      </c>
      <c r="I79" s="10">
        <f t="shared" si="11"/>
        <v>2.7777777777777679E-3</v>
      </c>
      <c r="J79" s="11">
        <v>8</v>
      </c>
      <c r="K79" s="11">
        <v>46.08</v>
      </c>
      <c r="L79" s="16">
        <f t="shared" si="12"/>
        <v>86.400000000000304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3</v>
      </c>
      <c r="W79" s="12"/>
      <c r="X79" s="11"/>
      <c r="Y79" s="11"/>
      <c r="Z79" s="11"/>
      <c r="AA79" s="11"/>
      <c r="AB79" s="11">
        <v>4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1075</v>
      </c>
      <c r="F80" s="8" t="s">
        <v>42</v>
      </c>
      <c r="G80" s="9">
        <v>0.5854166666666667</v>
      </c>
      <c r="H80" s="9">
        <v>0.58819444444444446</v>
      </c>
      <c r="I80" s="10">
        <f t="shared" si="11"/>
        <v>2.7777777777777679E-3</v>
      </c>
      <c r="J80" s="11">
        <v>8</v>
      </c>
      <c r="K80" s="11">
        <v>46.02</v>
      </c>
      <c r="L80" s="16">
        <f t="shared" si="12"/>
        <v>86.287500000000307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3</v>
      </c>
      <c r="X80" s="11"/>
      <c r="Y80" s="11"/>
      <c r="Z80" s="11"/>
      <c r="AA80" s="11"/>
      <c r="AB80" s="11"/>
      <c r="AC80" s="11"/>
      <c r="AD80" s="11">
        <v>4</v>
      </c>
      <c r="AE80" s="11"/>
      <c r="AF80" s="11"/>
      <c r="AG80" s="11"/>
      <c r="AH80" s="11"/>
      <c r="AI80" s="11"/>
      <c r="AJ80" s="11"/>
      <c r="AK80" s="11"/>
      <c r="AL80" s="14"/>
    </row>
    <row r="81" spans="2:39" ht="25.05" customHeight="1">
      <c r="B81" s="13"/>
      <c r="C81" s="29"/>
      <c r="D81" s="30"/>
      <c r="E81" s="19" t="s">
        <v>1076</v>
      </c>
      <c r="F81" s="8" t="s">
        <v>42</v>
      </c>
      <c r="G81" s="9">
        <v>0.59097222222222223</v>
      </c>
      <c r="H81" s="9">
        <v>0.59375</v>
      </c>
      <c r="I81" s="10">
        <f t="shared" si="11"/>
        <v>2.7777777777777679E-3</v>
      </c>
      <c r="J81" s="11">
        <v>8</v>
      </c>
      <c r="K81" s="11">
        <v>46.36</v>
      </c>
      <c r="L81" s="16">
        <f t="shared" si="12"/>
        <v>86.92500000000031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3</v>
      </c>
      <c r="W81" s="12"/>
      <c r="X81" s="11"/>
      <c r="Y81" s="11"/>
      <c r="Z81" s="11"/>
      <c r="AA81" s="11"/>
      <c r="AB81" s="11">
        <v>4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9" ht="25.05" customHeight="1">
      <c r="B82" s="13"/>
      <c r="C82" s="29"/>
      <c r="D82" s="30"/>
      <c r="E82" s="19" t="s">
        <v>1077</v>
      </c>
      <c r="F82" s="8" t="s">
        <v>42</v>
      </c>
      <c r="G82" s="9">
        <v>0.59375</v>
      </c>
      <c r="H82" s="9">
        <v>0.59652777777777777</v>
      </c>
      <c r="I82" s="10">
        <f t="shared" si="11"/>
        <v>2.7777777777777679E-3</v>
      </c>
      <c r="J82" s="11">
        <v>8</v>
      </c>
      <c r="K82" s="11">
        <v>45.54</v>
      </c>
      <c r="L82" s="16">
        <f t="shared" si="12"/>
        <v>85.387500000000315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33</v>
      </c>
      <c r="X82" s="11"/>
      <c r="Y82" s="11"/>
      <c r="Z82" s="11"/>
      <c r="AA82" s="11"/>
      <c r="AB82" s="11"/>
      <c r="AC82" s="11"/>
      <c r="AD82" s="11">
        <v>4</v>
      </c>
      <c r="AE82" s="11"/>
      <c r="AF82" s="11"/>
      <c r="AG82" s="11"/>
      <c r="AH82" s="11"/>
      <c r="AI82" s="11"/>
      <c r="AJ82" s="11"/>
      <c r="AK82" s="11"/>
      <c r="AL82" s="14"/>
    </row>
    <row r="83" spans="2:39" ht="25.05" customHeight="1">
      <c r="B83" s="13"/>
      <c r="C83" s="29"/>
      <c r="D83" s="30"/>
      <c r="E83" s="19" t="s">
        <v>1078</v>
      </c>
      <c r="F83" s="8" t="s">
        <v>42</v>
      </c>
      <c r="G83" s="9">
        <v>0.59791666666666665</v>
      </c>
      <c r="H83" s="9">
        <v>0.60069444444444442</v>
      </c>
      <c r="I83" s="10">
        <f t="shared" si="11"/>
        <v>2.7777777777777679E-3</v>
      </c>
      <c r="J83" s="11">
        <v>8</v>
      </c>
      <c r="K83" s="11">
        <v>45.92</v>
      </c>
      <c r="L83" s="16">
        <f t="shared" si="12"/>
        <v>86.100000000000307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3</v>
      </c>
      <c r="W83" s="12"/>
      <c r="X83" s="11"/>
      <c r="Y83" s="11"/>
      <c r="Z83" s="11"/>
      <c r="AA83" s="11"/>
      <c r="AB83" s="11">
        <v>4</v>
      </c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9" ht="25.05" customHeight="1">
      <c r="B84" s="13"/>
      <c r="C84" s="29"/>
      <c r="D84" s="30"/>
      <c r="E84" s="19" t="s">
        <v>1079</v>
      </c>
      <c r="F84" s="8" t="s">
        <v>42</v>
      </c>
      <c r="G84" s="9">
        <v>0.6020833333333333</v>
      </c>
      <c r="H84" s="9">
        <v>0.60486111111111107</v>
      </c>
      <c r="I84" s="10">
        <f t="shared" si="11"/>
        <v>2.7777777777777679E-3</v>
      </c>
      <c r="J84" s="11">
        <v>8</v>
      </c>
      <c r="K84" s="11">
        <v>49.16</v>
      </c>
      <c r="L84" s="16">
        <f t="shared" si="12"/>
        <v>92.17500000000031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3</v>
      </c>
      <c r="X84" s="11"/>
      <c r="Y84" s="11"/>
      <c r="Z84" s="11"/>
      <c r="AA84" s="11"/>
      <c r="AB84" s="11"/>
      <c r="AC84" s="11"/>
      <c r="AD84" s="11">
        <v>4</v>
      </c>
      <c r="AE84" s="11"/>
      <c r="AF84" s="11"/>
      <c r="AG84" s="11"/>
      <c r="AH84" s="11"/>
      <c r="AI84" s="11"/>
      <c r="AJ84" s="11"/>
      <c r="AK84" s="11"/>
      <c r="AL84" s="14"/>
    </row>
    <row r="85" spans="2:39" ht="25.05" customHeight="1">
      <c r="B85" s="13"/>
      <c r="C85" s="29"/>
      <c r="D85" s="30"/>
      <c r="E85" s="19"/>
      <c r="F85" s="8" t="s">
        <v>42</v>
      </c>
      <c r="G85" s="9"/>
      <c r="H85" s="9"/>
      <c r="I85" s="10">
        <f t="shared" si="11"/>
        <v>0</v>
      </c>
      <c r="J85" s="11"/>
      <c r="K85" s="11"/>
      <c r="L85" s="16" t="str">
        <f t="shared" si="12"/>
        <v>0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9" ht="25.05" customHeight="1">
      <c r="B86" s="13"/>
      <c r="C86" s="29"/>
      <c r="D86" s="6" t="s">
        <v>1525</v>
      </c>
      <c r="E86" s="19" t="s">
        <v>1715</v>
      </c>
      <c r="F86" s="8" t="s">
        <v>42</v>
      </c>
      <c r="G86" s="9">
        <v>0.46111111111111114</v>
      </c>
      <c r="H86" s="9">
        <v>0.47083333333333333</v>
      </c>
      <c r="I86" s="10">
        <f t="shared" si="11"/>
        <v>9.7222222222221877E-3</v>
      </c>
      <c r="J86" s="11">
        <v>2</v>
      </c>
      <c r="K86" s="11">
        <v>81.33</v>
      </c>
      <c r="L86" s="16">
        <f t="shared" si="12"/>
        <v>174.27857142857204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/>
      <c r="Y86" s="11"/>
      <c r="Z86" s="11"/>
      <c r="AA86" s="11"/>
      <c r="AB86" s="11"/>
      <c r="AC86" s="11"/>
      <c r="AD86" s="11"/>
      <c r="AE86" s="11">
        <v>14</v>
      </c>
      <c r="AF86" s="11"/>
      <c r="AG86" s="11"/>
      <c r="AH86" s="11"/>
      <c r="AI86" s="11"/>
      <c r="AJ86" s="11"/>
      <c r="AK86" s="11"/>
      <c r="AL86" s="14"/>
    </row>
    <row r="87" spans="2:39" ht="25.05" customHeight="1">
      <c r="B87" s="13"/>
      <c r="C87" s="29"/>
      <c r="D87" s="30"/>
      <c r="E87" s="19" t="s">
        <v>1716</v>
      </c>
      <c r="F87" s="8" t="s">
        <v>42</v>
      </c>
      <c r="G87" s="9">
        <v>0.47916666666666669</v>
      </c>
      <c r="H87" s="9">
        <v>0.48749999999999999</v>
      </c>
      <c r="I87" s="10">
        <f t="shared" si="11"/>
        <v>8.3333333333333037E-3</v>
      </c>
      <c r="J87" s="11">
        <v>2</v>
      </c>
      <c r="K87" s="11">
        <v>81.56</v>
      </c>
      <c r="L87" s="16">
        <f t="shared" si="12"/>
        <v>203.90000000000074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2</v>
      </c>
      <c r="W87" s="12"/>
      <c r="X87" s="11"/>
      <c r="Y87" s="11"/>
      <c r="Z87" s="11"/>
      <c r="AA87" s="11"/>
      <c r="AB87" s="11"/>
      <c r="AC87" s="11"/>
      <c r="AD87" s="11"/>
      <c r="AE87" s="11">
        <v>12</v>
      </c>
      <c r="AF87" s="11"/>
      <c r="AG87" s="11"/>
      <c r="AH87" s="11"/>
      <c r="AI87" s="11"/>
      <c r="AJ87" s="11"/>
      <c r="AK87" s="11"/>
      <c r="AL87" s="14"/>
    </row>
    <row r="88" spans="2:39" ht="25.05" customHeight="1">
      <c r="B88" s="13"/>
      <c r="C88" s="29"/>
      <c r="D88" s="30"/>
      <c r="E88" s="19" t="s">
        <v>1717</v>
      </c>
      <c r="F88" s="8" t="s">
        <v>42</v>
      </c>
      <c r="G88" s="9">
        <v>0.39305555555555555</v>
      </c>
      <c r="H88" s="9">
        <v>0.4284722222222222</v>
      </c>
      <c r="I88" s="10">
        <f t="shared" ref="I88:I97" si="13">H88-G88</f>
        <v>3.5416666666666652E-2</v>
      </c>
      <c r="J88" s="11">
        <v>7</v>
      </c>
      <c r="K88" s="11">
        <v>85.47</v>
      </c>
      <c r="L88" s="16">
        <f t="shared" ref="L88:L98" si="14">IFERROR(((K88/(J88*I88)/24)),"0")</f>
        <v>14.364705882352949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3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>
        <v>12.75</v>
      </c>
      <c r="AH88" s="11">
        <v>12.75</v>
      </c>
      <c r="AI88" s="11">
        <v>12.75</v>
      </c>
      <c r="AJ88" s="11">
        <v>12.75</v>
      </c>
      <c r="AK88" s="11"/>
      <c r="AL88" s="14"/>
    </row>
    <row r="89" spans="2:39" ht="25.05" customHeight="1">
      <c r="B89" s="13"/>
      <c r="C89" s="29"/>
      <c r="D89" s="30"/>
      <c r="E89" s="19" t="s">
        <v>1718</v>
      </c>
      <c r="F89" s="8" t="s">
        <v>42</v>
      </c>
      <c r="G89" s="9">
        <v>0.42916666666666664</v>
      </c>
      <c r="H89" s="9">
        <v>0.47222222222222221</v>
      </c>
      <c r="I89" s="10">
        <f t="shared" si="13"/>
        <v>4.3055555555555569E-2</v>
      </c>
      <c r="J89" s="11">
        <v>7</v>
      </c>
      <c r="K89" s="11">
        <v>85.47</v>
      </c>
      <c r="L89" s="16">
        <f t="shared" si="14"/>
        <v>11.816129032258061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3</v>
      </c>
      <c r="W89" s="12"/>
      <c r="X89" s="11"/>
      <c r="Y89" s="11"/>
      <c r="Z89" s="11"/>
      <c r="AA89" s="11"/>
      <c r="AB89" s="11"/>
      <c r="AC89" s="11"/>
      <c r="AD89" s="11"/>
      <c r="AE89" s="11"/>
      <c r="AF89" s="11"/>
      <c r="AG89" s="11">
        <v>15.5</v>
      </c>
      <c r="AH89" s="11">
        <v>15.5</v>
      </c>
      <c r="AI89" s="11">
        <v>15.5</v>
      </c>
      <c r="AJ89" s="11">
        <v>15.5</v>
      </c>
      <c r="AK89" s="11"/>
      <c r="AL89" s="14"/>
    </row>
    <row r="90" spans="2:39" ht="25.05" customHeight="1">
      <c r="B90" s="13"/>
      <c r="C90" s="29"/>
      <c r="D90" s="30"/>
      <c r="E90" s="19" t="s">
        <v>1719</v>
      </c>
      <c r="F90" s="8" t="s">
        <v>42</v>
      </c>
      <c r="G90" s="9">
        <v>0.47569444444444442</v>
      </c>
      <c r="H90" s="9">
        <v>0.50763888888888886</v>
      </c>
      <c r="I90" s="10">
        <f t="shared" si="13"/>
        <v>3.1944444444444442E-2</v>
      </c>
      <c r="J90" s="11">
        <v>7</v>
      </c>
      <c r="K90" s="11">
        <v>86.58</v>
      </c>
      <c r="L90" s="16">
        <f t="shared" si="14"/>
        <v>16.132919254658386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3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>
        <v>11.5</v>
      </c>
      <c r="AH90" s="11">
        <v>11.5</v>
      </c>
      <c r="AI90" s="11">
        <v>11.5</v>
      </c>
      <c r="AJ90" s="11">
        <v>11.5</v>
      </c>
      <c r="AK90" s="11"/>
      <c r="AL90" s="14"/>
    </row>
    <row r="91" spans="2:39" ht="25.05" customHeight="1">
      <c r="B91" s="13"/>
      <c r="C91" s="29"/>
      <c r="D91" s="30"/>
      <c r="E91" s="19" t="s">
        <v>1720</v>
      </c>
      <c r="F91" s="8" t="s">
        <v>42</v>
      </c>
      <c r="G91" s="9">
        <v>0.5083333333333333</v>
      </c>
      <c r="H91" s="9">
        <v>0.6020833333333333</v>
      </c>
      <c r="I91" s="10">
        <f t="shared" si="13"/>
        <v>9.375E-2</v>
      </c>
      <c r="J91" s="11">
        <v>7</v>
      </c>
      <c r="K91" s="11">
        <v>87.48</v>
      </c>
      <c r="L91" s="16">
        <f t="shared" si="14"/>
        <v>5.5542857142857143</v>
      </c>
      <c r="M91" s="11"/>
      <c r="N91" s="11"/>
      <c r="O91" s="11"/>
      <c r="P91" s="11"/>
      <c r="Q91" s="11"/>
      <c r="R91" s="12"/>
      <c r="S91" s="12"/>
      <c r="T91" s="11"/>
      <c r="U91" s="11"/>
      <c r="V91" s="12">
        <v>3</v>
      </c>
      <c r="W91" s="12"/>
      <c r="X91" s="11"/>
      <c r="Y91" s="11"/>
      <c r="Z91" s="11"/>
      <c r="AA91" s="11"/>
      <c r="AB91" s="11"/>
      <c r="AC91" s="11"/>
      <c r="AD91" s="11"/>
      <c r="AE91" s="11"/>
      <c r="AF91" s="11"/>
      <c r="AG91" s="11">
        <v>33.75</v>
      </c>
      <c r="AH91" s="11">
        <v>33.75</v>
      </c>
      <c r="AI91" s="11">
        <v>33.75</v>
      </c>
      <c r="AJ91" s="11">
        <v>33.75</v>
      </c>
      <c r="AK91" s="11"/>
      <c r="AL91" s="14"/>
      <c r="AM91" s="146" t="s">
        <v>1721</v>
      </c>
    </row>
    <row r="92" spans="2:39" ht="25.05" customHeight="1">
      <c r="B92" s="13"/>
      <c r="C92" s="29"/>
      <c r="D92" s="30"/>
      <c r="E92" s="19" t="s">
        <v>1722</v>
      </c>
      <c r="F92" s="8" t="s">
        <v>42</v>
      </c>
      <c r="G92" s="9">
        <v>0.60277777777777775</v>
      </c>
      <c r="H92" s="9">
        <v>0.62986111111111109</v>
      </c>
      <c r="I92" s="10">
        <f t="shared" si="13"/>
        <v>2.7083333333333348E-2</v>
      </c>
      <c r="J92" s="11">
        <v>7</v>
      </c>
      <c r="K92" s="11">
        <v>87</v>
      </c>
      <c r="L92" s="16">
        <f t="shared" si="14"/>
        <v>19.12087912087911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3</v>
      </c>
      <c r="X92" s="11"/>
      <c r="Y92" s="11"/>
      <c r="Z92" s="11"/>
      <c r="AA92" s="11"/>
      <c r="AB92" s="11"/>
      <c r="AC92" s="11"/>
      <c r="AD92" s="11"/>
      <c r="AE92" s="11"/>
      <c r="AF92" s="11"/>
      <c r="AG92" s="11">
        <v>9.6999999999999993</v>
      </c>
      <c r="AH92" s="11">
        <v>9.75</v>
      </c>
      <c r="AI92" s="11">
        <v>9.75</v>
      </c>
      <c r="AJ92" s="11">
        <v>9.75</v>
      </c>
      <c r="AK92" s="11"/>
      <c r="AL92" s="14"/>
    </row>
    <row r="93" spans="2:39" ht="25.05" customHeight="1">
      <c r="B93" s="13"/>
      <c r="C93" s="29"/>
      <c r="D93" s="30"/>
      <c r="E93" s="19" t="s">
        <v>1723</v>
      </c>
      <c r="F93" s="8" t="s">
        <v>42</v>
      </c>
      <c r="G93" s="9">
        <v>0.63055555555555554</v>
      </c>
      <c r="H93" s="9">
        <v>0.6645833333333333</v>
      </c>
      <c r="I93" s="10">
        <f t="shared" si="13"/>
        <v>3.4027777777777768E-2</v>
      </c>
      <c r="J93" s="11">
        <v>7</v>
      </c>
      <c r="K93" s="11">
        <v>87.36</v>
      </c>
      <c r="L93" s="16">
        <f t="shared" si="14"/>
        <v>15.281632653061228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3</v>
      </c>
      <c r="X93" s="11"/>
      <c r="Y93" s="11"/>
      <c r="Z93" s="11"/>
      <c r="AA93" s="11"/>
      <c r="AB93" s="11"/>
      <c r="AC93" s="11"/>
      <c r="AD93" s="11"/>
      <c r="AE93" s="11"/>
      <c r="AF93" s="11"/>
      <c r="AG93" s="11">
        <v>12.25</v>
      </c>
      <c r="AH93" s="11">
        <v>12.25</v>
      </c>
      <c r="AI93" s="11">
        <v>12.25</v>
      </c>
      <c r="AJ93" s="11">
        <v>12.25</v>
      </c>
      <c r="AK93" s="11"/>
      <c r="AL93" s="14"/>
    </row>
    <row r="94" spans="2:39" ht="25.05" customHeight="1">
      <c r="B94" s="13"/>
      <c r="C94" s="29"/>
      <c r="D94" s="30"/>
      <c r="E94" s="19" t="s">
        <v>1724</v>
      </c>
      <c r="F94" s="8" t="s">
        <v>42</v>
      </c>
      <c r="G94" s="9">
        <v>0.66527777777777775</v>
      </c>
      <c r="H94" s="9">
        <v>0.68958333333333333</v>
      </c>
      <c r="I94" s="10">
        <f t="shared" si="13"/>
        <v>2.430555555555558E-2</v>
      </c>
      <c r="J94" s="11">
        <v>7</v>
      </c>
      <c r="K94" s="11">
        <v>90.6</v>
      </c>
      <c r="L94" s="16">
        <f t="shared" si="14"/>
        <v>22.187755102040793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3</v>
      </c>
      <c r="X94" s="11"/>
      <c r="Y94" s="11"/>
      <c r="Z94" s="11"/>
      <c r="AA94" s="11"/>
      <c r="AB94" s="11"/>
      <c r="AC94" s="11"/>
      <c r="AD94" s="11"/>
      <c r="AE94" s="11"/>
      <c r="AF94" s="11"/>
      <c r="AG94" s="11">
        <v>8.75</v>
      </c>
      <c r="AH94" s="11">
        <v>8.75</v>
      </c>
      <c r="AI94" s="11">
        <v>8.75</v>
      </c>
      <c r="AJ94" s="11">
        <v>8.75</v>
      </c>
      <c r="AK94" s="11"/>
      <c r="AL94" s="14"/>
    </row>
    <row r="95" spans="2:39" ht="25.05" customHeight="1">
      <c r="B95" s="13"/>
      <c r="C95" s="29"/>
      <c r="D95" s="30"/>
      <c r="E95" s="116" t="s">
        <v>434</v>
      </c>
      <c r="F95" s="8" t="s">
        <v>42</v>
      </c>
      <c r="G95" s="9">
        <v>0.61388888888888893</v>
      </c>
      <c r="H95" s="9">
        <v>0.625</v>
      </c>
      <c r="I95" s="10">
        <f t="shared" si="13"/>
        <v>1.1111111111111072E-2</v>
      </c>
      <c r="J95" s="11">
        <v>4</v>
      </c>
      <c r="K95" s="11">
        <v>70.84</v>
      </c>
      <c r="L95" s="16">
        <f t="shared" si="14"/>
        <v>66.412500000000236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4</v>
      </c>
      <c r="X95" s="11"/>
      <c r="Y95" s="11"/>
      <c r="Z95" s="11"/>
      <c r="AA95" s="11"/>
      <c r="AB95" s="11"/>
      <c r="AC95" s="11"/>
      <c r="AD95" s="11">
        <v>16</v>
      </c>
      <c r="AE95" s="11"/>
      <c r="AF95" s="11"/>
      <c r="AG95" s="11"/>
      <c r="AH95" s="11"/>
      <c r="AI95" s="11"/>
      <c r="AJ95" s="11"/>
      <c r="AK95" s="11"/>
      <c r="AL95" s="14"/>
    </row>
    <row r="96" spans="2:39" ht="25.05" customHeight="1">
      <c r="B96" s="13"/>
      <c r="C96" s="29"/>
      <c r="D96" s="30"/>
      <c r="E96" s="116" t="s">
        <v>435</v>
      </c>
      <c r="F96" s="8" t="s">
        <v>42</v>
      </c>
      <c r="G96" s="9">
        <v>0.62986111111111109</v>
      </c>
      <c r="H96" s="9">
        <v>0.64027777777777772</v>
      </c>
      <c r="I96" s="10">
        <f t="shared" si="13"/>
        <v>1.041666666666663E-2</v>
      </c>
      <c r="J96" s="11">
        <v>4</v>
      </c>
      <c r="K96" s="11">
        <v>70.56</v>
      </c>
      <c r="L96" s="16">
        <f t="shared" si="14"/>
        <v>70.560000000000244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4</v>
      </c>
      <c r="X96" s="11"/>
      <c r="Y96" s="11"/>
      <c r="Z96" s="11"/>
      <c r="AA96" s="11"/>
      <c r="AB96" s="11"/>
      <c r="AC96" s="11"/>
      <c r="AD96" s="11">
        <v>15</v>
      </c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16" t="s">
        <v>436</v>
      </c>
      <c r="F97" s="8" t="s">
        <v>42</v>
      </c>
      <c r="G97" s="9">
        <v>0.6430555555555556</v>
      </c>
      <c r="H97" s="9">
        <v>0.65138888888888891</v>
      </c>
      <c r="I97" s="10">
        <f t="shared" si="13"/>
        <v>8.3333333333333037E-3</v>
      </c>
      <c r="J97" s="11">
        <v>4</v>
      </c>
      <c r="K97" s="11">
        <v>70.78</v>
      </c>
      <c r="L97" s="16">
        <f t="shared" si="14"/>
        <v>88.475000000000307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4</v>
      </c>
      <c r="X97" s="11"/>
      <c r="Y97" s="11"/>
      <c r="Z97" s="11"/>
      <c r="AA97" s="11"/>
      <c r="AB97" s="11"/>
      <c r="AC97" s="11"/>
      <c r="AD97" s="11">
        <v>12</v>
      </c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16" t="s">
        <v>437</v>
      </c>
      <c r="F98" s="8" t="s">
        <v>42</v>
      </c>
      <c r="G98" s="9">
        <v>0.65416666666666667</v>
      </c>
      <c r="H98" s="9">
        <v>0.66388888888888886</v>
      </c>
      <c r="I98" s="10">
        <f t="shared" ref="I98:I121" si="15">H98-G98</f>
        <v>9.7222222222221877E-3</v>
      </c>
      <c r="J98" s="11">
        <v>4</v>
      </c>
      <c r="K98" s="11">
        <v>70.319999999999993</v>
      </c>
      <c r="L98" s="16">
        <f t="shared" si="14"/>
        <v>75.342857142857397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4</v>
      </c>
      <c r="X98" s="11"/>
      <c r="Y98" s="11"/>
      <c r="Z98" s="11"/>
      <c r="AA98" s="11"/>
      <c r="AB98" s="11"/>
      <c r="AC98" s="11"/>
      <c r="AD98" s="11">
        <v>14</v>
      </c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16" t="s">
        <v>880</v>
      </c>
      <c r="F99" s="88" t="s">
        <v>42</v>
      </c>
      <c r="G99" s="9">
        <v>0.61736111111111114</v>
      </c>
      <c r="H99" s="9">
        <v>0.62291666666666667</v>
      </c>
      <c r="I99" s="10">
        <f t="shared" si="15"/>
        <v>5.5555555555555358E-3</v>
      </c>
      <c r="J99" s="11">
        <v>4</v>
      </c>
      <c r="K99" s="11">
        <v>81.22</v>
      </c>
      <c r="L99" s="16">
        <f t="shared" ref="L99:L121" si="16">IFERROR(((K99/(J99*I99)/24)),"0")</f>
        <v>152.28750000000053</v>
      </c>
      <c r="M99" s="11"/>
      <c r="N99" s="11"/>
      <c r="O99" s="11"/>
      <c r="P99" s="11"/>
      <c r="Q99" s="11"/>
      <c r="R99" s="12"/>
      <c r="S99" s="12"/>
      <c r="T99" s="11"/>
      <c r="U99" s="11"/>
      <c r="V99" s="12">
        <v>2</v>
      </c>
      <c r="W99" s="12"/>
      <c r="X99" s="11"/>
      <c r="Y99" s="11"/>
      <c r="Z99" s="11"/>
      <c r="AA99" s="11"/>
      <c r="AB99" s="11">
        <v>8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16" t="s">
        <v>881</v>
      </c>
      <c r="F100" s="88" t="s">
        <v>42</v>
      </c>
      <c r="G100" s="9">
        <v>0.62986111111111109</v>
      </c>
      <c r="H100" s="9">
        <v>0.63749999999999996</v>
      </c>
      <c r="I100" s="10">
        <f t="shared" si="15"/>
        <v>7.6388888888888618E-3</v>
      </c>
      <c r="J100" s="11">
        <v>4</v>
      </c>
      <c r="K100" s="11">
        <v>82.02</v>
      </c>
      <c r="L100" s="16">
        <f t="shared" si="16"/>
        <v>111.84545454545493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>
        <v>2</v>
      </c>
      <c r="W100" s="12"/>
      <c r="X100" s="11"/>
      <c r="Y100" s="11"/>
      <c r="Z100" s="11"/>
      <c r="AA100" s="11"/>
      <c r="AB100" s="11">
        <v>11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16" t="s">
        <v>882</v>
      </c>
      <c r="F101" s="88" t="s">
        <v>42</v>
      </c>
      <c r="G101" s="9">
        <v>0.64722222222222225</v>
      </c>
      <c r="H101" s="9">
        <v>0.65486111111111112</v>
      </c>
      <c r="I101" s="10">
        <f t="shared" si="15"/>
        <v>7.6388888888888618E-3</v>
      </c>
      <c r="J101" s="11">
        <v>4</v>
      </c>
      <c r="K101" s="11">
        <v>81.099999999999994</v>
      </c>
      <c r="L101" s="16">
        <f t="shared" si="16"/>
        <v>110.59090909090948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2</v>
      </c>
      <c r="W101" s="12"/>
      <c r="X101" s="11"/>
      <c r="Y101" s="11"/>
      <c r="Z101" s="11"/>
      <c r="AA101" s="11"/>
      <c r="AB101" s="11">
        <v>11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16" t="s">
        <v>883</v>
      </c>
      <c r="F102" s="88" t="s">
        <v>42</v>
      </c>
      <c r="G102" s="9">
        <v>0.66111111111111109</v>
      </c>
      <c r="H102" s="9">
        <v>0.6694444444444444</v>
      </c>
      <c r="I102" s="10">
        <f t="shared" si="15"/>
        <v>8.3333333333333037E-3</v>
      </c>
      <c r="J102" s="11">
        <v>4</v>
      </c>
      <c r="K102" s="11">
        <v>80.599999999999994</v>
      </c>
      <c r="L102" s="16">
        <f t="shared" si="16"/>
        <v>100.75000000000036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>
        <v>2</v>
      </c>
      <c r="W102" s="12"/>
      <c r="X102" s="11"/>
      <c r="Y102" s="11"/>
      <c r="Z102" s="11"/>
      <c r="AA102" s="11"/>
      <c r="AB102" s="11">
        <v>12</v>
      </c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16" t="s">
        <v>884</v>
      </c>
      <c r="F103" s="88" t="s">
        <v>42</v>
      </c>
      <c r="G103" s="9">
        <v>0.67777777777777781</v>
      </c>
      <c r="H103" s="9">
        <v>0.68402777777777779</v>
      </c>
      <c r="I103" s="10">
        <f t="shared" si="15"/>
        <v>6.2499999999999778E-3</v>
      </c>
      <c r="J103" s="11">
        <v>4</v>
      </c>
      <c r="K103" s="11">
        <v>80.290000000000006</v>
      </c>
      <c r="L103" s="16">
        <f t="shared" si="16"/>
        <v>133.81666666666715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>
        <v>2</v>
      </c>
      <c r="W103" s="12"/>
      <c r="X103" s="11"/>
      <c r="Y103" s="11"/>
      <c r="Z103" s="11"/>
      <c r="AA103" s="11"/>
      <c r="AB103" s="11">
        <v>9</v>
      </c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16" t="s">
        <v>885</v>
      </c>
      <c r="F104" s="88" t="s">
        <v>42</v>
      </c>
      <c r="G104" s="9">
        <v>0.6791666666666667</v>
      </c>
      <c r="H104" s="9">
        <v>0.68680555555555556</v>
      </c>
      <c r="I104" s="10">
        <f t="shared" si="15"/>
        <v>7.6388888888888618E-3</v>
      </c>
      <c r="J104" s="11">
        <v>4</v>
      </c>
      <c r="K104" s="11">
        <v>79.069999999999993</v>
      </c>
      <c r="L104" s="16">
        <f t="shared" si="16"/>
        <v>107.82272727272765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>
        <v>2</v>
      </c>
      <c r="W104" s="12"/>
      <c r="X104" s="11"/>
      <c r="Y104" s="11"/>
      <c r="Z104" s="11"/>
      <c r="AA104" s="11"/>
      <c r="AB104" s="11"/>
      <c r="AC104" s="11"/>
      <c r="AD104" s="11">
        <v>11</v>
      </c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16" t="s">
        <v>886</v>
      </c>
      <c r="F105" s="8" t="s">
        <v>42</v>
      </c>
      <c r="G105" s="9">
        <v>0.68888888888888888</v>
      </c>
      <c r="H105" s="9">
        <v>0.69652777777777775</v>
      </c>
      <c r="I105" s="10">
        <f t="shared" si="15"/>
        <v>7.6388888888888618E-3</v>
      </c>
      <c r="J105" s="11">
        <v>4</v>
      </c>
      <c r="K105" s="11">
        <v>80.61</v>
      </c>
      <c r="L105" s="16">
        <f t="shared" si="16"/>
        <v>109.92272727272767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>
        <v>2</v>
      </c>
      <c r="W105" s="12"/>
      <c r="X105" s="11"/>
      <c r="Y105" s="11"/>
      <c r="Z105" s="11"/>
      <c r="AA105" s="11"/>
      <c r="AB105" s="11">
        <v>11</v>
      </c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16" t="s">
        <v>887</v>
      </c>
      <c r="F106" s="8" t="s">
        <v>42</v>
      </c>
      <c r="G106" s="9">
        <v>0.69305555555555554</v>
      </c>
      <c r="H106" s="9">
        <v>0.7</v>
      </c>
      <c r="I106" s="10">
        <f t="shared" si="15"/>
        <v>6.9444444444444198E-3</v>
      </c>
      <c r="J106" s="11">
        <v>4</v>
      </c>
      <c r="K106" s="11">
        <v>79.45</v>
      </c>
      <c r="L106" s="16">
        <f t="shared" si="16"/>
        <v>119.17500000000042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2</v>
      </c>
      <c r="W106" s="12"/>
      <c r="X106" s="11"/>
      <c r="Y106" s="11"/>
      <c r="Z106" s="11"/>
      <c r="AA106" s="11"/>
      <c r="AB106" s="11"/>
      <c r="AC106" s="11"/>
      <c r="AD106" s="11">
        <v>10</v>
      </c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/>
      <c r="F107" s="8" t="s">
        <v>42</v>
      </c>
      <c r="G107" s="9"/>
      <c r="H107" s="9"/>
      <c r="I107" s="10">
        <f t="shared" si="15"/>
        <v>0</v>
      </c>
      <c r="J107" s="11"/>
      <c r="K107" s="11"/>
      <c r="L107" s="16" t="str">
        <f t="shared" si="16"/>
        <v>0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 t="s">
        <v>1432</v>
      </c>
      <c r="E108" s="17" t="s">
        <v>1591</v>
      </c>
      <c r="F108" s="8" t="s">
        <v>42</v>
      </c>
      <c r="G108" s="9">
        <v>0.53888888888888886</v>
      </c>
      <c r="H108" s="9">
        <v>0.55763888888888891</v>
      </c>
      <c r="I108" s="10">
        <f t="shared" si="15"/>
        <v>1.8750000000000044E-2</v>
      </c>
      <c r="J108" s="11">
        <v>1</v>
      </c>
      <c r="K108" s="11">
        <v>96</v>
      </c>
      <c r="L108" s="16">
        <f t="shared" si="16"/>
        <v>213.33333333333283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>
        <v>3</v>
      </c>
      <c r="X108" s="11">
        <v>13.5</v>
      </c>
      <c r="Y108" s="11"/>
      <c r="Z108" s="11">
        <v>13.5</v>
      </c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7" t="s">
        <v>1592</v>
      </c>
      <c r="F109" s="8" t="s">
        <v>42</v>
      </c>
      <c r="G109" s="9">
        <v>0.55555555555555558</v>
      </c>
      <c r="H109" s="9">
        <v>0.57152777777777775</v>
      </c>
      <c r="I109" s="10">
        <f t="shared" si="15"/>
        <v>1.5972222222222165E-2</v>
      </c>
      <c r="J109" s="11">
        <v>1</v>
      </c>
      <c r="K109" s="11">
        <v>96</v>
      </c>
      <c r="L109" s="16">
        <f t="shared" si="16"/>
        <v>250.43478260869654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>
        <v>3</v>
      </c>
      <c r="W109" s="12"/>
      <c r="X109" s="11">
        <v>11.5</v>
      </c>
      <c r="Y109" s="11"/>
      <c r="Z109" s="11">
        <v>11.5</v>
      </c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7" t="s">
        <v>1593</v>
      </c>
      <c r="F110" s="8" t="s">
        <v>42</v>
      </c>
      <c r="G110" s="9">
        <v>0.56944444444444442</v>
      </c>
      <c r="H110" s="9">
        <v>0.58333333333333337</v>
      </c>
      <c r="I110" s="10">
        <f t="shared" si="15"/>
        <v>1.3888888888888951E-2</v>
      </c>
      <c r="J110" s="11">
        <v>1</v>
      </c>
      <c r="K110" s="11">
        <v>96</v>
      </c>
      <c r="L110" s="16">
        <f t="shared" si="16"/>
        <v>287.99999999999869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>
        <v>3</v>
      </c>
      <c r="X110" s="11">
        <v>10</v>
      </c>
      <c r="Y110" s="11"/>
      <c r="Z110" s="11">
        <v>10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7" t="s">
        <v>1594</v>
      </c>
      <c r="F111" s="8" t="s">
        <v>42</v>
      </c>
      <c r="G111" s="9">
        <v>0.58263888888888893</v>
      </c>
      <c r="H111" s="9">
        <v>0.60277777777777775</v>
      </c>
      <c r="I111" s="10">
        <f t="shared" si="15"/>
        <v>2.0138888888888817E-2</v>
      </c>
      <c r="J111" s="11">
        <v>1</v>
      </c>
      <c r="K111" s="11">
        <v>96</v>
      </c>
      <c r="L111" s="16">
        <f t="shared" si="16"/>
        <v>198.62068965517312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>
        <v>3</v>
      </c>
      <c r="W111" s="12"/>
      <c r="X111" s="11">
        <v>14.5</v>
      </c>
      <c r="Y111" s="11"/>
      <c r="Z111" s="11">
        <v>14.5</v>
      </c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7" t="s">
        <v>1595</v>
      </c>
      <c r="F112" s="8" t="s">
        <v>42</v>
      </c>
      <c r="G112" s="9">
        <v>0.60624999999999996</v>
      </c>
      <c r="H112" s="9">
        <v>0.62222222222222223</v>
      </c>
      <c r="I112" s="10">
        <f t="shared" si="15"/>
        <v>1.5972222222222276E-2</v>
      </c>
      <c r="J112" s="11">
        <v>1</v>
      </c>
      <c r="K112" s="11">
        <v>96</v>
      </c>
      <c r="L112" s="16">
        <f t="shared" si="16"/>
        <v>250.4347826086948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>
        <v>3</v>
      </c>
      <c r="X112" s="11">
        <v>11.5</v>
      </c>
      <c r="Y112" s="11"/>
      <c r="Z112" s="11">
        <v>11.5</v>
      </c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7" t="s">
        <v>1725</v>
      </c>
      <c r="F113" s="8" t="s">
        <v>42</v>
      </c>
      <c r="G113" s="9">
        <v>0.62638888888888888</v>
      </c>
      <c r="H113" s="9">
        <v>0.64375000000000004</v>
      </c>
      <c r="I113" s="10">
        <f t="shared" si="15"/>
        <v>1.736111111111116E-2</v>
      </c>
      <c r="J113" s="11">
        <v>1</v>
      </c>
      <c r="K113" s="11">
        <v>96</v>
      </c>
      <c r="L113" s="16">
        <f t="shared" si="16"/>
        <v>230.39999999999932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>
        <v>3</v>
      </c>
      <c r="X113" s="11">
        <v>12.5</v>
      </c>
      <c r="Y113" s="11"/>
      <c r="Z113" s="11">
        <v>12.5</v>
      </c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7" t="s">
        <v>1726</v>
      </c>
      <c r="F114" s="8" t="s">
        <v>42</v>
      </c>
      <c r="G114" s="9">
        <v>0.64722222222222225</v>
      </c>
      <c r="H114" s="9">
        <v>0.66111111111111109</v>
      </c>
      <c r="I114" s="10">
        <f t="shared" si="15"/>
        <v>1.388888888888884E-2</v>
      </c>
      <c r="J114" s="11">
        <v>1</v>
      </c>
      <c r="K114" s="11">
        <v>96</v>
      </c>
      <c r="L114" s="16">
        <f t="shared" si="16"/>
        <v>288.00000000000102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>
        <v>3</v>
      </c>
      <c r="X114" s="11">
        <v>10</v>
      </c>
      <c r="Y114" s="11"/>
      <c r="Z114" s="11">
        <v>10</v>
      </c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7" t="s">
        <v>1727</v>
      </c>
      <c r="F115" s="8" t="s">
        <v>42</v>
      </c>
      <c r="G115" s="9">
        <v>0.66666666666666663</v>
      </c>
      <c r="H115" s="9">
        <v>0.6875</v>
      </c>
      <c r="I115" s="10">
        <f t="shared" si="15"/>
        <v>2.083333333333337E-2</v>
      </c>
      <c r="J115" s="11">
        <v>1</v>
      </c>
      <c r="K115" s="11">
        <v>94.53</v>
      </c>
      <c r="L115" s="16">
        <f t="shared" si="16"/>
        <v>189.05999999999969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>
        <v>3</v>
      </c>
      <c r="X115" s="11">
        <v>15</v>
      </c>
      <c r="Y115" s="11"/>
      <c r="Z115" s="11">
        <v>15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2:38" ht="25.05" customHeight="1">
      <c r="B116" s="13"/>
      <c r="C116" s="29"/>
      <c r="D116" s="30"/>
      <c r="E116" s="19"/>
      <c r="F116" s="8" t="s">
        <v>42</v>
      </c>
      <c r="G116" s="9"/>
      <c r="H116" s="9"/>
      <c r="I116" s="10">
        <f t="shared" si="15"/>
        <v>0</v>
      </c>
      <c r="J116" s="11"/>
      <c r="K116" s="11"/>
      <c r="L116" s="16" t="str">
        <f t="shared" si="16"/>
        <v>0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2:38" ht="25.05" customHeight="1">
      <c r="B117" s="13"/>
      <c r="C117" s="29"/>
      <c r="D117" s="6" t="s">
        <v>1728</v>
      </c>
      <c r="E117" s="19" t="s">
        <v>1729</v>
      </c>
      <c r="F117" s="8" t="s">
        <v>42</v>
      </c>
      <c r="G117" s="9">
        <v>0.76736111111111116</v>
      </c>
      <c r="H117" s="9">
        <v>0.76736111111111116</v>
      </c>
      <c r="I117" s="10">
        <f t="shared" si="15"/>
        <v>0</v>
      </c>
      <c r="J117" s="11">
        <v>4</v>
      </c>
      <c r="K117" s="11">
        <v>65</v>
      </c>
      <c r="L117" s="16" t="str">
        <f t="shared" si="16"/>
        <v>0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>
        <v>2</v>
      </c>
      <c r="W117" s="12"/>
      <c r="X117" s="11"/>
      <c r="Y117" s="11"/>
      <c r="Z117" s="11"/>
      <c r="AA117" s="11"/>
      <c r="AB117" s="11"/>
      <c r="AC117" s="11">
        <v>1</v>
      </c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2:38" ht="25.05" customHeight="1">
      <c r="B118" s="13"/>
      <c r="C118" s="29"/>
      <c r="D118" s="126" t="s">
        <v>1730</v>
      </c>
      <c r="E118" s="19" t="s">
        <v>1731</v>
      </c>
      <c r="F118" s="8" t="s">
        <v>42</v>
      </c>
      <c r="G118" s="9">
        <v>0.77708333333333335</v>
      </c>
      <c r="H118" s="9">
        <v>0.77708333333333335</v>
      </c>
      <c r="I118" s="10">
        <f t="shared" si="15"/>
        <v>0</v>
      </c>
      <c r="J118" s="11">
        <v>4</v>
      </c>
      <c r="K118" s="11">
        <v>58.66</v>
      </c>
      <c r="L118" s="16" t="str">
        <f t="shared" si="16"/>
        <v>0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>
        <v>2</v>
      </c>
      <c r="X118" s="11"/>
      <c r="Y118" s="11"/>
      <c r="Z118" s="11"/>
      <c r="AA118" s="11"/>
      <c r="AB118" s="11"/>
      <c r="AC118" s="11">
        <v>1</v>
      </c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2:38" ht="25.05" customHeight="1">
      <c r="B119" s="13"/>
      <c r="C119" s="29"/>
      <c r="D119" s="30"/>
      <c r="E119" s="19" t="s">
        <v>1732</v>
      </c>
      <c r="F119" s="8" t="s">
        <v>42</v>
      </c>
      <c r="G119" s="9">
        <v>0.7895833333333333</v>
      </c>
      <c r="H119" s="9">
        <v>0.7895833333333333</v>
      </c>
      <c r="I119" s="10">
        <f t="shared" si="15"/>
        <v>0</v>
      </c>
      <c r="J119" s="11">
        <v>4</v>
      </c>
      <c r="K119" s="11">
        <v>58.14</v>
      </c>
      <c r="L119" s="16" t="str">
        <f t="shared" si="16"/>
        <v>0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>
        <v>2</v>
      </c>
      <c r="W119" s="12"/>
      <c r="X119" s="11"/>
      <c r="Y119" s="11"/>
      <c r="Z119" s="11"/>
      <c r="AA119" s="11"/>
      <c r="AB119" s="11"/>
      <c r="AC119" s="11">
        <v>1</v>
      </c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/>
      <c r="E120" s="19" t="s">
        <v>1733</v>
      </c>
      <c r="F120" s="8" t="s">
        <v>42</v>
      </c>
      <c r="G120" s="9">
        <v>0.79374999999999996</v>
      </c>
      <c r="H120" s="9">
        <v>0.79374999999999996</v>
      </c>
      <c r="I120" s="10">
        <f t="shared" si="15"/>
        <v>0</v>
      </c>
      <c r="J120" s="11">
        <v>4</v>
      </c>
      <c r="K120" s="11">
        <v>58.42</v>
      </c>
      <c r="L120" s="16" t="str">
        <f t="shared" si="16"/>
        <v>0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>
        <v>2</v>
      </c>
      <c r="X120" s="11"/>
      <c r="Y120" s="11"/>
      <c r="Z120" s="11"/>
      <c r="AA120" s="11"/>
      <c r="AB120" s="11"/>
      <c r="AC120" s="11">
        <v>1</v>
      </c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 t="s">
        <v>1734</v>
      </c>
      <c r="F121" s="8" t="s">
        <v>42</v>
      </c>
      <c r="G121" s="9">
        <v>0.7993055555555556</v>
      </c>
      <c r="H121" s="9">
        <v>0.7993055555555556</v>
      </c>
      <c r="I121" s="10">
        <f t="shared" si="15"/>
        <v>0</v>
      </c>
      <c r="J121" s="11">
        <v>4</v>
      </c>
      <c r="K121" s="11">
        <v>58.44</v>
      </c>
      <c r="L121" s="16" t="str">
        <f t="shared" si="16"/>
        <v>0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>
        <v>2</v>
      </c>
      <c r="W121" s="12"/>
      <c r="X121" s="11"/>
      <c r="Y121" s="11"/>
      <c r="Z121" s="11"/>
      <c r="AA121" s="11"/>
      <c r="AB121" s="11"/>
      <c r="AC121" s="11">
        <v>1</v>
      </c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30"/>
      <c r="E122" s="19" t="s">
        <v>1735</v>
      </c>
      <c r="F122" s="8" t="s">
        <v>42</v>
      </c>
      <c r="G122" s="9">
        <v>0.80833333333333335</v>
      </c>
      <c r="H122" s="9">
        <v>0.80833333333333335</v>
      </c>
      <c r="I122" s="10">
        <f>H122-G122</f>
        <v>0</v>
      </c>
      <c r="J122" s="11">
        <v>4</v>
      </c>
      <c r="K122" s="11">
        <v>54.24</v>
      </c>
      <c r="L122" s="16" t="str">
        <f t="shared" ref="L122:L130" si="17">IFERROR(((K122/(J122*I122)/24)),"0")</f>
        <v>0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/>
      <c r="W122" s="12">
        <v>2</v>
      </c>
      <c r="X122" s="11"/>
      <c r="Y122" s="11"/>
      <c r="Z122" s="11"/>
      <c r="AA122" s="11"/>
      <c r="AB122" s="11"/>
      <c r="AC122" s="11">
        <v>1</v>
      </c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/>
      <c r="E123" s="19" t="s">
        <v>1736</v>
      </c>
      <c r="F123" s="8" t="s">
        <v>42</v>
      </c>
      <c r="G123" s="9">
        <v>0.72638888888888886</v>
      </c>
      <c r="H123" s="9">
        <v>0.74583333333333335</v>
      </c>
      <c r="I123" s="10">
        <f>H123-G123</f>
        <v>1.9444444444444486E-2</v>
      </c>
      <c r="J123" s="11">
        <v>8</v>
      </c>
      <c r="K123" s="11">
        <v>134.4</v>
      </c>
      <c r="L123" s="16">
        <f t="shared" si="17"/>
        <v>35.999999999999922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>
        <v>2</v>
      </c>
      <c r="W123" s="12"/>
      <c r="X123" s="11"/>
      <c r="Y123" s="11"/>
      <c r="Z123" s="11"/>
      <c r="AA123" s="11"/>
      <c r="AB123" s="11">
        <v>28</v>
      </c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2:38" ht="25.05" customHeight="1">
      <c r="B124" s="13"/>
      <c r="C124" s="29"/>
      <c r="D124" s="30"/>
      <c r="E124" s="19" t="s">
        <v>1737</v>
      </c>
      <c r="F124" s="8" t="s">
        <v>42</v>
      </c>
      <c r="G124" s="9">
        <v>0.75069444444444444</v>
      </c>
      <c r="H124" s="9">
        <v>0.76249999999999996</v>
      </c>
      <c r="I124" s="10">
        <f t="shared" ref="I124:I128" si="18">H124-G124</f>
        <v>1.1805555555555514E-2</v>
      </c>
      <c r="J124" s="11">
        <v>8</v>
      </c>
      <c r="K124" s="11">
        <v>138.6</v>
      </c>
      <c r="L124" s="16">
        <f t="shared" si="17"/>
        <v>61.147058823529626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/>
      <c r="W124" s="12">
        <v>2</v>
      </c>
      <c r="X124" s="11"/>
      <c r="Y124" s="11"/>
      <c r="Z124" s="11"/>
      <c r="AA124" s="11"/>
      <c r="AB124" s="11">
        <v>17</v>
      </c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/>
      <c r="E125" s="19" t="s">
        <v>1738</v>
      </c>
      <c r="F125" s="8" t="s">
        <v>42</v>
      </c>
      <c r="G125" s="9">
        <v>0.78125</v>
      </c>
      <c r="H125" s="9">
        <v>0.79166666666666663</v>
      </c>
      <c r="I125" s="10">
        <f t="shared" si="18"/>
        <v>1.041666666666663E-2</v>
      </c>
      <c r="J125" s="11">
        <v>8</v>
      </c>
      <c r="K125" s="11">
        <v>135.65</v>
      </c>
      <c r="L125" s="16">
        <f t="shared" si="17"/>
        <v>67.825000000000244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>
        <v>2</v>
      </c>
      <c r="W125" s="12"/>
      <c r="X125" s="11"/>
      <c r="Y125" s="11"/>
      <c r="Z125" s="11"/>
      <c r="AA125" s="11"/>
      <c r="AB125" s="11">
        <v>15</v>
      </c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19" t="s">
        <v>1739</v>
      </c>
      <c r="F126" s="8" t="s">
        <v>42</v>
      </c>
      <c r="G126" s="9">
        <v>0.79583333333333328</v>
      </c>
      <c r="H126" s="9">
        <v>0.80763888888888891</v>
      </c>
      <c r="I126" s="10">
        <f t="shared" si="18"/>
        <v>1.1805555555555625E-2</v>
      </c>
      <c r="J126" s="11">
        <v>8</v>
      </c>
      <c r="K126" s="11">
        <v>137.85</v>
      </c>
      <c r="L126" s="16">
        <f t="shared" si="17"/>
        <v>60.816176470587884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>
        <v>2</v>
      </c>
      <c r="X126" s="11"/>
      <c r="Y126" s="11"/>
      <c r="Z126" s="11"/>
      <c r="AA126" s="11"/>
      <c r="AB126" s="11">
        <v>17</v>
      </c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0"/>
      <c r="E127" s="19"/>
      <c r="F127" s="8" t="s">
        <v>42</v>
      </c>
      <c r="G127" s="9"/>
      <c r="H127" s="9"/>
      <c r="I127" s="10">
        <f t="shared" si="18"/>
        <v>0</v>
      </c>
      <c r="J127" s="11"/>
      <c r="K127" s="11"/>
      <c r="L127" s="16" t="str">
        <f t="shared" si="17"/>
        <v>0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/>
      <c r="W127" s="12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0"/>
      <c r="E128" s="19"/>
      <c r="F128" s="8" t="s">
        <v>42</v>
      </c>
      <c r="G128" s="9"/>
      <c r="H128" s="9"/>
      <c r="I128" s="10">
        <f t="shared" si="18"/>
        <v>0</v>
      </c>
      <c r="J128" s="11"/>
      <c r="K128" s="11"/>
      <c r="L128" s="16" t="str">
        <f t="shared" si="17"/>
        <v>0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/>
      <c r="W128" s="12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4"/>
    </row>
    <row r="129" spans="1:38" ht="25.05" customHeight="1">
      <c r="B129" s="13"/>
      <c r="C129" s="29"/>
      <c r="D129" s="30"/>
      <c r="E129" s="19"/>
      <c r="F129" s="8" t="s">
        <v>42</v>
      </c>
      <c r="G129" s="9"/>
      <c r="H129" s="9"/>
      <c r="I129" s="10">
        <f>H129-G129</f>
        <v>0</v>
      </c>
      <c r="J129" s="11"/>
      <c r="K129" s="11"/>
      <c r="L129" s="16" t="str">
        <f t="shared" si="17"/>
        <v>0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/>
      <c r="W129" s="12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4"/>
    </row>
    <row r="130" spans="1:38" ht="25.05" customHeight="1">
      <c r="B130" s="13"/>
      <c r="C130" s="29"/>
      <c r="D130" s="30"/>
      <c r="E130" s="19"/>
      <c r="F130" s="8" t="s">
        <v>42</v>
      </c>
      <c r="G130" s="9"/>
      <c r="H130" s="9"/>
      <c r="I130" s="10">
        <v>4</v>
      </c>
      <c r="J130" s="11"/>
      <c r="K130" s="11"/>
      <c r="L130" s="16" t="str">
        <f t="shared" si="17"/>
        <v>0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/>
      <c r="W130" s="12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4"/>
    </row>
    <row r="131" spans="1:38" s="28" customFormat="1" ht="25.5" customHeight="1">
      <c r="A131" s="2"/>
      <c r="B131" s="32"/>
      <c r="C131" s="33"/>
      <c r="D131" s="34"/>
      <c r="E131" s="35"/>
      <c r="F131" s="35"/>
      <c r="G131" s="36"/>
      <c r="H131" s="36"/>
      <c r="I131" s="37"/>
      <c r="J131" s="38"/>
      <c r="K131" s="38">
        <f t="shared" ref="K131:AJ131" si="19">SUM(K31:K130)</f>
        <v>5753.6599999999989</v>
      </c>
      <c r="L131" s="39">
        <f t="shared" si="19"/>
        <v>7073.0453330224809</v>
      </c>
      <c r="M131" s="38">
        <f t="shared" si="19"/>
        <v>0</v>
      </c>
      <c r="N131" s="38">
        <f t="shared" si="19"/>
        <v>0</v>
      </c>
      <c r="O131" s="38">
        <f t="shared" si="19"/>
        <v>0</v>
      </c>
      <c r="P131" s="38">
        <f t="shared" si="19"/>
        <v>0</v>
      </c>
      <c r="Q131" s="38">
        <f t="shared" si="19"/>
        <v>0</v>
      </c>
      <c r="R131" s="38">
        <f t="shared" si="19"/>
        <v>0</v>
      </c>
      <c r="S131" s="38">
        <f t="shared" si="19"/>
        <v>0</v>
      </c>
      <c r="T131" s="38">
        <f t="shared" si="19"/>
        <v>0</v>
      </c>
      <c r="U131" s="38">
        <f t="shared" si="19"/>
        <v>0</v>
      </c>
      <c r="V131" s="38">
        <f t="shared" si="19"/>
        <v>116</v>
      </c>
      <c r="W131" s="38">
        <f t="shared" si="19"/>
        <v>136</v>
      </c>
      <c r="X131" s="38">
        <f t="shared" si="19"/>
        <v>143.5</v>
      </c>
      <c r="Y131" s="38">
        <f t="shared" si="19"/>
        <v>90</v>
      </c>
      <c r="Z131" s="38">
        <f t="shared" si="19"/>
        <v>143.5</v>
      </c>
      <c r="AA131" s="38">
        <f t="shared" si="19"/>
        <v>90</v>
      </c>
      <c r="AB131" s="38">
        <f t="shared" si="19"/>
        <v>191</v>
      </c>
      <c r="AC131" s="38">
        <f t="shared" si="19"/>
        <v>95</v>
      </c>
      <c r="AD131" s="38">
        <f t="shared" si="19"/>
        <v>161</v>
      </c>
      <c r="AE131" s="38">
        <f t="shared" si="19"/>
        <v>26</v>
      </c>
      <c r="AF131" s="38">
        <f t="shared" si="19"/>
        <v>0</v>
      </c>
      <c r="AG131" s="38">
        <f t="shared" si="19"/>
        <v>104.2</v>
      </c>
      <c r="AH131" s="38">
        <f t="shared" si="19"/>
        <v>104.25</v>
      </c>
      <c r="AI131" s="38">
        <f t="shared" si="19"/>
        <v>104.25</v>
      </c>
      <c r="AJ131" s="38">
        <f t="shared" si="19"/>
        <v>104.25</v>
      </c>
      <c r="AK131" s="38">
        <f>SUM(AK31:AK130)</f>
        <v>0</v>
      </c>
      <c r="AL131" s="38">
        <f>SUM(AL31:AL130)</f>
        <v>0</v>
      </c>
    </row>
    <row r="132" spans="1:38" ht="38.1" customHeight="1">
      <c r="B132" s="40" t="s">
        <v>45</v>
      </c>
      <c r="C132" s="41"/>
      <c r="D132" s="41"/>
      <c r="E132" s="41"/>
      <c r="F132" s="41"/>
      <c r="G132" s="41"/>
      <c r="H132" s="41"/>
      <c r="I132" s="41"/>
      <c r="J132" s="41"/>
      <c r="K132" s="42">
        <f>K22+K30+K131</f>
        <v>8954.1099999999988</v>
      </c>
      <c r="L132" s="42">
        <f>L22+L30+L131</f>
        <v>7881.8902791947303</v>
      </c>
      <c r="M132" s="43">
        <f t="shared" ref="M132:AL132" si="20">(M22+M30+M131)/(480-15-30)</f>
        <v>0</v>
      </c>
      <c r="N132" s="43">
        <f t="shared" si="20"/>
        <v>0</v>
      </c>
      <c r="O132" s="43">
        <f t="shared" si="20"/>
        <v>0</v>
      </c>
      <c r="P132" s="43">
        <f t="shared" si="20"/>
        <v>0</v>
      </c>
      <c r="Q132" s="43">
        <f t="shared" si="20"/>
        <v>0</v>
      </c>
      <c r="R132" s="43">
        <f t="shared" si="20"/>
        <v>0.39540229885057471</v>
      </c>
      <c r="S132" s="43">
        <f t="shared" si="20"/>
        <v>1.103448275862069</v>
      </c>
      <c r="T132" s="43">
        <f t="shared" si="20"/>
        <v>0</v>
      </c>
      <c r="U132" s="43">
        <f t="shared" si="20"/>
        <v>0</v>
      </c>
      <c r="V132" s="43">
        <f t="shared" si="20"/>
        <v>0.26666666666666666</v>
      </c>
      <c r="W132" s="43">
        <f t="shared" si="20"/>
        <v>0.31264367816091954</v>
      </c>
      <c r="X132" s="43">
        <f t="shared" si="20"/>
        <v>0.32988505747126434</v>
      </c>
      <c r="Y132" s="43">
        <f t="shared" si="20"/>
        <v>0.20689655172413793</v>
      </c>
      <c r="Z132" s="43">
        <f t="shared" si="20"/>
        <v>0.32988505747126434</v>
      </c>
      <c r="AA132" s="43">
        <f t="shared" si="20"/>
        <v>0.20689655172413793</v>
      </c>
      <c r="AB132" s="43">
        <f t="shared" si="20"/>
        <v>0.43908045977011495</v>
      </c>
      <c r="AC132" s="43">
        <f t="shared" si="20"/>
        <v>0.21839080459770116</v>
      </c>
      <c r="AD132" s="43">
        <f t="shared" si="20"/>
        <v>0.37011494252873561</v>
      </c>
      <c r="AE132" s="43">
        <f t="shared" si="20"/>
        <v>5.9770114942528735E-2</v>
      </c>
      <c r="AF132" s="43">
        <f t="shared" si="20"/>
        <v>0</v>
      </c>
      <c r="AG132" s="43">
        <f t="shared" si="20"/>
        <v>0.23954022988505747</v>
      </c>
      <c r="AH132" s="43">
        <f t="shared" si="20"/>
        <v>0.23965517241379311</v>
      </c>
      <c r="AI132" s="43">
        <f t="shared" si="20"/>
        <v>0.23965517241379311</v>
      </c>
      <c r="AJ132" s="43">
        <f t="shared" si="20"/>
        <v>0.23965517241379311</v>
      </c>
      <c r="AK132" s="43">
        <f t="shared" si="20"/>
        <v>0</v>
      </c>
      <c r="AL132" s="43">
        <f t="shared" si="20"/>
        <v>0</v>
      </c>
    </row>
    <row r="133" spans="1:38" ht="25.05" customHeight="1">
      <c r="B133" s="44"/>
      <c r="C133" s="44"/>
      <c r="D133" s="44"/>
      <c r="E133" s="45"/>
      <c r="F133" s="45"/>
      <c r="G133" s="45"/>
      <c r="H133" s="45"/>
      <c r="I133" s="46"/>
      <c r="J133" s="46"/>
      <c r="K133" s="45"/>
      <c r="L133" s="47"/>
      <c r="M133" s="47"/>
      <c r="N133" s="47"/>
      <c r="O133" s="47"/>
      <c r="P133" s="47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  <c r="AI133" s="45"/>
      <c r="AJ133" s="45"/>
    </row>
    <row r="134" spans="1:38" ht="25.05" customHeight="1">
      <c r="B134" s="44"/>
      <c r="C134" s="44"/>
      <c r="D134" s="44"/>
      <c r="E134" s="45"/>
      <c r="F134" s="45"/>
      <c r="G134" s="45"/>
      <c r="H134" s="45"/>
      <c r="I134" s="48" t="s">
        <v>46</v>
      </c>
      <c r="J134" s="46"/>
      <c r="K134" s="45"/>
      <c r="L134" s="47"/>
      <c r="M134" s="47"/>
      <c r="N134" s="47"/>
      <c r="O134" s="47"/>
      <c r="P134" s="47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  <c r="AI134" s="45"/>
      <c r="AJ134" s="45"/>
    </row>
    <row r="135" spans="1:38" ht="25.05" customHeight="1">
      <c r="B135" s="44"/>
      <c r="C135" s="44"/>
      <c r="D135" s="44"/>
      <c r="E135" s="45"/>
      <c r="F135" s="45"/>
      <c r="G135" s="45"/>
      <c r="H135" s="45"/>
      <c r="I135" s="49" t="s">
        <v>47</v>
      </c>
      <c r="J135" s="9">
        <v>0</v>
      </c>
      <c r="K135" s="11">
        <v>14</v>
      </c>
      <c r="L135" s="11" t="s">
        <v>48</v>
      </c>
      <c r="M135" s="47"/>
      <c r="N135" s="14">
        <v>1</v>
      </c>
      <c r="O135" s="14"/>
      <c r="P135" s="14"/>
      <c r="Q135" s="50" t="s">
        <v>49</v>
      </c>
      <c r="R135" s="51"/>
      <c r="S135" s="45"/>
      <c r="T135" s="45"/>
      <c r="U135" s="45"/>
      <c r="V135" s="45"/>
      <c r="W135" s="45"/>
      <c r="X135" s="45"/>
      <c r="Y135" s="45"/>
      <c r="Z135" s="45"/>
      <c r="AA135" s="45"/>
      <c r="AC135" s="45"/>
      <c r="AD135" s="45"/>
      <c r="AE135" s="45"/>
      <c r="AF135" s="45"/>
      <c r="AG135" s="45"/>
      <c r="AH135" s="45"/>
    </row>
    <row r="136" spans="1:38" ht="25.05" customHeight="1">
      <c r="B136" s="44"/>
      <c r="C136" s="44"/>
      <c r="D136" s="44"/>
      <c r="E136" s="45"/>
      <c r="F136" s="45"/>
      <c r="G136" s="45"/>
      <c r="H136" s="45"/>
      <c r="I136" s="49" t="s">
        <v>50</v>
      </c>
      <c r="J136" s="9">
        <v>0</v>
      </c>
      <c r="K136" s="11">
        <v>3</v>
      </c>
      <c r="L136" s="11" t="s">
        <v>48</v>
      </c>
      <c r="M136" s="47"/>
      <c r="N136" s="14">
        <v>4</v>
      </c>
      <c r="O136" s="14"/>
      <c r="P136" s="14"/>
      <c r="Q136" s="50" t="s">
        <v>51</v>
      </c>
      <c r="R136" s="51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</row>
    <row r="137" spans="1:38" ht="25.05" customHeight="1">
      <c r="B137" s="44"/>
      <c r="C137" s="44"/>
      <c r="D137" s="44"/>
      <c r="E137" s="45"/>
      <c r="F137" s="45"/>
      <c r="G137" s="45"/>
      <c r="H137" s="45"/>
      <c r="I137" s="49" t="s">
        <v>52</v>
      </c>
      <c r="J137" s="9">
        <v>0</v>
      </c>
      <c r="K137" s="11">
        <v>17</v>
      </c>
      <c r="L137" s="11" t="s">
        <v>48</v>
      </c>
      <c r="M137" s="47"/>
      <c r="N137" s="14">
        <v>1</v>
      </c>
      <c r="O137" s="14"/>
      <c r="P137" s="14"/>
      <c r="Q137" s="50" t="s">
        <v>53</v>
      </c>
      <c r="R137" s="51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</row>
    <row r="138" spans="1:38" ht="25.05" customHeight="1">
      <c r="B138" s="44"/>
      <c r="C138" s="44"/>
      <c r="D138" s="44"/>
      <c r="E138" s="45"/>
      <c r="F138" s="45"/>
      <c r="G138" s="45"/>
      <c r="H138" s="45"/>
      <c r="I138" s="52" t="s">
        <v>54</v>
      </c>
      <c r="J138" s="53">
        <v>0</v>
      </c>
      <c r="K138" s="11">
        <v>8</v>
      </c>
      <c r="L138" s="54" t="s">
        <v>48</v>
      </c>
      <c r="M138" s="47"/>
      <c r="N138" s="14">
        <v>4</v>
      </c>
      <c r="O138" s="14"/>
      <c r="P138" s="14"/>
      <c r="Q138" s="50" t="s">
        <v>55</v>
      </c>
      <c r="R138" s="51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</row>
    <row r="139" spans="1:38" ht="25.05" customHeight="1">
      <c r="B139" s="44"/>
      <c r="C139" s="44"/>
      <c r="D139" s="44"/>
      <c r="E139" s="45"/>
      <c r="F139" s="45"/>
      <c r="G139" s="45"/>
      <c r="H139" s="45"/>
      <c r="I139" s="49" t="s">
        <v>56</v>
      </c>
      <c r="J139" s="9">
        <v>0</v>
      </c>
      <c r="K139" s="11">
        <v>42</v>
      </c>
      <c r="L139" s="11" t="s">
        <v>48</v>
      </c>
      <c r="M139" s="47"/>
      <c r="N139"/>
      <c r="O139"/>
      <c r="P139"/>
      <c r="Q139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</row>
    <row r="140" spans="1:38" ht="25.05" customHeight="1">
      <c r="B140" s="44"/>
      <c r="C140" s="44"/>
      <c r="D140" s="44"/>
      <c r="E140" s="45"/>
      <c r="F140" s="45"/>
      <c r="G140" s="45"/>
      <c r="H140" s="45"/>
      <c r="M140" s="47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</row>
    <row r="141" spans="1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F41DF-478B-46BD-ABA5-AA234F950C59}">
  <sheetPr>
    <pageSetUpPr fitToPage="1"/>
  </sheetPr>
  <dimension ref="A1:AQ103"/>
  <sheetViews>
    <sheetView zoomScale="70" zoomScaleNormal="70" workbookViewId="0">
      <pane xSplit="12" ySplit="3" topLeftCell="X82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46096</v>
      </c>
      <c r="C4" s="60" t="s">
        <v>40</v>
      </c>
      <c r="D4" s="6"/>
      <c r="E4" s="7" t="s">
        <v>41</v>
      </c>
      <c r="F4" s="8" t="s">
        <v>42</v>
      </c>
      <c r="G4" s="9">
        <v>0.8125</v>
      </c>
      <c r="H4" s="9">
        <v>0.82638888888888884</v>
      </c>
      <c r="I4" s="10">
        <f t="shared" ref="I4:I30" si="0">H4-G4</f>
        <v>1.388888888888884E-2</v>
      </c>
      <c r="J4" s="11">
        <v>8</v>
      </c>
      <c r="K4" s="11" t="s">
        <v>209</v>
      </c>
      <c r="L4" s="16" t="str">
        <f t="shared" ref="L4:L30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1740</v>
      </c>
      <c r="E5" s="15" t="s">
        <v>1741</v>
      </c>
      <c r="F5" s="57">
        <v>1</v>
      </c>
      <c r="G5" s="9">
        <v>0.83333333333333337</v>
      </c>
      <c r="H5" s="9">
        <v>0.84027777777777779</v>
      </c>
      <c r="I5" s="10">
        <f t="shared" si="0"/>
        <v>6.9444444444444198E-3</v>
      </c>
      <c r="J5" s="11">
        <v>1</v>
      </c>
      <c r="K5" s="11">
        <v>29.2</v>
      </c>
      <c r="L5" s="16">
        <f t="shared" si="1"/>
        <v>175.20000000000061</v>
      </c>
      <c r="M5" s="11">
        <v>10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30"/>
      <c r="E6" s="44" t="s">
        <v>1742</v>
      </c>
      <c r="F6" s="8" t="s">
        <v>42</v>
      </c>
      <c r="G6" s="9">
        <v>0.83333333333333337</v>
      </c>
      <c r="H6" s="9">
        <v>0.84375</v>
      </c>
      <c r="I6" s="10">
        <f t="shared" si="0"/>
        <v>1.041666666666663E-2</v>
      </c>
      <c r="J6" s="11">
        <v>1</v>
      </c>
      <c r="K6" s="11" t="s">
        <v>209</v>
      </c>
      <c r="L6" s="16" t="str">
        <f t="shared" si="1"/>
        <v>0</v>
      </c>
      <c r="M6" s="11"/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1743</v>
      </c>
      <c r="F7" s="57">
        <v>1</v>
      </c>
      <c r="G7" s="9">
        <v>0.84722222222222221</v>
      </c>
      <c r="H7" s="9">
        <v>0.86805555555555558</v>
      </c>
      <c r="I7" s="10">
        <f t="shared" si="0"/>
        <v>2.083333333333337E-2</v>
      </c>
      <c r="J7" s="11">
        <v>1</v>
      </c>
      <c r="K7" s="11">
        <v>12.96</v>
      </c>
      <c r="L7" s="16">
        <f t="shared" si="1"/>
        <v>25.919999999999956</v>
      </c>
      <c r="M7" s="11">
        <v>30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1744</v>
      </c>
      <c r="F8" s="55" t="s">
        <v>1277</v>
      </c>
      <c r="G8" s="9">
        <v>2.0833333333333332E-2</v>
      </c>
      <c r="H8" s="9">
        <v>8.3333333333333329E-2</v>
      </c>
      <c r="I8" s="10">
        <f t="shared" si="0"/>
        <v>6.25E-2</v>
      </c>
      <c r="J8" s="11">
        <v>6</v>
      </c>
      <c r="K8" s="11">
        <v>52.8</v>
      </c>
      <c r="L8" s="16">
        <f t="shared" si="1"/>
        <v>5.8666666666666663</v>
      </c>
      <c r="M8" s="11"/>
      <c r="N8" s="11"/>
      <c r="O8" s="11"/>
      <c r="P8" s="11"/>
      <c r="Q8" s="11"/>
      <c r="R8" s="12"/>
      <c r="S8" s="12">
        <v>90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1745</v>
      </c>
      <c r="F9" s="55" t="s">
        <v>1277</v>
      </c>
      <c r="G9" s="9">
        <v>8.3333333333333329E-2</v>
      </c>
      <c r="H9" s="9">
        <v>0.14583333333333334</v>
      </c>
      <c r="I9" s="10">
        <f t="shared" si="0"/>
        <v>6.2500000000000014E-2</v>
      </c>
      <c r="J9" s="11">
        <v>6</v>
      </c>
      <c r="K9" s="11">
        <v>52.8</v>
      </c>
      <c r="L9" s="16">
        <f t="shared" si="1"/>
        <v>5.8666666666666645</v>
      </c>
      <c r="M9" s="11"/>
      <c r="N9" s="11"/>
      <c r="O9" s="11"/>
      <c r="P9" s="11"/>
      <c r="Q9" s="11"/>
      <c r="R9" s="12"/>
      <c r="S9" s="12">
        <v>90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1746</v>
      </c>
      <c r="F10" s="55" t="s">
        <v>209</v>
      </c>
      <c r="G10" s="9">
        <v>0.16666666666666666</v>
      </c>
      <c r="H10" s="9">
        <v>0.1875</v>
      </c>
      <c r="I10" s="10">
        <f t="shared" si="0"/>
        <v>2.0833333333333343E-2</v>
      </c>
      <c r="J10" s="11">
        <v>1</v>
      </c>
      <c r="K10" s="11">
        <v>188</v>
      </c>
      <c r="L10" s="16">
        <f t="shared" si="1"/>
        <v>375.99999999999983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1747</v>
      </c>
      <c r="F11" s="55" t="s">
        <v>1748</v>
      </c>
      <c r="G11" s="9">
        <v>0.14583333333333334</v>
      </c>
      <c r="H11" s="9">
        <v>0.1875</v>
      </c>
      <c r="I11" s="10">
        <f>H11-G11</f>
        <v>4.1666666666666657E-2</v>
      </c>
      <c r="J11" s="11">
        <v>7</v>
      </c>
      <c r="K11" s="11">
        <v>161.55000000000001</v>
      </c>
      <c r="L11" s="16">
        <f>IFERROR(((K11/(J11*I11)/24)),"0")</f>
        <v>23.078571428571433</v>
      </c>
      <c r="M11" s="11"/>
      <c r="N11" s="11"/>
      <c r="O11" s="11"/>
      <c r="P11" s="11"/>
      <c r="Q11" s="11"/>
      <c r="R11" s="12"/>
      <c r="S11" s="12">
        <v>60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31"/>
      <c r="E12" s="144"/>
      <c r="F12" s="55"/>
      <c r="G12" s="9"/>
      <c r="H12" s="9"/>
      <c r="I12" s="10"/>
      <c r="J12" s="11"/>
      <c r="K12" s="11"/>
      <c r="L12" s="16"/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31" t="s">
        <v>1749</v>
      </c>
      <c r="E13" s="122" t="s">
        <v>1750</v>
      </c>
      <c r="F13" s="8" t="s">
        <v>232</v>
      </c>
      <c r="G13" s="9">
        <v>0.875</v>
      </c>
      <c r="H13" s="9">
        <v>0.88194444444444442</v>
      </c>
      <c r="I13" s="10">
        <f t="shared" si="0"/>
        <v>6.9444444444444198E-3</v>
      </c>
      <c r="J13" s="11">
        <v>1</v>
      </c>
      <c r="K13" s="11">
        <v>12.6</v>
      </c>
      <c r="L13" s="16">
        <f t="shared" si="1"/>
        <v>75.600000000000264</v>
      </c>
      <c r="M13" s="11">
        <v>10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22" t="s">
        <v>1751</v>
      </c>
      <c r="F14" s="118" t="s">
        <v>798</v>
      </c>
      <c r="G14" s="9">
        <v>0.88541666666666663</v>
      </c>
      <c r="H14" s="9">
        <v>0.89583333333333337</v>
      </c>
      <c r="I14" s="10">
        <f t="shared" si="0"/>
        <v>1.0416666666666741E-2</v>
      </c>
      <c r="J14" s="11">
        <v>1</v>
      </c>
      <c r="K14" s="11">
        <v>189</v>
      </c>
      <c r="L14" s="16">
        <f t="shared" si="1"/>
        <v>755.99999999999466</v>
      </c>
      <c r="M14" s="11">
        <v>15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22" t="s">
        <v>1752</v>
      </c>
      <c r="F15" s="55" t="s">
        <v>229</v>
      </c>
      <c r="G15" s="9">
        <v>0.88888888888888884</v>
      </c>
      <c r="H15" s="9">
        <v>0.95833333333333337</v>
      </c>
      <c r="I15" s="10">
        <f t="shared" si="0"/>
        <v>6.9444444444444531E-2</v>
      </c>
      <c r="J15" s="11">
        <v>5</v>
      </c>
      <c r="K15" s="11">
        <v>164.97</v>
      </c>
      <c r="L15" s="16">
        <f t="shared" si="1"/>
        <v>19.796399999999974</v>
      </c>
      <c r="M15" s="11"/>
      <c r="N15" s="11"/>
      <c r="O15" s="11"/>
      <c r="P15" s="11"/>
      <c r="Q15" s="11"/>
      <c r="R15" s="12"/>
      <c r="S15" s="12">
        <v>100</v>
      </c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/>
      <c r="F16" s="55"/>
      <c r="G16" s="9"/>
      <c r="H16" s="9"/>
      <c r="I16" s="10"/>
      <c r="J16" s="11"/>
      <c r="K16" s="11"/>
      <c r="L16" s="16"/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 t="s">
        <v>1753</v>
      </c>
      <c r="E17" s="17" t="s">
        <v>1754</v>
      </c>
      <c r="F17" s="55" t="s">
        <v>63</v>
      </c>
      <c r="G17" s="9">
        <v>0.85416666666666663</v>
      </c>
      <c r="H17" s="9">
        <v>0.875</v>
      </c>
      <c r="I17" s="10">
        <f t="shared" si="0"/>
        <v>2.083333333333337E-2</v>
      </c>
      <c r="J17" s="11">
        <v>1</v>
      </c>
      <c r="K17" s="11">
        <v>48</v>
      </c>
      <c r="L17" s="16">
        <f t="shared" si="1"/>
        <v>95.999999999999829</v>
      </c>
      <c r="M17" s="11"/>
      <c r="N17" s="11"/>
      <c r="O17" s="11"/>
      <c r="P17" s="11"/>
      <c r="Q17" s="11"/>
      <c r="R17" s="12">
        <v>30</v>
      </c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66" t="s">
        <v>1755</v>
      </c>
      <c r="F18" s="55" t="s">
        <v>66</v>
      </c>
      <c r="G18" s="9">
        <v>0.89930555555555558</v>
      </c>
      <c r="H18" s="9">
        <v>0.90625</v>
      </c>
      <c r="I18" s="10">
        <f t="shared" si="0"/>
        <v>6.9444444444444198E-3</v>
      </c>
      <c r="J18" s="11">
        <v>1</v>
      </c>
      <c r="K18" s="11">
        <v>6.4</v>
      </c>
      <c r="L18" s="16">
        <f t="shared" si="1"/>
        <v>38.400000000000141</v>
      </c>
      <c r="M18" s="11">
        <v>10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66" t="s">
        <v>1756</v>
      </c>
      <c r="F19" s="55" t="s">
        <v>59</v>
      </c>
      <c r="G19" s="9">
        <v>0.90972222222222221</v>
      </c>
      <c r="H19" s="9">
        <v>0.91666666666666663</v>
      </c>
      <c r="I19" s="10">
        <f t="shared" si="0"/>
        <v>6.9444444444444198E-3</v>
      </c>
      <c r="J19" s="11">
        <v>1</v>
      </c>
      <c r="K19" s="11">
        <v>0.8</v>
      </c>
      <c r="L19" s="16">
        <f t="shared" si="1"/>
        <v>4.8000000000000176</v>
      </c>
      <c r="M19" s="11">
        <v>1</v>
      </c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5" customHeight="1">
      <c r="B20" s="13"/>
      <c r="C20" s="14"/>
      <c r="D20" s="6"/>
      <c r="E20" s="17" t="s">
        <v>1616</v>
      </c>
      <c r="F20" s="8" t="s">
        <v>42</v>
      </c>
      <c r="G20" s="9">
        <v>0.83333333333333337</v>
      </c>
      <c r="H20" s="9">
        <v>0.85416666666666663</v>
      </c>
      <c r="I20" s="10">
        <f t="shared" si="0"/>
        <v>2.0833333333333259E-2</v>
      </c>
      <c r="J20" s="11">
        <v>1</v>
      </c>
      <c r="K20" s="11" t="s">
        <v>209</v>
      </c>
      <c r="L20" s="16" t="str">
        <f t="shared" si="1"/>
        <v>0</v>
      </c>
      <c r="M20" s="11"/>
      <c r="N20" s="11"/>
      <c r="O20" s="11"/>
      <c r="P20" s="11"/>
      <c r="Q20" s="11">
        <v>30</v>
      </c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43" t="s">
        <v>1757</v>
      </c>
      <c r="F21" s="57">
        <v>0.75</v>
      </c>
      <c r="G21" s="9">
        <v>0.92361111111111116</v>
      </c>
      <c r="H21" s="9">
        <v>0.9375</v>
      </c>
      <c r="I21" s="10">
        <f t="shared" si="0"/>
        <v>1.388888888888884E-2</v>
      </c>
      <c r="J21" s="11">
        <v>2</v>
      </c>
      <c r="K21" s="11"/>
      <c r="L21" s="16">
        <f t="shared" si="1"/>
        <v>0</v>
      </c>
      <c r="M21" s="11">
        <v>20</v>
      </c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/>
      <c r="F22" s="55"/>
      <c r="G22" s="9"/>
      <c r="H22" s="9"/>
      <c r="I22" s="10"/>
      <c r="J22" s="11"/>
      <c r="K22" s="11"/>
      <c r="L22" s="16"/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 t="s">
        <v>1758</v>
      </c>
      <c r="E23" s="15" t="s">
        <v>806</v>
      </c>
      <c r="F23" s="55" t="s">
        <v>232</v>
      </c>
      <c r="G23" s="9">
        <v>0.94097222222222221</v>
      </c>
      <c r="H23" s="9">
        <v>0.94791666666666663</v>
      </c>
      <c r="I23" s="10">
        <f t="shared" si="0"/>
        <v>6.9444444444444198E-3</v>
      </c>
      <c r="J23" s="11">
        <v>1</v>
      </c>
      <c r="K23" s="11">
        <v>1.6</v>
      </c>
      <c r="L23" s="16">
        <f t="shared" si="1"/>
        <v>9.6000000000000352</v>
      </c>
      <c r="M23" s="11">
        <v>10</v>
      </c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 t="s">
        <v>1759</v>
      </c>
      <c r="E24" s="15" t="s">
        <v>807</v>
      </c>
      <c r="F24" s="55" t="s">
        <v>234</v>
      </c>
      <c r="G24" s="9">
        <v>0.95138888888888884</v>
      </c>
      <c r="H24" s="9">
        <v>0.95833333333333337</v>
      </c>
      <c r="I24" s="10">
        <f t="shared" si="0"/>
        <v>6.9444444444445308E-3</v>
      </c>
      <c r="J24" s="11">
        <v>1</v>
      </c>
      <c r="K24" s="11">
        <v>8</v>
      </c>
      <c r="L24" s="16">
        <f t="shared" si="1"/>
        <v>47.999999999999403</v>
      </c>
      <c r="M24" s="11">
        <v>10</v>
      </c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7" t="s">
        <v>731</v>
      </c>
      <c r="F25" s="57" t="s">
        <v>209</v>
      </c>
      <c r="G25" s="9">
        <v>0.85763888888888884</v>
      </c>
      <c r="H25" s="9">
        <v>0.86458333333333337</v>
      </c>
      <c r="I25" s="10">
        <f t="shared" si="0"/>
        <v>6.9444444444445308E-3</v>
      </c>
      <c r="J25" s="11">
        <v>1</v>
      </c>
      <c r="K25" s="11" t="s">
        <v>209</v>
      </c>
      <c r="L25" s="16" t="str">
        <f t="shared" si="1"/>
        <v>0</v>
      </c>
      <c r="M25" s="11"/>
      <c r="N25" s="11"/>
      <c r="O25" s="11"/>
      <c r="P25" s="11"/>
      <c r="Q25" s="11">
        <v>10</v>
      </c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15" t="s">
        <v>732</v>
      </c>
      <c r="F26" s="57">
        <v>0.5</v>
      </c>
      <c r="G26" s="9">
        <v>0.96180555555555558</v>
      </c>
      <c r="H26" s="9">
        <v>0.96875</v>
      </c>
      <c r="I26" s="10">
        <f t="shared" si="0"/>
        <v>6.9444444444444198E-3</v>
      </c>
      <c r="J26" s="11">
        <v>1</v>
      </c>
      <c r="K26" s="11">
        <v>42.64</v>
      </c>
      <c r="L26" s="16">
        <f t="shared" si="1"/>
        <v>255.84000000000091</v>
      </c>
      <c r="M26" s="11">
        <v>10</v>
      </c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15" t="s">
        <v>808</v>
      </c>
      <c r="F27" s="55" t="s">
        <v>237</v>
      </c>
      <c r="G27" s="9">
        <v>0.875</v>
      </c>
      <c r="H27" s="9">
        <v>0.88194444444444442</v>
      </c>
      <c r="I27" s="10">
        <f t="shared" si="0"/>
        <v>6.9444444444444198E-3</v>
      </c>
      <c r="J27" s="11">
        <v>1</v>
      </c>
      <c r="K27" s="11">
        <v>0.16</v>
      </c>
      <c r="L27" s="16">
        <f t="shared" si="1"/>
        <v>0.96000000000000341</v>
      </c>
      <c r="M27" s="11"/>
      <c r="N27" s="11"/>
      <c r="O27" s="11"/>
      <c r="P27" s="11"/>
      <c r="Q27" s="11"/>
      <c r="R27" s="12"/>
      <c r="S27" s="12">
        <v>10</v>
      </c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/>
      <c r="E28" s="15" t="s">
        <v>624</v>
      </c>
      <c r="F28" s="8" t="s">
        <v>42</v>
      </c>
      <c r="G28" s="9">
        <v>0.91666666666666663</v>
      </c>
      <c r="H28" s="9">
        <v>0.93055555555555558</v>
      </c>
      <c r="I28" s="10">
        <f t="shared" si="0"/>
        <v>1.3888888888888951E-2</v>
      </c>
      <c r="J28" s="11">
        <v>2</v>
      </c>
      <c r="K28" s="11" t="s">
        <v>209</v>
      </c>
      <c r="L28" s="16" t="str">
        <f t="shared" si="1"/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 t="s">
        <v>1760</v>
      </c>
      <c r="E29" s="71" t="s">
        <v>733</v>
      </c>
      <c r="F29" s="55" t="s">
        <v>239</v>
      </c>
      <c r="G29" s="9">
        <v>2.0833333333333332E-2</v>
      </c>
      <c r="H29" s="9">
        <v>3.4722222222222224E-2</v>
      </c>
      <c r="I29" s="10">
        <f t="shared" si="0"/>
        <v>1.3888888888888892E-2</v>
      </c>
      <c r="J29" s="11">
        <v>1</v>
      </c>
      <c r="K29" s="11">
        <v>4.24</v>
      </c>
      <c r="L29" s="16">
        <f t="shared" si="1"/>
        <v>12.719999999999999</v>
      </c>
      <c r="M29" s="11">
        <v>20</v>
      </c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6"/>
      <c r="E30" s="15"/>
      <c r="F30" s="55"/>
      <c r="G30" s="9"/>
      <c r="H30" s="9"/>
      <c r="I30" s="10">
        <f t="shared" si="0"/>
        <v>0</v>
      </c>
      <c r="J30" s="11"/>
      <c r="K30" s="11"/>
      <c r="L30" s="16" t="str">
        <f t="shared" si="1"/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s="28" customFormat="1" ht="25.05" customHeight="1">
      <c r="A31" s="2"/>
      <c r="B31" s="21"/>
      <c r="C31" s="22"/>
      <c r="D31" s="23"/>
      <c r="E31" s="24"/>
      <c r="F31" s="24"/>
      <c r="G31" s="25"/>
      <c r="H31" s="25"/>
      <c r="I31" s="26"/>
      <c r="J31" s="27"/>
      <c r="K31" s="27">
        <f>SUM(K4:K22)</f>
        <v>919.08</v>
      </c>
      <c r="L31" s="39">
        <f>SUM(L4:L22)</f>
        <v>1602.5283047618998</v>
      </c>
      <c r="M31" s="27">
        <f>SUM(M4:M24)</f>
        <v>116</v>
      </c>
      <c r="N31" s="27">
        <f t="shared" ref="N31:AL31" si="2">SUM(N4:N22)</f>
        <v>0</v>
      </c>
      <c r="O31" s="27">
        <f t="shared" si="2"/>
        <v>0</v>
      </c>
      <c r="P31" s="27">
        <f t="shared" si="2"/>
        <v>0</v>
      </c>
      <c r="Q31" s="27">
        <f t="shared" si="2"/>
        <v>30</v>
      </c>
      <c r="R31" s="27">
        <f t="shared" si="2"/>
        <v>30</v>
      </c>
      <c r="S31" s="27">
        <f t="shared" si="2"/>
        <v>340</v>
      </c>
      <c r="T31" s="27">
        <f t="shared" si="2"/>
        <v>0</v>
      </c>
      <c r="U31" s="27">
        <f t="shared" si="2"/>
        <v>0</v>
      </c>
      <c r="V31" s="27">
        <f t="shared" si="2"/>
        <v>0</v>
      </c>
      <c r="W31" s="27">
        <f t="shared" si="2"/>
        <v>0</v>
      </c>
      <c r="X31" s="27">
        <f t="shared" si="2"/>
        <v>0</v>
      </c>
      <c r="Y31" s="27">
        <f t="shared" si="2"/>
        <v>0</v>
      </c>
      <c r="Z31" s="27">
        <f t="shared" si="2"/>
        <v>0</v>
      </c>
      <c r="AA31" s="27">
        <f t="shared" si="2"/>
        <v>0</v>
      </c>
      <c r="AB31" s="27">
        <f t="shared" si="2"/>
        <v>0</v>
      </c>
      <c r="AC31" s="27">
        <f t="shared" si="2"/>
        <v>0</v>
      </c>
      <c r="AD31" s="27">
        <f t="shared" si="2"/>
        <v>0</v>
      </c>
      <c r="AE31" s="27">
        <f t="shared" si="2"/>
        <v>0</v>
      </c>
      <c r="AF31" s="27">
        <f t="shared" si="2"/>
        <v>0</v>
      </c>
      <c r="AG31" s="27">
        <f t="shared" si="2"/>
        <v>0</v>
      </c>
      <c r="AH31" s="27">
        <f t="shared" si="2"/>
        <v>0</v>
      </c>
      <c r="AI31" s="27">
        <f t="shared" si="2"/>
        <v>0</v>
      </c>
      <c r="AJ31" s="27">
        <f t="shared" si="2"/>
        <v>0</v>
      </c>
      <c r="AK31" s="27">
        <f t="shared" si="2"/>
        <v>0</v>
      </c>
      <c r="AL31" s="27">
        <f t="shared" si="2"/>
        <v>0</v>
      </c>
    </row>
    <row r="32" spans="1:38" ht="25.05" customHeight="1">
      <c r="B32" s="13"/>
      <c r="C32" s="14" t="s">
        <v>43</v>
      </c>
      <c r="D32" s="6"/>
      <c r="E32" s="7" t="s">
        <v>41</v>
      </c>
      <c r="F32" s="8" t="s">
        <v>42</v>
      </c>
      <c r="G32" s="9"/>
      <c r="H32" s="9"/>
      <c r="I32" s="10">
        <f>H32-G32</f>
        <v>0</v>
      </c>
      <c r="J32" s="11"/>
      <c r="K32" s="11"/>
      <c r="L32" s="16" t="str">
        <f>IFERROR(((K32/(J32*I32)/24)),"0")</f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25.05" customHeight="1">
      <c r="B33" s="13"/>
      <c r="C33" s="14"/>
      <c r="D33" s="18"/>
      <c r="E33" s="6"/>
      <c r="F33" s="14"/>
      <c r="G33" s="9"/>
      <c r="H33" s="9"/>
      <c r="I33" s="10"/>
      <c r="J33" s="11"/>
      <c r="K33" s="11"/>
      <c r="L33" s="16"/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s="28" customFormat="1" ht="25.05" customHeight="1">
      <c r="A34" s="2"/>
      <c r="B34" s="21"/>
      <c r="C34" s="22"/>
      <c r="D34" s="23"/>
      <c r="E34" s="24"/>
      <c r="F34" s="22"/>
      <c r="G34" s="25"/>
      <c r="H34" s="25"/>
      <c r="I34" s="26"/>
      <c r="J34" s="27"/>
      <c r="K34" s="27">
        <f t="shared" ref="K34:AI34" si="3">SUM(K32:K33)</f>
        <v>0</v>
      </c>
      <c r="L34" s="27">
        <f t="shared" si="3"/>
        <v>0</v>
      </c>
      <c r="M34" s="27">
        <f t="shared" si="3"/>
        <v>0</v>
      </c>
      <c r="N34" s="27">
        <f t="shared" si="3"/>
        <v>0</v>
      </c>
      <c r="O34" s="27">
        <f t="shared" si="3"/>
        <v>0</v>
      </c>
      <c r="P34" s="27">
        <f t="shared" si="3"/>
        <v>0</v>
      </c>
      <c r="Q34" s="27">
        <f t="shared" si="3"/>
        <v>0</v>
      </c>
      <c r="R34" s="27">
        <f t="shared" si="3"/>
        <v>0</v>
      </c>
      <c r="S34" s="27">
        <f t="shared" si="3"/>
        <v>0</v>
      </c>
      <c r="T34" s="27">
        <f t="shared" si="3"/>
        <v>0</v>
      </c>
      <c r="U34" s="27">
        <f t="shared" si="3"/>
        <v>0</v>
      </c>
      <c r="V34" s="27">
        <f t="shared" si="3"/>
        <v>0</v>
      </c>
      <c r="W34" s="27">
        <f t="shared" si="3"/>
        <v>0</v>
      </c>
      <c r="X34" s="27">
        <f t="shared" si="3"/>
        <v>0</v>
      </c>
      <c r="Y34" s="27">
        <f t="shared" si="3"/>
        <v>0</v>
      </c>
      <c r="Z34" s="27">
        <f t="shared" si="3"/>
        <v>0</v>
      </c>
      <c r="AA34" s="27">
        <f t="shared" si="3"/>
        <v>0</v>
      </c>
      <c r="AB34" s="27">
        <f t="shared" si="3"/>
        <v>0</v>
      </c>
      <c r="AC34" s="27">
        <f t="shared" si="3"/>
        <v>0</v>
      </c>
      <c r="AD34" s="27">
        <f t="shared" si="3"/>
        <v>0</v>
      </c>
      <c r="AE34" s="27">
        <f t="shared" si="3"/>
        <v>0</v>
      </c>
      <c r="AF34" s="27">
        <f t="shared" si="3"/>
        <v>0</v>
      </c>
      <c r="AG34" s="27">
        <f t="shared" si="3"/>
        <v>0</v>
      </c>
      <c r="AH34" s="27">
        <f t="shared" si="3"/>
        <v>0</v>
      </c>
      <c r="AI34" s="27">
        <f t="shared" si="3"/>
        <v>0</v>
      </c>
      <c r="AJ34" s="27">
        <f>SUM(AJ32:AJ33)</f>
        <v>0</v>
      </c>
      <c r="AK34" s="27">
        <f>SUM(AK32:AK33)</f>
        <v>0</v>
      </c>
      <c r="AL34" s="27">
        <f>SUM(AL32:AL33)</f>
        <v>0</v>
      </c>
    </row>
    <row r="35" spans="1:38" ht="25.05" customHeight="1">
      <c r="B35" s="5"/>
      <c r="C35" s="29" t="s">
        <v>44</v>
      </c>
      <c r="D35" s="30"/>
      <c r="E35" s="7" t="s">
        <v>41</v>
      </c>
      <c r="F35" s="8" t="s">
        <v>42</v>
      </c>
      <c r="G35" s="9">
        <v>0.79166666666666663</v>
      </c>
      <c r="H35" s="9">
        <v>0.8125</v>
      </c>
      <c r="I35" s="10">
        <f t="shared" ref="I35:I60" si="4">H35-G35</f>
        <v>2.083333333333337E-2</v>
      </c>
      <c r="J35" s="11">
        <v>7</v>
      </c>
      <c r="K35" s="11" t="s">
        <v>209</v>
      </c>
      <c r="L35" s="16" t="str">
        <f t="shared" ref="L35:L60" si="5">IFERROR(((K35/(J35*I35)/24)),"0")</f>
        <v>0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1:38" ht="25.05" customHeight="1">
      <c r="B36" s="13"/>
      <c r="C36" s="29"/>
      <c r="D36" s="30" t="s">
        <v>1032</v>
      </c>
      <c r="E36" s="19" t="s">
        <v>1761</v>
      </c>
      <c r="F36" s="8" t="s">
        <v>42</v>
      </c>
      <c r="G36" s="9">
        <v>0.88055555555555554</v>
      </c>
      <c r="H36" s="9">
        <v>0.8881944444444444</v>
      </c>
      <c r="I36" s="10">
        <f t="shared" si="4"/>
        <v>7.6388888888888618E-3</v>
      </c>
      <c r="J36" s="11">
        <v>2</v>
      </c>
      <c r="K36" s="11">
        <v>45</v>
      </c>
      <c r="L36" s="16">
        <f t="shared" si="5"/>
        <v>122.72727272727316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8</v>
      </c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1:38" ht="25.05" customHeight="1">
      <c r="B37" s="13"/>
      <c r="C37" s="29"/>
      <c r="D37" s="30"/>
      <c r="E37" s="19" t="s">
        <v>1762</v>
      </c>
      <c r="F37" s="8" t="s">
        <v>42</v>
      </c>
      <c r="G37" s="9">
        <v>0.875</v>
      </c>
      <c r="H37" s="9">
        <v>0.88749999999999996</v>
      </c>
      <c r="I37" s="10">
        <f t="shared" si="4"/>
        <v>1.2499999999999956E-2</v>
      </c>
      <c r="J37" s="11">
        <v>4</v>
      </c>
      <c r="K37" s="11">
        <v>64.77</v>
      </c>
      <c r="L37" s="16">
        <f t="shared" si="5"/>
        <v>53.975000000000186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>
        <f>18/2</f>
        <v>9</v>
      </c>
      <c r="Y37" s="11"/>
      <c r="Z37" s="11">
        <v>9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/>
      <c r="E38" s="19" t="s">
        <v>1763</v>
      </c>
      <c r="F38" s="8" t="s">
        <v>42</v>
      </c>
      <c r="G38" s="9">
        <v>0.8833333333333333</v>
      </c>
      <c r="H38" s="9">
        <v>0.89513888888888893</v>
      </c>
      <c r="I38" s="10">
        <f t="shared" si="4"/>
        <v>1.1805555555555625E-2</v>
      </c>
      <c r="J38" s="11">
        <v>4</v>
      </c>
      <c r="K38" s="11">
        <v>62.12</v>
      </c>
      <c r="L38" s="16">
        <f t="shared" si="5"/>
        <v>54.811764705882034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>
        <f>17/2</f>
        <v>8.5</v>
      </c>
      <c r="Z38" s="11"/>
      <c r="AA38" s="11">
        <v>8.5</v>
      </c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 t="s">
        <v>1764</v>
      </c>
      <c r="F39" s="8" t="s">
        <v>42</v>
      </c>
      <c r="G39" s="9">
        <v>0.89861111111111114</v>
      </c>
      <c r="H39" s="9">
        <v>0.91249999999999998</v>
      </c>
      <c r="I39" s="10">
        <f t="shared" si="4"/>
        <v>1.388888888888884E-2</v>
      </c>
      <c r="J39" s="11">
        <v>4</v>
      </c>
      <c r="K39" s="11">
        <v>62.8</v>
      </c>
      <c r="L39" s="16">
        <f t="shared" si="5"/>
        <v>47.100000000000165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>
        <v>10</v>
      </c>
      <c r="Y39" s="11"/>
      <c r="Z39" s="11">
        <v>10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 t="s">
        <v>1765</v>
      </c>
      <c r="F40" s="8" t="s">
        <v>42</v>
      </c>
      <c r="G40" s="9">
        <v>0.90972222222222221</v>
      </c>
      <c r="H40" s="9">
        <v>0.93541666666666667</v>
      </c>
      <c r="I40" s="10">
        <f t="shared" si="4"/>
        <v>2.5694444444444464E-2</v>
      </c>
      <c r="J40" s="11">
        <v>4</v>
      </c>
      <c r="K40" s="11">
        <v>61.57</v>
      </c>
      <c r="L40" s="16">
        <f t="shared" si="5"/>
        <v>24.960810810810795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>
        <v>37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1766</v>
      </c>
      <c r="F41" s="8" t="s">
        <v>42</v>
      </c>
      <c r="G41" s="9">
        <v>0.92986111111111114</v>
      </c>
      <c r="H41" s="9">
        <v>0.94097222222222221</v>
      </c>
      <c r="I41" s="10">
        <f t="shared" si="4"/>
        <v>1.1111111111111072E-2</v>
      </c>
      <c r="J41" s="11">
        <v>4</v>
      </c>
      <c r="K41" s="11">
        <v>63.36</v>
      </c>
      <c r="L41" s="16">
        <f t="shared" si="5"/>
        <v>59.400000000000212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>
        <v>8</v>
      </c>
      <c r="Y41" s="11"/>
      <c r="Z41" s="11">
        <v>8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1767</v>
      </c>
      <c r="F42" s="8" t="s">
        <v>42</v>
      </c>
      <c r="G42" s="9">
        <v>0.93611111111111112</v>
      </c>
      <c r="H42" s="9">
        <v>0.95208333333333328</v>
      </c>
      <c r="I42" s="10">
        <f t="shared" si="4"/>
        <v>1.5972222222222165E-2</v>
      </c>
      <c r="J42" s="11">
        <v>4</v>
      </c>
      <c r="K42" s="11">
        <v>60.11</v>
      </c>
      <c r="L42" s="16">
        <f t="shared" si="5"/>
        <v>39.202173913043616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>
        <f>23/2</f>
        <v>11.5</v>
      </c>
      <c r="Z42" s="11"/>
      <c r="AA42" s="11">
        <v>11.5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 t="s">
        <v>1768</v>
      </c>
      <c r="F43" s="8" t="s">
        <v>42</v>
      </c>
      <c r="G43" s="9">
        <v>0.94513888888888886</v>
      </c>
      <c r="H43" s="9">
        <v>0.95763888888888893</v>
      </c>
      <c r="I43" s="10">
        <f t="shared" si="4"/>
        <v>1.2500000000000067E-2</v>
      </c>
      <c r="J43" s="11">
        <v>4</v>
      </c>
      <c r="K43" s="11">
        <v>64.5</v>
      </c>
      <c r="L43" s="16">
        <f t="shared" si="5"/>
        <v>53.749999999999716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>
        <v>9</v>
      </c>
      <c r="Y43" s="11"/>
      <c r="Z43" s="11">
        <v>9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1769</v>
      </c>
      <c r="F44" s="8" t="s">
        <v>42</v>
      </c>
      <c r="G44" s="9">
        <v>0.95486111111111116</v>
      </c>
      <c r="H44" s="9">
        <v>0.96666666666666667</v>
      </c>
      <c r="I44" s="10">
        <f t="shared" si="4"/>
        <v>1.1805555555555514E-2</v>
      </c>
      <c r="J44" s="11">
        <v>4</v>
      </c>
      <c r="K44" s="11">
        <v>61.83</v>
      </c>
      <c r="L44" s="16">
        <f t="shared" si="5"/>
        <v>54.555882352941374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>
        <f>17/2</f>
        <v>8.5</v>
      </c>
      <c r="Z44" s="11"/>
      <c r="AA44" s="11">
        <v>8.5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1770</v>
      </c>
      <c r="F45" s="8" t="s">
        <v>42</v>
      </c>
      <c r="G45" s="9">
        <v>0.96180555555555558</v>
      </c>
      <c r="H45" s="9">
        <v>0.97222222222222221</v>
      </c>
      <c r="I45" s="10">
        <f t="shared" si="4"/>
        <v>1.041666666666663E-2</v>
      </c>
      <c r="J45" s="11">
        <v>4</v>
      </c>
      <c r="K45" s="11">
        <v>64.400000000000006</v>
      </c>
      <c r="L45" s="16">
        <f t="shared" si="5"/>
        <v>64.400000000000233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>
        <f>15/2</f>
        <v>7.5</v>
      </c>
      <c r="Y45" s="11"/>
      <c r="Z45" s="11">
        <v>7.5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1771</v>
      </c>
      <c r="F46" s="8" t="s">
        <v>42</v>
      </c>
      <c r="G46" s="9">
        <v>0.97083333333333333</v>
      </c>
      <c r="H46" s="9">
        <v>0.98055555555555551</v>
      </c>
      <c r="I46" s="10">
        <f t="shared" si="4"/>
        <v>9.7222222222221877E-3</v>
      </c>
      <c r="J46" s="11">
        <v>4</v>
      </c>
      <c r="K46" s="11">
        <v>61.34</v>
      </c>
      <c r="L46" s="16">
        <f t="shared" si="5"/>
        <v>65.721428571428802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>
        <v>7</v>
      </c>
      <c r="Z46" s="11"/>
      <c r="AA46" s="11">
        <v>7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 t="s">
        <v>1772</v>
      </c>
      <c r="F47" s="8" t="s">
        <v>42</v>
      </c>
      <c r="G47" s="9">
        <v>8.1250000000000003E-2</v>
      </c>
      <c r="H47" s="9">
        <v>0.11319444444444444</v>
      </c>
      <c r="I47" s="10">
        <f t="shared" si="4"/>
        <v>3.1944444444444442E-2</v>
      </c>
      <c r="J47" s="11">
        <v>4</v>
      </c>
      <c r="K47" s="11">
        <v>126.63</v>
      </c>
      <c r="L47" s="16">
        <f t="shared" si="5"/>
        <v>41.292391304347824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>
        <v>46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 t="s">
        <v>1773</v>
      </c>
      <c r="F48" s="8" t="s">
        <v>42</v>
      </c>
      <c r="G48" s="9">
        <v>0.11041666666666666</v>
      </c>
      <c r="H48" s="9">
        <v>0.14305555555555555</v>
      </c>
      <c r="I48" s="10">
        <f t="shared" si="4"/>
        <v>3.2638888888888884E-2</v>
      </c>
      <c r="J48" s="11">
        <v>4</v>
      </c>
      <c r="K48" s="11">
        <v>126.06</v>
      </c>
      <c r="L48" s="16">
        <f t="shared" si="5"/>
        <v>40.231914893617024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/>
      <c r="AA48" s="11"/>
      <c r="AB48" s="11"/>
      <c r="AC48" s="11">
        <v>47</v>
      </c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1774</v>
      </c>
      <c r="F49" s="8" t="s">
        <v>42</v>
      </c>
      <c r="G49" s="9">
        <v>0.12083333333333333</v>
      </c>
      <c r="H49" s="9">
        <v>0.14930555555555555</v>
      </c>
      <c r="I49" s="10">
        <f t="shared" si="4"/>
        <v>2.8472222222222218E-2</v>
      </c>
      <c r="J49" s="11">
        <v>4</v>
      </c>
      <c r="K49" s="11">
        <v>126</v>
      </c>
      <c r="L49" s="16">
        <f t="shared" si="5"/>
        <v>46.09756097560976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/>
      <c r="AC49" s="11"/>
      <c r="AD49" s="11">
        <v>41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1775</v>
      </c>
      <c r="F50" s="8" t="s">
        <v>42</v>
      </c>
      <c r="G50" s="9">
        <v>0.12916666666666668</v>
      </c>
      <c r="H50" s="9">
        <v>0.16111111111111112</v>
      </c>
      <c r="I50" s="10">
        <f t="shared" si="4"/>
        <v>3.1944444444444442E-2</v>
      </c>
      <c r="J50" s="11">
        <v>4</v>
      </c>
      <c r="K50" s="11">
        <v>124.72</v>
      </c>
      <c r="L50" s="16">
        <f t="shared" si="5"/>
        <v>40.669565217391309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>
        <v>46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1776</v>
      </c>
      <c r="F51" s="8" t="s">
        <v>42</v>
      </c>
      <c r="G51" s="9">
        <v>0.16111111111111112</v>
      </c>
      <c r="H51" s="9">
        <v>0.19375000000000001</v>
      </c>
      <c r="I51" s="10">
        <f t="shared" si="4"/>
        <v>3.2638888888888884E-2</v>
      </c>
      <c r="J51" s="11">
        <v>4</v>
      </c>
      <c r="K51" s="11">
        <v>122.86</v>
      </c>
      <c r="L51" s="16">
        <f t="shared" si="5"/>
        <v>39.210638297872343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/>
      <c r="AB51" s="11"/>
      <c r="AC51" s="11"/>
      <c r="AD51" s="11">
        <v>47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1777</v>
      </c>
      <c r="F52" s="8" t="s">
        <v>42</v>
      </c>
      <c r="G52" s="9">
        <v>0.16597222222222222</v>
      </c>
      <c r="H52" s="9">
        <v>0.19722222222222222</v>
      </c>
      <c r="I52" s="10">
        <f t="shared" si="4"/>
        <v>3.125E-2</v>
      </c>
      <c r="J52" s="11">
        <v>4</v>
      </c>
      <c r="K52" s="11">
        <v>126</v>
      </c>
      <c r="L52" s="16">
        <f t="shared" si="5"/>
        <v>42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/>
      <c r="AC52" s="11">
        <v>45</v>
      </c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1778</v>
      </c>
      <c r="F53" s="8" t="s">
        <v>42</v>
      </c>
      <c r="G53" s="9">
        <v>0.17708333333333334</v>
      </c>
      <c r="H53" s="9">
        <v>0.20624999999999999</v>
      </c>
      <c r="I53" s="10">
        <f t="shared" si="4"/>
        <v>2.9166666666666646E-2</v>
      </c>
      <c r="J53" s="11">
        <v>4</v>
      </c>
      <c r="K53" s="11">
        <v>127.6</v>
      </c>
      <c r="L53" s="16">
        <f t="shared" si="5"/>
        <v>45.571428571428605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/>
      <c r="AB53" s="11">
        <v>42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1779</v>
      </c>
      <c r="F54" s="8" t="s">
        <v>42</v>
      </c>
      <c r="G54" s="9">
        <v>0.2048611111111111</v>
      </c>
      <c r="H54" s="9">
        <v>0.23194444444444445</v>
      </c>
      <c r="I54" s="10">
        <f t="shared" si="4"/>
        <v>2.7083333333333348E-2</v>
      </c>
      <c r="J54" s="11">
        <v>4</v>
      </c>
      <c r="K54" s="11">
        <v>126.39</v>
      </c>
      <c r="L54" s="16">
        <f t="shared" si="5"/>
        <v>48.611538461538437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/>
      <c r="AD54" s="11">
        <v>39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1780</v>
      </c>
      <c r="F55" s="8" t="s">
        <v>42</v>
      </c>
      <c r="G55" s="9">
        <v>0.21249999999999999</v>
      </c>
      <c r="H55" s="9">
        <v>0.23958333333333334</v>
      </c>
      <c r="I55" s="10">
        <f t="shared" si="4"/>
        <v>2.7083333333333348E-2</v>
      </c>
      <c r="J55" s="11">
        <v>4</v>
      </c>
      <c r="K55" s="11">
        <v>125.85</v>
      </c>
      <c r="L55" s="16">
        <f t="shared" si="5"/>
        <v>48.403846153846125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/>
      <c r="AB55" s="11"/>
      <c r="AC55" s="11">
        <v>39</v>
      </c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/>
      <c r="F56" s="8" t="s">
        <v>42</v>
      </c>
      <c r="G56" s="9"/>
      <c r="H56" s="9"/>
      <c r="I56" s="10"/>
      <c r="J56" s="11"/>
      <c r="K56" s="11"/>
      <c r="L56" s="16"/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 t="s">
        <v>1781</v>
      </c>
      <c r="E57" s="19" t="s">
        <v>1782</v>
      </c>
      <c r="F57" s="8" t="s">
        <v>42</v>
      </c>
      <c r="G57" s="9">
        <v>0.82986111111111116</v>
      </c>
      <c r="H57" s="9">
        <v>0.8666666666666667</v>
      </c>
      <c r="I57" s="10">
        <f t="shared" si="4"/>
        <v>3.6805555555555536E-2</v>
      </c>
      <c r="J57" s="11">
        <v>4</v>
      </c>
      <c r="K57" s="11">
        <v>92.37</v>
      </c>
      <c r="L57" s="16">
        <f t="shared" si="5"/>
        <v>26.142452830188692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/>
      <c r="AA57" s="11"/>
      <c r="AB57" s="11"/>
      <c r="AC57" s="11"/>
      <c r="AD57" s="11"/>
      <c r="AE57" s="11"/>
      <c r="AF57" s="11"/>
      <c r="AG57" s="11">
        <f>53/4</f>
        <v>13.25</v>
      </c>
      <c r="AH57" s="11">
        <f>53/4</f>
        <v>13.25</v>
      </c>
      <c r="AI57" s="11">
        <f>53/4</f>
        <v>13.25</v>
      </c>
      <c r="AJ57" s="11">
        <f>53/4</f>
        <v>13.25</v>
      </c>
      <c r="AK57" s="11"/>
      <c r="AL57" s="14"/>
    </row>
    <row r="58" spans="2:38" ht="25.05" customHeight="1">
      <c r="B58" s="13"/>
      <c r="C58" s="29"/>
      <c r="D58" s="30"/>
      <c r="E58" s="19" t="s">
        <v>1783</v>
      </c>
      <c r="F58" s="8" t="s">
        <v>42</v>
      </c>
      <c r="G58" s="9">
        <v>0.86736111111111114</v>
      </c>
      <c r="H58" s="9">
        <v>0.90347222222222223</v>
      </c>
      <c r="I58" s="10">
        <f t="shared" si="4"/>
        <v>3.6111111111111094E-2</v>
      </c>
      <c r="J58" s="11">
        <v>4</v>
      </c>
      <c r="K58" s="11">
        <v>100.21</v>
      </c>
      <c r="L58" s="16">
        <f t="shared" si="5"/>
        <v>28.90673076923078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>
        <f>52/4</f>
        <v>13</v>
      </c>
      <c r="AH58" s="11">
        <f>52/4</f>
        <v>13</v>
      </c>
      <c r="AI58" s="11">
        <f>52/4</f>
        <v>13</v>
      </c>
      <c r="AJ58" s="11">
        <f>52/4</f>
        <v>13</v>
      </c>
      <c r="AK58" s="11"/>
      <c r="AL58" s="14"/>
    </row>
    <row r="59" spans="2:38" ht="25.05" customHeight="1">
      <c r="B59" s="13"/>
      <c r="C59" s="29"/>
      <c r="D59" s="30"/>
      <c r="E59" s="19" t="s">
        <v>1784</v>
      </c>
      <c r="F59" s="8" t="s">
        <v>42</v>
      </c>
      <c r="G59" s="9">
        <v>0.90416666666666667</v>
      </c>
      <c r="H59" s="9">
        <v>0.94444444444444442</v>
      </c>
      <c r="I59" s="10">
        <f t="shared" si="4"/>
        <v>4.0277777777777746E-2</v>
      </c>
      <c r="J59" s="11">
        <v>4</v>
      </c>
      <c r="K59" s="11">
        <v>98.44</v>
      </c>
      <c r="L59" s="16">
        <f t="shared" si="5"/>
        <v>25.458620689655191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/>
      <c r="Z59" s="11"/>
      <c r="AA59" s="11"/>
      <c r="AB59" s="11"/>
      <c r="AC59" s="11"/>
      <c r="AD59" s="11"/>
      <c r="AE59" s="11"/>
      <c r="AF59" s="11"/>
      <c r="AG59" s="11">
        <f>58/4</f>
        <v>14.5</v>
      </c>
      <c r="AH59" s="11">
        <f>58/4</f>
        <v>14.5</v>
      </c>
      <c r="AI59" s="11">
        <f>58/4</f>
        <v>14.5</v>
      </c>
      <c r="AJ59" s="11">
        <f>58/4</f>
        <v>14.5</v>
      </c>
      <c r="AK59" s="11"/>
      <c r="AL59" s="14"/>
    </row>
    <row r="60" spans="2:38" ht="25.05" customHeight="1">
      <c r="B60" s="13"/>
      <c r="C60" s="29"/>
      <c r="D60" s="30"/>
      <c r="E60" s="19" t="s">
        <v>1785</v>
      </c>
      <c r="F60" s="8" t="s">
        <v>42</v>
      </c>
      <c r="G60" s="9">
        <v>0.95416666666666672</v>
      </c>
      <c r="H60" s="9">
        <v>0.98611111111111116</v>
      </c>
      <c r="I60" s="10">
        <f t="shared" si="4"/>
        <v>3.1944444444444442E-2</v>
      </c>
      <c r="J60" s="11">
        <v>4</v>
      </c>
      <c r="K60" s="11">
        <v>100.18</v>
      </c>
      <c r="L60" s="16">
        <f t="shared" si="5"/>
        <v>32.667391304347831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>
        <f>46/4</f>
        <v>11.5</v>
      </c>
      <c r="AH60" s="11">
        <f>46/4</f>
        <v>11.5</v>
      </c>
      <c r="AI60" s="11">
        <f>46/4</f>
        <v>11.5</v>
      </c>
      <c r="AJ60" s="11">
        <f>46/4</f>
        <v>11.5</v>
      </c>
      <c r="AK60" s="11"/>
      <c r="AL60" s="14"/>
    </row>
    <row r="61" spans="2:38" ht="25.05" customHeight="1">
      <c r="B61" s="13"/>
      <c r="C61" s="29"/>
      <c r="D61" s="30"/>
      <c r="E61" s="19" t="s">
        <v>1786</v>
      </c>
      <c r="F61" s="14"/>
      <c r="G61" s="9">
        <v>7.3611111111111113E-2</v>
      </c>
      <c r="H61" s="9">
        <v>0.1076388888888889</v>
      </c>
      <c r="I61" s="10">
        <f>H61-G61</f>
        <v>3.4027777777777782E-2</v>
      </c>
      <c r="J61" s="11">
        <v>4</v>
      </c>
      <c r="K61" s="11">
        <v>96.52</v>
      </c>
      <c r="L61" s="16">
        <f>IFERROR(((K61/(J61*I61)/24)),"0")</f>
        <v>29.546938775510199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>
        <v>2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>
        <f>49/4</f>
        <v>12.25</v>
      </c>
      <c r="AH61" s="11">
        <f>49/4</f>
        <v>12.25</v>
      </c>
      <c r="AI61" s="11">
        <f>49/4</f>
        <v>12.25</v>
      </c>
      <c r="AJ61" s="11">
        <f>49/4</f>
        <v>12.25</v>
      </c>
      <c r="AK61" s="11"/>
      <c r="AL61" s="14"/>
    </row>
    <row r="62" spans="2:38" ht="25.05" customHeight="1">
      <c r="B62" s="13"/>
      <c r="C62" s="29"/>
      <c r="D62" s="30"/>
      <c r="E62" s="19" t="s">
        <v>1787</v>
      </c>
      <c r="F62" s="8" t="s">
        <v>42</v>
      </c>
      <c r="G62" s="9">
        <v>0.10833333333333334</v>
      </c>
      <c r="H62" s="9">
        <v>0.15069444444444444</v>
      </c>
      <c r="I62" s="10">
        <f t="shared" ref="I62:I73" si="6">H62-G62</f>
        <v>4.2361111111111099E-2</v>
      </c>
      <c r="J62" s="11">
        <v>4</v>
      </c>
      <c r="K62" s="11">
        <v>100.39</v>
      </c>
      <c r="L62" s="16">
        <f t="shared" ref="L62:L73" si="7">IFERROR(((K62/(J62*I62)/24)),"0")</f>
        <v>24.686065573770495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/>
      <c r="AC62" s="11"/>
      <c r="AD62" s="11"/>
      <c r="AE62" s="11"/>
      <c r="AF62" s="11"/>
      <c r="AG62" s="11">
        <f>61/4</f>
        <v>15.25</v>
      </c>
      <c r="AH62" s="11">
        <f>61/4</f>
        <v>15.25</v>
      </c>
      <c r="AI62" s="11">
        <f>61/4</f>
        <v>15.25</v>
      </c>
      <c r="AJ62" s="11">
        <f>61/4</f>
        <v>15.25</v>
      </c>
      <c r="AK62" s="11"/>
      <c r="AL62" s="14"/>
    </row>
    <row r="63" spans="2:38" ht="25.05" customHeight="1">
      <c r="B63" s="13"/>
      <c r="C63" s="29"/>
      <c r="D63" s="30"/>
      <c r="E63" s="19" t="s">
        <v>1788</v>
      </c>
      <c r="F63" s="8" t="s">
        <v>42</v>
      </c>
      <c r="G63" s="9">
        <v>0.15277777777777779</v>
      </c>
      <c r="H63" s="9">
        <v>0.18333333333333332</v>
      </c>
      <c r="I63" s="10">
        <f t="shared" si="6"/>
        <v>3.055555555555553E-2</v>
      </c>
      <c r="J63" s="11">
        <v>4</v>
      </c>
      <c r="K63" s="11">
        <v>101.72</v>
      </c>
      <c r="L63" s="16">
        <f t="shared" si="7"/>
        <v>34.677272727272758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/>
      <c r="AC63" s="11"/>
      <c r="AD63" s="11"/>
      <c r="AE63" s="11"/>
      <c r="AF63" s="11"/>
      <c r="AG63" s="11">
        <f>44/4</f>
        <v>11</v>
      </c>
      <c r="AH63" s="11">
        <f>44/4</f>
        <v>11</v>
      </c>
      <c r="AI63" s="11">
        <f>44/4</f>
        <v>11</v>
      </c>
      <c r="AJ63" s="11">
        <f>44/4</f>
        <v>11</v>
      </c>
      <c r="AK63" s="11"/>
      <c r="AL63" s="14"/>
    </row>
    <row r="64" spans="2:38" ht="25.05" customHeight="1">
      <c r="B64" s="13"/>
      <c r="C64" s="29"/>
      <c r="D64" s="30"/>
      <c r="E64" s="19" t="s">
        <v>1789</v>
      </c>
      <c r="F64" s="8" t="s">
        <v>42</v>
      </c>
      <c r="G64" s="9">
        <v>0.18402777777777779</v>
      </c>
      <c r="H64" s="9">
        <v>0.21111111111111111</v>
      </c>
      <c r="I64" s="10">
        <f t="shared" si="6"/>
        <v>2.708333333333332E-2</v>
      </c>
      <c r="J64" s="11">
        <v>4</v>
      </c>
      <c r="K64" s="11">
        <v>104.22</v>
      </c>
      <c r="L64" s="16">
        <f t="shared" si="7"/>
        <v>40.084615384615404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2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>
        <f>39/4</f>
        <v>9.75</v>
      </c>
      <c r="AH64" s="11">
        <f>39/4</f>
        <v>9.75</v>
      </c>
      <c r="AI64" s="11">
        <f>39/4</f>
        <v>9.75</v>
      </c>
      <c r="AJ64" s="11">
        <f>39/4</f>
        <v>9.75</v>
      </c>
      <c r="AK64" s="11"/>
      <c r="AL64" s="14"/>
    </row>
    <row r="65" spans="2:43" ht="25.05" customHeight="1">
      <c r="B65" s="13"/>
      <c r="C65" s="29"/>
      <c r="D65" s="30"/>
      <c r="E65" s="19" t="s">
        <v>1790</v>
      </c>
      <c r="F65" s="8" t="s">
        <v>42</v>
      </c>
      <c r="G65" s="9">
        <v>0.88888888888888884</v>
      </c>
      <c r="H65" s="9">
        <v>0.90694444444444444</v>
      </c>
      <c r="I65" s="10">
        <f t="shared" si="6"/>
        <v>1.8055555555555602E-2</v>
      </c>
      <c r="J65" s="11">
        <v>4</v>
      </c>
      <c r="K65" s="11">
        <v>101</v>
      </c>
      <c r="L65" s="16">
        <f t="shared" si="7"/>
        <v>58.269230769230624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>
        <v>26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  <c r="AM65" s="145" t="s">
        <v>1791</v>
      </c>
      <c r="AN65" s="145"/>
      <c r="AO65" s="145"/>
      <c r="AP65" s="145"/>
      <c r="AQ65" s="145"/>
    </row>
    <row r="66" spans="2:43" ht="25.05" customHeight="1">
      <c r="B66" s="13"/>
      <c r="C66" s="29"/>
      <c r="D66" s="30"/>
      <c r="E66" s="19" t="s">
        <v>1792</v>
      </c>
      <c r="F66" s="8" t="s">
        <v>42</v>
      </c>
      <c r="G66" s="9">
        <v>0.88888888888888884</v>
      </c>
      <c r="H66" s="9">
        <v>0.90763888888888888</v>
      </c>
      <c r="I66" s="10">
        <f t="shared" si="6"/>
        <v>1.8750000000000044E-2</v>
      </c>
      <c r="J66" s="11">
        <v>4</v>
      </c>
      <c r="K66" s="11">
        <v>101.1</v>
      </c>
      <c r="L66" s="16">
        <f t="shared" si="7"/>
        <v>56.166666666666536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2</v>
      </c>
      <c r="X66" s="11"/>
      <c r="Y66" s="11"/>
      <c r="Z66" s="11"/>
      <c r="AA66" s="11"/>
      <c r="AB66" s="11"/>
      <c r="AC66" s="11"/>
      <c r="AD66" s="11">
        <v>27</v>
      </c>
      <c r="AE66" s="11"/>
      <c r="AF66" s="11"/>
      <c r="AG66" s="11"/>
      <c r="AH66" s="11"/>
      <c r="AI66" s="11"/>
      <c r="AJ66" s="11"/>
      <c r="AK66" s="11"/>
      <c r="AL66" s="14"/>
      <c r="AM66" s="145" t="s">
        <v>1791</v>
      </c>
      <c r="AN66" s="145"/>
      <c r="AO66" s="145"/>
      <c r="AP66" s="145"/>
      <c r="AQ66" s="145"/>
    </row>
    <row r="67" spans="2:43" ht="25.05" customHeight="1">
      <c r="B67" s="13"/>
      <c r="C67" s="29"/>
      <c r="D67" s="30"/>
      <c r="E67" s="19" t="s">
        <v>1793</v>
      </c>
      <c r="F67" s="8" t="s">
        <v>42</v>
      </c>
      <c r="G67" s="9">
        <v>0.88888888888888884</v>
      </c>
      <c r="H67" s="9">
        <v>0.90694444444444444</v>
      </c>
      <c r="I67" s="10">
        <f t="shared" si="6"/>
        <v>1.8055555555555602E-2</v>
      </c>
      <c r="J67" s="11">
        <v>4</v>
      </c>
      <c r="K67" s="11">
        <v>100</v>
      </c>
      <c r="L67" s="16">
        <f t="shared" si="7"/>
        <v>57.692307692307544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>
        <v>26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43" ht="25.05" customHeight="1">
      <c r="B68" s="13"/>
      <c r="C68" s="29"/>
      <c r="D68" s="30"/>
      <c r="E68" s="19" t="s">
        <v>1794</v>
      </c>
      <c r="F68" s="8" t="s">
        <v>42</v>
      </c>
      <c r="G68" s="9">
        <v>0.91388888888888886</v>
      </c>
      <c r="H68" s="9">
        <v>0.93333333333333335</v>
      </c>
      <c r="I68" s="10">
        <f t="shared" si="6"/>
        <v>1.9444444444444486E-2</v>
      </c>
      <c r="J68" s="11">
        <v>4</v>
      </c>
      <c r="K68" s="11">
        <v>99.92</v>
      </c>
      <c r="L68" s="16">
        <f t="shared" si="7"/>
        <v>53.528571428571318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2</v>
      </c>
      <c r="X68" s="11"/>
      <c r="Y68" s="11"/>
      <c r="Z68" s="11"/>
      <c r="AA68" s="11"/>
      <c r="AB68" s="11"/>
      <c r="AC68" s="11"/>
      <c r="AD68" s="11">
        <v>28</v>
      </c>
      <c r="AE68" s="11"/>
      <c r="AF68" s="11"/>
      <c r="AG68" s="11"/>
      <c r="AH68" s="11"/>
      <c r="AI68" s="11"/>
      <c r="AJ68" s="11"/>
      <c r="AK68" s="11"/>
      <c r="AL68" s="14"/>
    </row>
    <row r="69" spans="2:43" ht="25.05" customHeight="1">
      <c r="B69" s="13"/>
      <c r="C69" s="29"/>
      <c r="D69" s="30"/>
      <c r="E69" s="19" t="s">
        <v>1795</v>
      </c>
      <c r="F69" s="8" t="s">
        <v>42</v>
      </c>
      <c r="G69" s="9">
        <v>0.94444444444444442</v>
      </c>
      <c r="H69" s="9">
        <v>0.96180555555555558</v>
      </c>
      <c r="I69" s="10">
        <f t="shared" si="6"/>
        <v>1.736111111111116E-2</v>
      </c>
      <c r="J69" s="11">
        <v>4</v>
      </c>
      <c r="K69" s="11">
        <v>101.22</v>
      </c>
      <c r="L69" s="16">
        <f t="shared" si="7"/>
        <v>60.731999999999829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>
        <v>25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43" ht="25.05" customHeight="1">
      <c r="B70" s="13"/>
      <c r="C70" s="29"/>
      <c r="D70" s="30"/>
      <c r="E70" s="19" t="s">
        <v>1796</v>
      </c>
      <c r="F70" s="8" t="s">
        <v>42</v>
      </c>
      <c r="G70" s="9">
        <v>0.94513888888888886</v>
      </c>
      <c r="H70" s="9">
        <v>0.96319444444444446</v>
      </c>
      <c r="I70" s="10">
        <f t="shared" si="6"/>
        <v>1.8055555555555602E-2</v>
      </c>
      <c r="J70" s="11">
        <v>4</v>
      </c>
      <c r="K70" s="11">
        <v>101.22</v>
      </c>
      <c r="L70" s="16">
        <f t="shared" si="7"/>
        <v>58.396153846153688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2</v>
      </c>
      <c r="X70" s="11"/>
      <c r="Y70" s="11"/>
      <c r="Z70" s="11"/>
      <c r="AA70" s="11"/>
      <c r="AB70" s="11"/>
      <c r="AC70" s="11"/>
      <c r="AD70" s="11">
        <v>26</v>
      </c>
      <c r="AE70" s="11"/>
      <c r="AF70" s="11"/>
      <c r="AG70" s="11"/>
      <c r="AH70" s="11"/>
      <c r="AI70" s="11"/>
      <c r="AJ70" s="11"/>
      <c r="AK70" s="11"/>
      <c r="AL70" s="14"/>
    </row>
    <row r="71" spans="2:43" ht="25.05" customHeight="1">
      <c r="B71" s="13"/>
      <c r="C71" s="29"/>
      <c r="D71" s="30"/>
      <c r="E71" s="19" t="s">
        <v>1797</v>
      </c>
      <c r="F71" s="8" t="s">
        <v>42</v>
      </c>
      <c r="G71" s="9">
        <v>0.94791666666666663</v>
      </c>
      <c r="H71" s="9">
        <v>0.96527777777777779</v>
      </c>
      <c r="I71" s="10">
        <f t="shared" si="6"/>
        <v>1.736111111111116E-2</v>
      </c>
      <c r="J71" s="11">
        <v>4</v>
      </c>
      <c r="K71" s="11">
        <v>104.37</v>
      </c>
      <c r="L71" s="16">
        <f t="shared" si="7"/>
        <v>62.621999999999822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/>
      <c r="AB71" s="11">
        <v>25</v>
      </c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43" ht="25.05" customHeight="1">
      <c r="B72" s="13"/>
      <c r="C72" s="29"/>
      <c r="D72" s="30"/>
      <c r="E72" s="19" t="s">
        <v>1798</v>
      </c>
      <c r="F72" s="8" t="s">
        <v>42</v>
      </c>
      <c r="G72" s="9">
        <v>0.97222222222222221</v>
      </c>
      <c r="H72" s="9">
        <v>0.98819444444444449</v>
      </c>
      <c r="I72" s="10">
        <f t="shared" si="6"/>
        <v>1.5972222222222276E-2</v>
      </c>
      <c r="J72" s="11">
        <v>4</v>
      </c>
      <c r="K72" s="11">
        <v>104.37</v>
      </c>
      <c r="L72" s="16">
        <f t="shared" si="7"/>
        <v>68.067391304347595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/>
      <c r="Z72" s="11"/>
      <c r="AA72" s="11"/>
      <c r="AB72" s="11"/>
      <c r="AC72" s="11"/>
      <c r="AD72" s="11">
        <v>23</v>
      </c>
      <c r="AE72" s="11"/>
      <c r="AF72" s="11"/>
      <c r="AG72" s="11"/>
      <c r="AH72" s="11"/>
      <c r="AI72" s="11"/>
      <c r="AJ72" s="11"/>
      <c r="AK72" s="11"/>
      <c r="AL72" s="14"/>
    </row>
    <row r="73" spans="2:43" ht="25.05" customHeight="1">
      <c r="B73" s="13"/>
      <c r="C73" s="29"/>
      <c r="D73" s="30"/>
      <c r="E73" s="19" t="s">
        <v>1799</v>
      </c>
      <c r="F73" s="8" t="s">
        <v>42</v>
      </c>
      <c r="G73" s="9">
        <v>0.86111111111111116</v>
      </c>
      <c r="H73" s="9">
        <v>0.86736111111111114</v>
      </c>
      <c r="I73" s="10">
        <f t="shared" si="6"/>
        <v>6.2499999999999778E-3</v>
      </c>
      <c r="J73" s="11">
        <v>4</v>
      </c>
      <c r="K73" s="11">
        <v>65.36</v>
      </c>
      <c r="L73" s="16">
        <f t="shared" si="7"/>
        <v>108.93333333333372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2</v>
      </c>
      <c r="W73" s="12"/>
      <c r="X73" s="11"/>
      <c r="Y73" s="11"/>
      <c r="Z73" s="11"/>
      <c r="AA73" s="11"/>
      <c r="AB73" s="11">
        <v>9</v>
      </c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43" ht="25.05" customHeight="1">
      <c r="B74" s="13"/>
      <c r="C74" s="29"/>
      <c r="D74" s="30"/>
      <c r="E74" s="19" t="s">
        <v>1800</v>
      </c>
      <c r="F74" s="14"/>
      <c r="G74" s="9">
        <v>8.1250000000000003E-2</v>
      </c>
      <c r="H74" s="9">
        <v>0.1125</v>
      </c>
      <c r="I74" s="10">
        <f>H74-G74</f>
        <v>3.125E-2</v>
      </c>
      <c r="J74" s="11">
        <v>4</v>
      </c>
      <c r="K74" s="11">
        <f>4.27*20</f>
        <v>85.399999999999991</v>
      </c>
      <c r="L74" s="16">
        <f>IFERROR(((K74/(J74*I74)/24)),"0")</f>
        <v>28.466666666666665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>
        <v>45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43" ht="25.05" customHeight="1">
      <c r="B75" s="13"/>
      <c r="C75" s="29"/>
      <c r="D75" s="30"/>
      <c r="E75" s="19" t="s">
        <v>1801</v>
      </c>
      <c r="F75" s="8" t="s">
        <v>42</v>
      </c>
      <c r="G75" s="9">
        <v>8.6805555555555552E-2</v>
      </c>
      <c r="H75" s="9">
        <v>0.11805555555555555</v>
      </c>
      <c r="I75" s="10">
        <f t="shared" ref="I75:I87" si="8">H75-G75</f>
        <v>3.125E-2</v>
      </c>
      <c r="J75" s="11">
        <v>4</v>
      </c>
      <c r="K75" s="11">
        <f>4.27*10</f>
        <v>42.699999999999996</v>
      </c>
      <c r="L75" s="16">
        <f t="shared" ref="L75:L87" si="9">IFERROR(((K75/(J75*I75)/24)),"0")</f>
        <v>14.233333333333333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2</v>
      </c>
      <c r="W75" s="12"/>
      <c r="X75" s="11"/>
      <c r="Y75" s="11"/>
      <c r="Z75" s="11">
        <v>45</v>
      </c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43" ht="25.05" customHeight="1">
      <c r="B76" s="13"/>
      <c r="C76" s="29"/>
      <c r="D76" s="30"/>
      <c r="E76" s="19" t="s">
        <v>1802</v>
      </c>
      <c r="F76" s="8" t="s">
        <v>42</v>
      </c>
      <c r="G76" s="9">
        <v>8.6805555555555552E-2</v>
      </c>
      <c r="H76" s="9">
        <v>0.11805555555555555</v>
      </c>
      <c r="I76" s="10">
        <f t="shared" si="8"/>
        <v>3.125E-2</v>
      </c>
      <c r="J76" s="11">
        <v>4</v>
      </c>
      <c r="K76" s="11">
        <f>4.27*20</f>
        <v>85.399999999999991</v>
      </c>
      <c r="L76" s="16">
        <f t="shared" si="9"/>
        <v>28.466666666666665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2</v>
      </c>
      <c r="W76" s="12"/>
      <c r="X76" s="11"/>
      <c r="Y76" s="11"/>
      <c r="Z76" s="11">
        <v>45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43" ht="25.05" customHeight="1">
      <c r="B77" s="13"/>
      <c r="C77" s="29"/>
      <c r="D77" s="30"/>
      <c r="E77" s="19" t="s">
        <v>1803</v>
      </c>
      <c r="F77" s="8" t="s">
        <v>42</v>
      </c>
      <c r="G77" s="9">
        <v>9.166666666666666E-2</v>
      </c>
      <c r="H77" s="9">
        <v>0.12291666666666666</v>
      </c>
      <c r="I77" s="10">
        <f t="shared" si="8"/>
        <v>3.125E-2</v>
      </c>
      <c r="J77" s="11">
        <v>4</v>
      </c>
      <c r="K77" s="11">
        <f>4.27*10</f>
        <v>42.699999999999996</v>
      </c>
      <c r="L77" s="16">
        <f t="shared" si="9"/>
        <v>14.233333333333333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2</v>
      </c>
      <c r="W77" s="12"/>
      <c r="X77" s="11"/>
      <c r="Y77" s="11">
        <v>45</v>
      </c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43" ht="25.05" customHeight="1">
      <c r="B78" s="13"/>
      <c r="C78" s="29"/>
      <c r="D78" s="30"/>
      <c r="E78" s="19" t="s">
        <v>1804</v>
      </c>
      <c r="F78" s="8" t="s">
        <v>42</v>
      </c>
      <c r="G78" s="9">
        <v>0.1</v>
      </c>
      <c r="H78" s="9">
        <v>0.13125000000000001</v>
      </c>
      <c r="I78" s="10">
        <f t="shared" si="8"/>
        <v>3.125E-2</v>
      </c>
      <c r="J78" s="11">
        <v>4</v>
      </c>
      <c r="K78" s="11">
        <f>4.27*20</f>
        <v>85.399999999999991</v>
      </c>
      <c r="L78" s="16">
        <f t="shared" si="9"/>
        <v>28.466666666666665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/>
      <c r="Z78" s="11"/>
      <c r="AA78" s="11">
        <v>45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43" ht="25.05" customHeight="1">
      <c r="B79" s="13"/>
      <c r="C79" s="29"/>
      <c r="D79" s="30"/>
      <c r="E79" s="19" t="s">
        <v>1805</v>
      </c>
      <c r="F79" s="8" t="s">
        <v>42</v>
      </c>
      <c r="G79" s="9">
        <v>0.12013888888888889</v>
      </c>
      <c r="H79" s="9">
        <v>0.15138888888888888</v>
      </c>
      <c r="I79" s="10">
        <f t="shared" si="8"/>
        <v>3.1249999999999986E-2</v>
      </c>
      <c r="J79" s="11">
        <v>4</v>
      </c>
      <c r="K79" s="11">
        <f>4.27*10</f>
        <v>42.699999999999996</v>
      </c>
      <c r="L79" s="16">
        <f t="shared" si="9"/>
        <v>14.23333333333334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2</v>
      </c>
      <c r="W79" s="12"/>
      <c r="X79" s="11">
        <v>45</v>
      </c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43" ht="25.05" customHeight="1">
      <c r="B80" s="13"/>
      <c r="C80" s="29"/>
      <c r="D80" s="30"/>
      <c r="E80" s="19" t="s">
        <v>1806</v>
      </c>
      <c r="F80" s="8" t="s">
        <v>42</v>
      </c>
      <c r="G80" s="9">
        <v>0.12013888888888889</v>
      </c>
      <c r="H80" s="9">
        <v>0.15138888888888888</v>
      </c>
      <c r="I80" s="10">
        <f t="shared" si="8"/>
        <v>3.1249999999999986E-2</v>
      </c>
      <c r="J80" s="11">
        <v>4</v>
      </c>
      <c r="K80" s="11">
        <f>4.27*20</f>
        <v>85.399999999999991</v>
      </c>
      <c r="L80" s="16">
        <f t="shared" si="9"/>
        <v>28.466666666666679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>
        <v>45</v>
      </c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1:38" ht="25.05" customHeight="1">
      <c r="B81" s="13"/>
      <c r="C81" s="29"/>
      <c r="D81" s="30"/>
      <c r="E81" s="19" t="s">
        <v>1807</v>
      </c>
      <c r="F81" s="8" t="s">
        <v>42</v>
      </c>
      <c r="G81" s="9">
        <v>0.12638888888888888</v>
      </c>
      <c r="H81" s="9">
        <v>0.15763888888888888</v>
      </c>
      <c r="I81" s="10">
        <f t="shared" si="8"/>
        <v>3.125E-2</v>
      </c>
      <c r="J81" s="11">
        <v>4</v>
      </c>
      <c r="K81" s="11">
        <f>4.27*10</f>
        <v>42.699999999999996</v>
      </c>
      <c r="L81" s="16">
        <f t="shared" si="9"/>
        <v>14.233333333333333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>
        <v>45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1:38" ht="25.05" customHeight="1">
      <c r="B82" s="13"/>
      <c r="C82" s="29"/>
      <c r="D82" s="30"/>
      <c r="E82" s="19" t="s">
        <v>1808</v>
      </c>
      <c r="F82" s="8" t="s">
        <v>42</v>
      </c>
      <c r="G82" s="9">
        <v>0.13194444444444445</v>
      </c>
      <c r="H82" s="9">
        <v>0.16319444444444445</v>
      </c>
      <c r="I82" s="10">
        <f t="shared" si="8"/>
        <v>3.125E-2</v>
      </c>
      <c r="J82" s="11">
        <v>4</v>
      </c>
      <c r="K82" s="11">
        <f>4.27*20</f>
        <v>85.399999999999991</v>
      </c>
      <c r="L82" s="16">
        <f t="shared" si="9"/>
        <v>28.466666666666665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2</v>
      </c>
      <c r="X82" s="11"/>
      <c r="Y82" s="11">
        <v>45</v>
      </c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1:38" ht="25.05" customHeight="1">
      <c r="B83" s="13"/>
      <c r="C83" s="29"/>
      <c r="D83" s="30"/>
      <c r="E83" s="19" t="s">
        <v>1809</v>
      </c>
      <c r="F83" s="8" t="s">
        <v>42</v>
      </c>
      <c r="G83" s="9">
        <v>0.13750000000000001</v>
      </c>
      <c r="H83" s="9">
        <v>0.16875000000000001</v>
      </c>
      <c r="I83" s="10">
        <f t="shared" si="8"/>
        <v>3.125E-2</v>
      </c>
      <c r="J83" s="11">
        <v>4</v>
      </c>
      <c r="K83" s="11">
        <f>4.27*10</f>
        <v>42.699999999999996</v>
      </c>
      <c r="L83" s="16">
        <f t="shared" si="9"/>
        <v>14.233333333333333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>
        <v>45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1:38" ht="25.05" customHeight="1">
      <c r="B84" s="13"/>
      <c r="C84" s="29"/>
      <c r="D84" s="30"/>
      <c r="E84" s="19"/>
      <c r="F84" s="8" t="s">
        <v>42</v>
      </c>
      <c r="G84" s="9"/>
      <c r="H84" s="9"/>
      <c r="I84" s="10"/>
      <c r="J84" s="11"/>
      <c r="K84" s="11"/>
      <c r="L84" s="16"/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1:38" ht="25.05" customHeight="1">
      <c r="B85" s="13"/>
      <c r="C85" s="29"/>
      <c r="D85" s="30" t="s">
        <v>1810</v>
      </c>
      <c r="E85" s="19" t="s">
        <v>1648</v>
      </c>
      <c r="F85" s="8" t="s">
        <v>42</v>
      </c>
      <c r="G85" s="9">
        <v>0.97638888888888886</v>
      </c>
      <c r="H85" s="9">
        <v>0.97847222222222219</v>
      </c>
      <c r="I85" s="10">
        <f t="shared" si="8"/>
        <v>2.0833333333333259E-3</v>
      </c>
      <c r="J85" s="11">
        <v>4</v>
      </c>
      <c r="K85" s="11">
        <v>45</v>
      </c>
      <c r="L85" s="16">
        <f t="shared" si="9"/>
        <v>225.0000000000008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2</v>
      </c>
      <c r="W85" s="12"/>
      <c r="X85" s="11"/>
      <c r="Y85" s="11"/>
      <c r="Z85" s="11">
        <v>3</v>
      </c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1:38" ht="25.05" customHeight="1">
      <c r="B86" s="13"/>
      <c r="C86" s="29"/>
      <c r="D86" s="30"/>
      <c r="E86" s="19" t="s">
        <v>1649</v>
      </c>
      <c r="F86" s="8" t="s">
        <v>42</v>
      </c>
      <c r="G86" s="9">
        <v>0.9819444444444444</v>
      </c>
      <c r="H86" s="9">
        <v>0.98402777777777772</v>
      </c>
      <c r="I86" s="10">
        <f t="shared" si="8"/>
        <v>2.0833333333333259E-3</v>
      </c>
      <c r="J86" s="11">
        <v>4</v>
      </c>
      <c r="K86" s="11">
        <v>45</v>
      </c>
      <c r="L86" s="16">
        <f t="shared" si="9"/>
        <v>225.0000000000008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/>
      <c r="Z86" s="11">
        <v>3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1:38" ht="25.05" customHeight="1">
      <c r="B87" s="13"/>
      <c r="C87" s="29"/>
      <c r="D87" s="30"/>
      <c r="E87" s="19" t="s">
        <v>1650</v>
      </c>
      <c r="F87" s="8" t="s">
        <v>42</v>
      </c>
      <c r="G87" s="9">
        <v>0.98958333333333337</v>
      </c>
      <c r="H87" s="9">
        <v>0.9916666666666667</v>
      </c>
      <c r="I87" s="10">
        <f t="shared" si="8"/>
        <v>2.0833333333333259E-3</v>
      </c>
      <c r="J87" s="11">
        <v>4</v>
      </c>
      <c r="K87" s="11">
        <v>45</v>
      </c>
      <c r="L87" s="16">
        <f t="shared" si="9"/>
        <v>225.0000000000008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2</v>
      </c>
      <c r="W87" s="12"/>
      <c r="X87" s="11"/>
      <c r="Y87" s="11"/>
      <c r="Z87" s="11">
        <v>3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1:38" ht="25.05" customHeight="1">
      <c r="B88" s="13"/>
      <c r="C88" s="29"/>
      <c r="D88" s="30"/>
      <c r="E88" s="19" t="s">
        <v>1651</v>
      </c>
      <c r="F88" s="8" t="s">
        <v>42</v>
      </c>
      <c r="G88" s="9">
        <v>0.99305555555555558</v>
      </c>
      <c r="H88" s="9">
        <v>0.99513888888888891</v>
      </c>
      <c r="I88" s="10">
        <f>H88-G88</f>
        <v>2.0833333333333259E-3</v>
      </c>
      <c r="J88" s="11">
        <v>4</v>
      </c>
      <c r="K88" s="11">
        <v>45</v>
      </c>
      <c r="L88" s="16">
        <f>IFERROR(((K88/(J88*I88)/24)),"0")</f>
        <v>225.0000000000008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>
        <v>3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1:38" ht="25.05" customHeight="1">
      <c r="B89" s="13"/>
      <c r="C89" s="29"/>
      <c r="D89" s="30"/>
      <c r="E89" s="19" t="s">
        <v>1661</v>
      </c>
      <c r="F89" s="8" t="s">
        <v>42</v>
      </c>
      <c r="G89" s="9">
        <v>7.6388888888888895E-2</v>
      </c>
      <c r="H89" s="9">
        <v>8.3333333333333329E-2</v>
      </c>
      <c r="I89" s="10">
        <f t="shared" ref="I89:I92" si="10">H89-G89</f>
        <v>6.9444444444444337E-3</v>
      </c>
      <c r="J89" s="11">
        <v>4</v>
      </c>
      <c r="K89" s="11">
        <v>123.82</v>
      </c>
      <c r="L89" s="16">
        <f t="shared" ref="L89:L92" si="11">IFERROR(((K89/(J89*I89)/24)),"0")</f>
        <v>185.73000000000027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2</v>
      </c>
      <c r="W89" s="12"/>
      <c r="X89" s="11"/>
      <c r="Y89" s="11"/>
      <c r="Z89" s="11"/>
      <c r="AA89" s="11"/>
      <c r="AB89" s="11"/>
      <c r="AC89" s="11"/>
      <c r="AD89" s="11">
        <v>10</v>
      </c>
      <c r="AE89" s="11"/>
      <c r="AF89" s="11"/>
      <c r="AG89" s="11"/>
      <c r="AH89" s="11"/>
      <c r="AI89" s="11"/>
      <c r="AJ89" s="11"/>
      <c r="AK89" s="11"/>
      <c r="AL89" s="14"/>
    </row>
    <row r="90" spans="1:38" ht="25.05" customHeight="1">
      <c r="B90" s="13"/>
      <c r="C90" s="29"/>
      <c r="D90" s="30"/>
      <c r="E90" s="19" t="s">
        <v>1662</v>
      </c>
      <c r="F90" s="8" t="s">
        <v>42</v>
      </c>
      <c r="G90" s="9">
        <v>9.375E-2</v>
      </c>
      <c r="H90" s="9">
        <v>0.10208333333333333</v>
      </c>
      <c r="I90" s="10">
        <f t="shared" si="10"/>
        <v>8.3333333333333315E-3</v>
      </c>
      <c r="J90" s="11">
        <v>4</v>
      </c>
      <c r="K90" s="11">
        <v>123.82</v>
      </c>
      <c r="L90" s="16">
        <f t="shared" si="11"/>
        <v>154.77500000000003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/>
      <c r="AA90" s="11"/>
      <c r="AB90" s="11"/>
      <c r="AC90" s="11"/>
      <c r="AD90" s="11">
        <v>12</v>
      </c>
      <c r="AE90" s="11"/>
      <c r="AF90" s="11"/>
      <c r="AG90" s="11"/>
      <c r="AH90" s="11"/>
      <c r="AI90" s="11"/>
      <c r="AJ90" s="11"/>
      <c r="AK90" s="11"/>
      <c r="AL90" s="14"/>
    </row>
    <row r="91" spans="1:38" ht="25.05" customHeight="1">
      <c r="B91" s="13"/>
      <c r="C91" s="29"/>
      <c r="D91" s="30"/>
      <c r="E91" s="19"/>
      <c r="F91" s="8"/>
      <c r="G91" s="9"/>
      <c r="H91" s="9"/>
      <c r="I91" s="10"/>
      <c r="J91" s="11"/>
      <c r="K91" s="11"/>
      <c r="L91" s="16"/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1:38" ht="25.05" customHeight="1">
      <c r="B92" s="13"/>
      <c r="C92" s="29"/>
      <c r="D92" s="30" t="s">
        <v>1432</v>
      </c>
      <c r="E92" s="19" t="s">
        <v>1811</v>
      </c>
      <c r="F92" s="8" t="s">
        <v>42</v>
      </c>
      <c r="G92" s="9">
        <v>9.0277777777777776E-2</v>
      </c>
      <c r="H92" s="9">
        <v>9.930555555555555E-2</v>
      </c>
      <c r="I92" s="10">
        <f t="shared" si="10"/>
        <v>9.0277777777777735E-3</v>
      </c>
      <c r="J92" s="11">
        <v>4</v>
      </c>
      <c r="K92" s="11">
        <v>63.68</v>
      </c>
      <c r="L92" s="16">
        <f t="shared" si="11"/>
        <v>73.476923076923114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/>
      <c r="X92" s="11"/>
      <c r="Y92" s="11"/>
      <c r="Z92" s="11"/>
      <c r="AA92" s="11"/>
      <c r="AB92" s="11"/>
      <c r="AC92" s="11">
        <v>13</v>
      </c>
      <c r="AD92" s="11"/>
      <c r="AE92" s="11"/>
      <c r="AF92" s="11"/>
      <c r="AG92" s="11"/>
      <c r="AH92" s="11"/>
      <c r="AI92" s="11"/>
      <c r="AJ92" s="11"/>
      <c r="AK92" s="11"/>
      <c r="AL92" s="14"/>
    </row>
    <row r="93" spans="1:38" s="28" customFormat="1" ht="25.5" customHeight="1" thickBot="1">
      <c r="A93" s="2"/>
      <c r="B93" s="32"/>
      <c r="C93" s="33"/>
      <c r="D93" s="34"/>
      <c r="E93" s="35"/>
      <c r="F93" s="35"/>
      <c r="G93" s="36"/>
      <c r="H93" s="36"/>
      <c r="I93" s="37"/>
      <c r="J93" s="38"/>
      <c r="K93" s="38">
        <f t="shared" ref="K93:AL93" si="12">SUM(K35:K92)</f>
        <v>4608.3399999999983</v>
      </c>
      <c r="L93" s="39">
        <f t="shared" si="12"/>
        <v>3386.7528831291606</v>
      </c>
      <c r="M93" s="38">
        <f t="shared" si="12"/>
        <v>0</v>
      </c>
      <c r="N93" s="38">
        <f t="shared" si="12"/>
        <v>0</v>
      </c>
      <c r="O93" s="38">
        <f t="shared" si="12"/>
        <v>0</v>
      </c>
      <c r="P93" s="38">
        <f t="shared" si="12"/>
        <v>0</v>
      </c>
      <c r="Q93" s="38">
        <f t="shared" si="12"/>
        <v>0</v>
      </c>
      <c r="R93" s="38">
        <f t="shared" si="12"/>
        <v>0</v>
      </c>
      <c r="S93" s="38">
        <f t="shared" si="12"/>
        <v>0</v>
      </c>
      <c r="T93" s="38">
        <f t="shared" si="12"/>
        <v>0</v>
      </c>
      <c r="U93" s="38">
        <f t="shared" si="12"/>
        <v>0</v>
      </c>
      <c r="V93" s="38">
        <f t="shared" si="12"/>
        <v>66</v>
      </c>
      <c r="W93" s="38">
        <f t="shared" si="12"/>
        <v>46</v>
      </c>
      <c r="X93" s="38">
        <f t="shared" si="12"/>
        <v>178.5</v>
      </c>
      <c r="Y93" s="38">
        <f t="shared" si="12"/>
        <v>162.5</v>
      </c>
      <c r="Z93" s="38">
        <f t="shared" si="12"/>
        <v>190.5</v>
      </c>
      <c r="AA93" s="38">
        <f t="shared" si="12"/>
        <v>125.5</v>
      </c>
      <c r="AB93" s="38">
        <f t="shared" si="12"/>
        <v>245</v>
      </c>
      <c r="AC93" s="38">
        <f t="shared" si="12"/>
        <v>144</v>
      </c>
      <c r="AD93" s="38">
        <f t="shared" si="12"/>
        <v>253</v>
      </c>
      <c r="AE93" s="38">
        <f t="shared" si="12"/>
        <v>0</v>
      </c>
      <c r="AF93" s="38">
        <f t="shared" si="12"/>
        <v>0</v>
      </c>
      <c r="AG93" s="38">
        <f t="shared" si="12"/>
        <v>100.5</v>
      </c>
      <c r="AH93" s="38">
        <f t="shared" si="12"/>
        <v>100.5</v>
      </c>
      <c r="AI93" s="38">
        <f t="shared" si="12"/>
        <v>100.5</v>
      </c>
      <c r="AJ93" s="38">
        <f t="shared" si="12"/>
        <v>100.5</v>
      </c>
      <c r="AK93" s="38">
        <f t="shared" si="12"/>
        <v>0</v>
      </c>
      <c r="AL93" s="38">
        <f t="shared" si="12"/>
        <v>0</v>
      </c>
    </row>
    <row r="94" spans="1:38" ht="38.1" customHeight="1" thickBot="1">
      <c r="B94" s="40" t="s">
        <v>45</v>
      </c>
      <c r="C94" s="41"/>
      <c r="D94" s="41"/>
      <c r="E94" s="41"/>
      <c r="F94" s="41"/>
      <c r="G94" s="41"/>
      <c r="H94" s="41"/>
      <c r="I94" s="41"/>
      <c r="J94" s="41"/>
      <c r="K94" s="42">
        <f>K31+K34+K93</f>
        <v>5527.4199999999983</v>
      </c>
      <c r="L94" s="42">
        <f>L31+L34+L93</f>
        <v>4989.2811878910607</v>
      </c>
      <c r="M94" s="43">
        <f t="shared" ref="M94:AL94" si="13">(M31+M34+M93)/(480-15-30)</f>
        <v>0.26666666666666666</v>
      </c>
      <c r="N94" s="43">
        <f t="shared" si="13"/>
        <v>0</v>
      </c>
      <c r="O94" s="43">
        <f t="shared" si="13"/>
        <v>0</v>
      </c>
      <c r="P94" s="43">
        <f t="shared" si="13"/>
        <v>0</v>
      </c>
      <c r="Q94" s="43">
        <f t="shared" si="13"/>
        <v>6.8965517241379309E-2</v>
      </c>
      <c r="R94" s="43">
        <f t="shared" si="13"/>
        <v>6.8965517241379309E-2</v>
      </c>
      <c r="S94" s="43">
        <f t="shared" si="13"/>
        <v>0.7816091954022989</v>
      </c>
      <c r="T94" s="43">
        <f t="shared" si="13"/>
        <v>0</v>
      </c>
      <c r="U94" s="43">
        <f t="shared" si="13"/>
        <v>0</v>
      </c>
      <c r="V94" s="43">
        <f t="shared" si="13"/>
        <v>0.15172413793103448</v>
      </c>
      <c r="W94" s="43">
        <f t="shared" si="13"/>
        <v>0.10574712643678161</v>
      </c>
      <c r="X94" s="43">
        <f t="shared" si="13"/>
        <v>0.41034482758620688</v>
      </c>
      <c r="Y94" s="43">
        <f t="shared" si="13"/>
        <v>0.37356321839080459</v>
      </c>
      <c r="Z94" s="43">
        <f t="shared" si="13"/>
        <v>0.43793103448275861</v>
      </c>
      <c r="AA94" s="43">
        <f t="shared" si="13"/>
        <v>0.28850574712643678</v>
      </c>
      <c r="AB94" s="43">
        <f t="shared" si="13"/>
        <v>0.56321839080459768</v>
      </c>
      <c r="AC94" s="43">
        <f t="shared" si="13"/>
        <v>0.33103448275862069</v>
      </c>
      <c r="AD94" s="43">
        <f t="shared" si="13"/>
        <v>0.58160919540229883</v>
      </c>
      <c r="AE94" s="43">
        <f t="shared" si="13"/>
        <v>0</v>
      </c>
      <c r="AF94" s="43">
        <f t="shared" si="13"/>
        <v>0</v>
      </c>
      <c r="AG94" s="43">
        <f t="shared" si="13"/>
        <v>0.23103448275862068</v>
      </c>
      <c r="AH94" s="43">
        <f t="shared" si="13"/>
        <v>0.23103448275862068</v>
      </c>
      <c r="AI94" s="43">
        <f t="shared" si="13"/>
        <v>0.23103448275862068</v>
      </c>
      <c r="AJ94" s="43">
        <f t="shared" si="13"/>
        <v>0.23103448275862068</v>
      </c>
      <c r="AK94" s="43">
        <f t="shared" si="13"/>
        <v>0</v>
      </c>
      <c r="AL94" s="43">
        <f t="shared" si="13"/>
        <v>0</v>
      </c>
    </row>
    <row r="95" spans="1:38" ht="25.05" customHeight="1">
      <c r="B95" s="44"/>
      <c r="C95" s="44"/>
      <c r="D95" s="44"/>
      <c r="E95" s="45"/>
      <c r="F95" s="45"/>
      <c r="G95" s="45"/>
      <c r="H95" s="45"/>
      <c r="I95" s="46"/>
      <c r="J95" s="46"/>
      <c r="K95" s="45"/>
      <c r="L95" s="47"/>
      <c r="M95" s="47"/>
      <c r="N95" s="47"/>
      <c r="O95" s="47"/>
      <c r="P95" s="47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</row>
    <row r="96" spans="1:38" ht="25.05" customHeight="1">
      <c r="B96" s="44"/>
      <c r="C96" s="44"/>
      <c r="D96" s="44"/>
      <c r="E96" s="45"/>
      <c r="F96" s="45"/>
      <c r="G96" s="45"/>
      <c r="H96" s="45"/>
      <c r="I96" s="48" t="s">
        <v>46</v>
      </c>
      <c r="J96" s="46"/>
      <c r="K96" s="45"/>
      <c r="L96" s="47"/>
      <c r="M96" s="47"/>
      <c r="N96" s="47"/>
      <c r="O96" s="47"/>
      <c r="P96" s="47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</row>
    <row r="97" spans="2:34" ht="25.05" customHeight="1">
      <c r="B97" s="44"/>
      <c r="C97" s="44"/>
      <c r="D97" s="44"/>
      <c r="E97" s="45"/>
      <c r="F97" s="45"/>
      <c r="G97" s="45"/>
      <c r="H97" s="45"/>
      <c r="I97" s="49" t="s">
        <v>47</v>
      </c>
      <c r="J97" s="9">
        <v>0</v>
      </c>
      <c r="K97" s="11">
        <v>8</v>
      </c>
      <c r="L97" s="11" t="s">
        <v>48</v>
      </c>
      <c r="M97" s="47"/>
      <c r="N97" s="14">
        <v>2</v>
      </c>
      <c r="O97" s="14"/>
      <c r="P97" s="14"/>
      <c r="Q97" s="50" t="s">
        <v>49</v>
      </c>
      <c r="R97" s="51"/>
      <c r="S97" s="45"/>
      <c r="T97" s="45"/>
      <c r="U97" s="45"/>
      <c r="V97" s="45"/>
      <c r="W97" s="45"/>
      <c r="X97" s="45"/>
      <c r="Y97" s="45"/>
      <c r="Z97" s="45"/>
      <c r="AA97" s="45"/>
      <c r="AC97" s="45"/>
      <c r="AD97" s="45"/>
      <c r="AE97" s="45"/>
      <c r="AF97" s="45"/>
      <c r="AG97" s="45"/>
      <c r="AH97" s="45"/>
    </row>
    <row r="98" spans="2:34" ht="25.05" customHeight="1">
      <c r="B98" s="44"/>
      <c r="C98" s="44"/>
      <c r="D98" s="44"/>
      <c r="E98" s="45"/>
      <c r="F98" s="45"/>
      <c r="G98" s="45"/>
      <c r="H98" s="45"/>
      <c r="I98" s="49" t="s">
        <v>50</v>
      </c>
      <c r="J98" s="9">
        <v>0</v>
      </c>
      <c r="K98" s="11">
        <v>0</v>
      </c>
      <c r="L98" s="11" t="s">
        <v>48</v>
      </c>
      <c r="M98" s="47"/>
      <c r="N98" s="14">
        <v>0</v>
      </c>
      <c r="O98" s="14"/>
      <c r="P98" s="14"/>
      <c r="Q98" s="50" t="s">
        <v>51</v>
      </c>
      <c r="R98" s="51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</row>
    <row r="99" spans="2:34" ht="25.05" customHeight="1">
      <c r="B99" s="44"/>
      <c r="C99" s="44"/>
      <c r="D99" s="44"/>
      <c r="E99" s="45"/>
      <c r="F99" s="45"/>
      <c r="G99" s="45"/>
      <c r="H99" s="45"/>
      <c r="I99" s="49" t="s">
        <v>52</v>
      </c>
      <c r="J99" s="9">
        <v>0</v>
      </c>
      <c r="K99" s="11">
        <v>15</v>
      </c>
      <c r="L99" s="11" t="s">
        <v>48</v>
      </c>
      <c r="M99" s="47"/>
      <c r="N99" s="14">
        <v>1</v>
      </c>
      <c r="O99" s="14"/>
      <c r="P99" s="14"/>
      <c r="Q99" s="50" t="s">
        <v>53</v>
      </c>
      <c r="R99" s="51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</row>
    <row r="100" spans="2:34" ht="25.05" customHeight="1">
      <c r="B100" s="44"/>
      <c r="C100" s="44"/>
      <c r="D100" s="44"/>
      <c r="E100" s="45"/>
      <c r="F100" s="45"/>
      <c r="G100" s="45"/>
      <c r="H100" s="45"/>
      <c r="I100" s="52" t="s">
        <v>54</v>
      </c>
      <c r="J100" s="53">
        <v>0</v>
      </c>
      <c r="K100" s="11">
        <v>1</v>
      </c>
      <c r="L100" s="54" t="s">
        <v>48</v>
      </c>
      <c r="M100" s="47"/>
      <c r="N100" s="14">
        <v>2</v>
      </c>
      <c r="O100" s="14"/>
      <c r="P100" s="14"/>
      <c r="Q100" s="50" t="s">
        <v>55</v>
      </c>
      <c r="R100" s="51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</row>
    <row r="101" spans="2:34" ht="25.05" customHeight="1">
      <c r="B101" s="44"/>
      <c r="C101" s="44"/>
      <c r="D101" s="44"/>
      <c r="E101" s="45"/>
      <c r="F101" s="45"/>
      <c r="G101" s="45"/>
      <c r="H101" s="45"/>
      <c r="I101" s="49" t="s">
        <v>56</v>
      </c>
      <c r="J101" s="9">
        <v>0</v>
      </c>
      <c r="K101" s="11"/>
      <c r="L101" s="11" t="s">
        <v>48</v>
      </c>
      <c r="M101" s="47"/>
      <c r="N101"/>
      <c r="O101"/>
      <c r="P101"/>
      <c r="Q101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</row>
    <row r="102" spans="2:34" ht="25.05" customHeight="1">
      <c r="B102" s="44"/>
      <c r="C102" s="44"/>
      <c r="D102" s="44"/>
      <c r="E102" s="45"/>
      <c r="F102" s="45"/>
      <c r="G102" s="45"/>
      <c r="H102" s="45"/>
      <c r="M102" s="47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</row>
    <row r="103" spans="2:34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9566-2BC2-439E-A5DC-B58B4BC67DE4}">
  <sheetPr>
    <pageSetUpPr fitToPage="1"/>
  </sheetPr>
  <dimension ref="A1:AL112"/>
  <sheetViews>
    <sheetView zoomScale="70" zoomScaleNormal="70" workbookViewId="0">
      <pane xSplit="12" ySplit="3" topLeftCell="U88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80.44140625" style="2" customWidth="1"/>
    <col min="5" max="5" width="56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1812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1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30" t="s">
        <v>1813</v>
      </c>
      <c r="E5" s="15" t="s">
        <v>1814</v>
      </c>
      <c r="F5" s="8" t="s">
        <v>1434</v>
      </c>
      <c r="G5" s="9">
        <v>0.29166666666666669</v>
      </c>
      <c r="H5" s="9">
        <v>0.30555555555555558</v>
      </c>
      <c r="I5" s="10">
        <f t="shared" si="0"/>
        <v>1.3888888888888895E-2</v>
      </c>
      <c r="J5" s="11">
        <v>1</v>
      </c>
      <c r="K5" s="11">
        <v>60</v>
      </c>
      <c r="L5" s="16">
        <f t="shared" ref="L5:L21" si="1">IFERROR(((K5/(J5*I5)/24)),"0")</f>
        <v>179.99999999999991</v>
      </c>
      <c r="M5" s="11">
        <v>20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1815</v>
      </c>
      <c r="F6" s="8" t="s">
        <v>87</v>
      </c>
      <c r="G6" s="9">
        <v>0.30694444444444446</v>
      </c>
      <c r="H6" s="9">
        <v>0.31944444444444442</v>
      </c>
      <c r="I6" s="10">
        <f t="shared" si="0"/>
        <v>1.2499999999999956E-2</v>
      </c>
      <c r="J6" s="11">
        <v>1</v>
      </c>
      <c r="K6" s="11">
        <v>16</v>
      </c>
      <c r="L6" s="16">
        <f t="shared" si="1"/>
        <v>53.33333333333352</v>
      </c>
      <c r="M6" s="11">
        <v>18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114"/>
      <c r="E7" s="15" t="s">
        <v>1816</v>
      </c>
      <c r="F7" s="8" t="s">
        <v>99</v>
      </c>
      <c r="G7" s="9">
        <v>0.29166666666666669</v>
      </c>
      <c r="H7" s="9">
        <v>0.32291666666666669</v>
      </c>
      <c r="I7" s="10">
        <f t="shared" si="0"/>
        <v>3.125E-2</v>
      </c>
      <c r="J7" s="11">
        <v>1</v>
      </c>
      <c r="K7" s="11">
        <v>31.6</v>
      </c>
      <c r="L7" s="16">
        <f t="shared" si="1"/>
        <v>42.133333333333333</v>
      </c>
      <c r="M7" s="11"/>
      <c r="N7" s="11"/>
      <c r="O7" s="11"/>
      <c r="P7" s="11"/>
      <c r="Q7" s="11"/>
      <c r="R7" s="12">
        <v>45</v>
      </c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0"/>
      <c r="E8" s="15" t="s">
        <v>630</v>
      </c>
      <c r="F8" s="8" t="s">
        <v>42</v>
      </c>
      <c r="G8" s="9">
        <v>0.29166666666666669</v>
      </c>
      <c r="H8" s="9">
        <v>0.3125</v>
      </c>
      <c r="I8" s="10">
        <f t="shared" si="0"/>
        <v>2.0833333333333315E-2</v>
      </c>
      <c r="J8" s="11">
        <v>3</v>
      </c>
      <c r="K8" s="11">
        <v>179</v>
      </c>
      <c r="L8" s="16">
        <f t="shared" si="1"/>
        <v>119.33333333333344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 t="s">
        <v>1679</v>
      </c>
      <c r="E9" s="17" t="s">
        <v>1817</v>
      </c>
      <c r="F9" s="8" t="s">
        <v>42</v>
      </c>
      <c r="G9" s="9">
        <v>0.32291666666666669</v>
      </c>
      <c r="H9" s="9">
        <v>0.33680555555555558</v>
      </c>
      <c r="I9" s="10">
        <f t="shared" si="0"/>
        <v>1.3888888888888895E-2</v>
      </c>
      <c r="J9" s="11">
        <v>1</v>
      </c>
      <c r="K9" s="11">
        <v>10.5</v>
      </c>
      <c r="L9" s="16">
        <f t="shared" si="1"/>
        <v>31.499999999999986</v>
      </c>
      <c r="M9" s="11">
        <v>20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7" t="s">
        <v>490</v>
      </c>
      <c r="F10" s="8" t="s">
        <v>42</v>
      </c>
      <c r="G10" s="9">
        <v>0.29166666666666669</v>
      </c>
      <c r="H10" s="9">
        <v>0.2986111111111111</v>
      </c>
      <c r="I10" s="10">
        <f t="shared" si="0"/>
        <v>6.9444444444444198E-3</v>
      </c>
      <c r="J10" s="11">
        <v>2</v>
      </c>
      <c r="K10" s="11">
        <v>57.6</v>
      </c>
      <c r="L10" s="16">
        <f t="shared" si="1"/>
        <v>172.80000000000064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114"/>
      <c r="E11" s="17" t="s">
        <v>1818</v>
      </c>
      <c r="F11" s="8" t="s">
        <v>42</v>
      </c>
      <c r="G11" s="9">
        <v>0.33333333333333331</v>
      </c>
      <c r="H11" s="9">
        <v>0.41666666666666669</v>
      </c>
      <c r="I11" s="10">
        <f t="shared" si="0"/>
        <v>8.333333333333337E-2</v>
      </c>
      <c r="J11" s="11">
        <v>6</v>
      </c>
      <c r="K11" s="11" t="s">
        <v>42</v>
      </c>
      <c r="L11" s="16" t="str">
        <f t="shared" si="1"/>
        <v>0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7" t="s">
        <v>1819</v>
      </c>
      <c r="F12" s="8" t="s">
        <v>42</v>
      </c>
      <c r="G12" s="9">
        <v>0.33333333333333331</v>
      </c>
      <c r="H12" s="9">
        <v>0.41666666666666669</v>
      </c>
      <c r="I12" s="10">
        <f t="shared" si="0"/>
        <v>8.333333333333337E-2</v>
      </c>
      <c r="J12" s="11">
        <v>2</v>
      </c>
      <c r="K12" s="11" t="s">
        <v>42</v>
      </c>
      <c r="L12" s="16" t="str">
        <f t="shared" si="1"/>
        <v>0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7" t="s">
        <v>1820</v>
      </c>
      <c r="F13" s="8" t="s">
        <v>42</v>
      </c>
      <c r="G13" s="9">
        <v>0.33333333333333331</v>
      </c>
      <c r="H13" s="9">
        <v>0.41666666666666669</v>
      </c>
      <c r="I13" s="10">
        <f t="shared" si="0"/>
        <v>8.333333333333337E-2</v>
      </c>
      <c r="J13" s="11">
        <v>3</v>
      </c>
      <c r="K13" s="11" t="s">
        <v>42</v>
      </c>
      <c r="L13" s="16" t="str">
        <f t="shared" si="1"/>
        <v>0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96</v>
      </c>
      <c r="F14" s="8" t="s">
        <v>42</v>
      </c>
      <c r="G14" s="9">
        <v>0.41666666666666669</v>
      </c>
      <c r="H14" s="9">
        <v>0.45833333333333331</v>
      </c>
      <c r="I14" s="10">
        <f t="shared" si="0"/>
        <v>4.166666666666663E-2</v>
      </c>
      <c r="J14" s="11">
        <v>15</v>
      </c>
      <c r="K14" s="11" t="s">
        <v>42</v>
      </c>
      <c r="L14" s="16" t="str">
        <f t="shared" si="1"/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30"/>
      <c r="E15" s="15" t="s">
        <v>100</v>
      </c>
      <c r="F15" s="8" t="s">
        <v>42</v>
      </c>
      <c r="G15" s="9">
        <v>0.45833333333333331</v>
      </c>
      <c r="H15" s="9">
        <v>0.5</v>
      </c>
      <c r="I15" s="10">
        <f t="shared" si="0"/>
        <v>4.1666666666666685E-2</v>
      </c>
      <c r="J15" s="11">
        <v>13</v>
      </c>
      <c r="K15" s="11">
        <v>357.5</v>
      </c>
      <c r="L15" s="16">
        <f t="shared" si="1"/>
        <v>27.499999999999986</v>
      </c>
      <c r="M15" s="11"/>
      <c r="N15" s="11"/>
      <c r="O15" s="11"/>
      <c r="P15" s="11"/>
      <c r="Q15" s="11"/>
      <c r="R15" s="12"/>
      <c r="S15" s="12">
        <v>60</v>
      </c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30" t="s">
        <v>1669</v>
      </c>
      <c r="E16" s="15" t="s">
        <v>1821</v>
      </c>
      <c r="F16" s="8" t="s">
        <v>42</v>
      </c>
      <c r="G16" s="9">
        <v>0.5</v>
      </c>
      <c r="H16" s="9">
        <v>0.52777777777777779</v>
      </c>
      <c r="I16" s="10">
        <f t="shared" si="0"/>
        <v>2.777777777777779E-2</v>
      </c>
      <c r="J16" s="11">
        <v>6</v>
      </c>
      <c r="K16" s="11">
        <v>63</v>
      </c>
      <c r="L16" s="16">
        <f t="shared" si="1"/>
        <v>15.749999999999993</v>
      </c>
      <c r="M16" s="11"/>
      <c r="N16" s="11"/>
      <c r="O16" s="11"/>
      <c r="P16" s="11"/>
      <c r="Q16" s="11"/>
      <c r="R16" s="12"/>
      <c r="S16" s="12">
        <v>40</v>
      </c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30"/>
      <c r="E17" s="15" t="s">
        <v>1822</v>
      </c>
      <c r="F17" s="8" t="s">
        <v>42</v>
      </c>
      <c r="G17" s="9">
        <v>0.5</v>
      </c>
      <c r="H17" s="9">
        <v>0.52777777777777779</v>
      </c>
      <c r="I17" s="10">
        <f t="shared" ref="I17:I20" si="2">H17-G17</f>
        <v>2.777777777777779E-2</v>
      </c>
      <c r="J17" s="11">
        <v>6</v>
      </c>
      <c r="K17" s="11">
        <v>63</v>
      </c>
      <c r="L17" s="16">
        <f t="shared" ref="L17:L20" si="3">IFERROR(((K17/(J17*I17)/24)),"0")</f>
        <v>15.749999999999993</v>
      </c>
      <c r="M17" s="11"/>
      <c r="N17" s="11"/>
      <c r="O17" s="11"/>
      <c r="P17" s="11"/>
      <c r="Q17" s="11"/>
      <c r="R17" s="12"/>
      <c r="S17" s="12">
        <v>40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30"/>
      <c r="E18" s="17" t="s">
        <v>1818</v>
      </c>
      <c r="F18" s="8" t="s">
        <v>42</v>
      </c>
      <c r="G18" s="9">
        <v>0.53125</v>
      </c>
      <c r="H18" s="9">
        <v>0.66666666666666663</v>
      </c>
      <c r="I18" s="10">
        <f t="shared" si="2"/>
        <v>0.13541666666666663</v>
      </c>
      <c r="J18" s="11">
        <v>7</v>
      </c>
      <c r="K18" s="11" t="s">
        <v>42</v>
      </c>
      <c r="L18" s="16" t="str">
        <f t="shared" si="3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30"/>
      <c r="E19" s="15" t="s">
        <v>1823</v>
      </c>
      <c r="F19" s="8" t="s">
        <v>42</v>
      </c>
      <c r="G19" s="9">
        <v>0.54166666666666663</v>
      </c>
      <c r="H19" s="9">
        <v>0.58333333333333337</v>
      </c>
      <c r="I19" s="10">
        <f t="shared" si="2"/>
        <v>4.1666666666666741E-2</v>
      </c>
      <c r="J19" s="11">
        <v>6</v>
      </c>
      <c r="K19" s="11" t="s">
        <v>42</v>
      </c>
      <c r="L19" s="16" t="str">
        <f t="shared" si="3"/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30"/>
      <c r="E20" s="17" t="s">
        <v>1818</v>
      </c>
      <c r="F20" s="8" t="s">
        <v>42</v>
      </c>
      <c r="G20" s="9">
        <v>0.58333333333333337</v>
      </c>
      <c r="H20" s="9">
        <v>0.66666666666666663</v>
      </c>
      <c r="I20" s="10">
        <f t="shared" si="2"/>
        <v>8.3333333333333259E-2</v>
      </c>
      <c r="J20" s="11">
        <v>6</v>
      </c>
      <c r="K20" s="11" t="s">
        <v>42</v>
      </c>
      <c r="L20" s="16" t="str">
        <f t="shared" si="3"/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/>
      <c r="F21" s="8" t="s">
        <v>42</v>
      </c>
      <c r="G21" s="9"/>
      <c r="H21" s="9"/>
      <c r="I21" s="10">
        <f t="shared" si="0"/>
        <v>0</v>
      </c>
      <c r="J21" s="11"/>
      <c r="K21" s="11"/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s="28" customFormat="1" ht="25.05" customHeight="1">
      <c r="A22" s="2"/>
      <c r="B22" s="21"/>
      <c r="C22" s="22"/>
      <c r="D22" s="23"/>
      <c r="E22" s="24"/>
      <c r="F22" s="24"/>
      <c r="G22" s="25"/>
      <c r="H22" s="25"/>
      <c r="I22" s="26"/>
      <c r="J22" s="27"/>
      <c r="K22" s="27">
        <f t="shared" ref="K22:AL22" si="4">SUM(K4:K20)</f>
        <v>838.2</v>
      </c>
      <c r="L22" s="39">
        <f t="shared" si="4"/>
        <v>658.10000000000082</v>
      </c>
      <c r="M22" s="27">
        <f t="shared" si="4"/>
        <v>58</v>
      </c>
      <c r="N22" s="27">
        <f t="shared" si="4"/>
        <v>0</v>
      </c>
      <c r="O22" s="27">
        <f t="shared" si="4"/>
        <v>0</v>
      </c>
      <c r="P22" s="27">
        <f t="shared" si="4"/>
        <v>0</v>
      </c>
      <c r="Q22" s="27">
        <f t="shared" si="4"/>
        <v>0</v>
      </c>
      <c r="R22" s="27">
        <f t="shared" si="4"/>
        <v>45</v>
      </c>
      <c r="S22" s="27">
        <f t="shared" si="4"/>
        <v>140</v>
      </c>
      <c r="T22" s="27">
        <f t="shared" si="4"/>
        <v>0</v>
      </c>
      <c r="U22" s="27">
        <f t="shared" si="4"/>
        <v>0</v>
      </c>
      <c r="V22" s="27">
        <f t="shared" si="4"/>
        <v>0</v>
      </c>
      <c r="W22" s="27">
        <f t="shared" si="4"/>
        <v>0</v>
      </c>
      <c r="X22" s="27">
        <f t="shared" si="4"/>
        <v>0</v>
      </c>
      <c r="Y22" s="27">
        <f t="shared" si="4"/>
        <v>0</v>
      </c>
      <c r="Z22" s="27">
        <f t="shared" si="4"/>
        <v>0</v>
      </c>
      <c r="AA22" s="27">
        <f t="shared" si="4"/>
        <v>0</v>
      </c>
      <c r="AB22" s="27">
        <f t="shared" si="4"/>
        <v>0</v>
      </c>
      <c r="AC22" s="27">
        <f t="shared" si="4"/>
        <v>0</v>
      </c>
      <c r="AD22" s="27">
        <f t="shared" si="4"/>
        <v>0</v>
      </c>
      <c r="AE22" s="27">
        <f t="shared" si="4"/>
        <v>0</v>
      </c>
      <c r="AF22" s="27">
        <f t="shared" si="4"/>
        <v>0</v>
      </c>
      <c r="AG22" s="27">
        <f t="shared" si="4"/>
        <v>0</v>
      </c>
      <c r="AH22" s="27">
        <f t="shared" si="4"/>
        <v>0</v>
      </c>
      <c r="AI22" s="27">
        <f t="shared" si="4"/>
        <v>0</v>
      </c>
      <c r="AJ22" s="27">
        <f t="shared" si="4"/>
        <v>0</v>
      </c>
      <c r="AK22" s="27">
        <f t="shared" si="4"/>
        <v>0</v>
      </c>
      <c r="AL22" s="27">
        <f t="shared" si="4"/>
        <v>0</v>
      </c>
    </row>
    <row r="23" spans="1:38" ht="25.05" customHeight="1">
      <c r="B23" s="5" t="s">
        <v>1812</v>
      </c>
      <c r="C23" s="14" t="s">
        <v>43</v>
      </c>
      <c r="D23" s="6"/>
      <c r="E23" s="7" t="s">
        <v>41</v>
      </c>
      <c r="F23" s="8" t="s">
        <v>42</v>
      </c>
      <c r="G23" s="9">
        <v>0.29166666666666669</v>
      </c>
      <c r="H23" s="9">
        <v>0.33333333333333331</v>
      </c>
      <c r="I23" s="10">
        <f t="shared" ref="I23:I27" si="5">H23-G23</f>
        <v>4.166666666666663E-2</v>
      </c>
      <c r="J23" s="11">
        <v>3</v>
      </c>
      <c r="K23" s="62" t="s">
        <v>42</v>
      </c>
      <c r="L23" s="64" t="s">
        <v>42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 t="s">
        <v>1669</v>
      </c>
      <c r="E24" s="19" t="s">
        <v>105</v>
      </c>
      <c r="F24" s="8" t="s">
        <v>42</v>
      </c>
      <c r="G24" s="9">
        <v>0.33333333333333331</v>
      </c>
      <c r="H24" s="9">
        <v>0.47916666666666669</v>
      </c>
      <c r="I24" s="10">
        <f t="shared" si="5"/>
        <v>0.14583333333333337</v>
      </c>
      <c r="J24" s="11">
        <v>12</v>
      </c>
      <c r="K24" s="11">
        <f>150*4</f>
        <v>600</v>
      </c>
      <c r="L24" s="16">
        <f t="shared" ref="L24:L27" si="6">IFERROR(((K24/(J24*I24)/24)),"0")</f>
        <v>14.285714285714283</v>
      </c>
      <c r="M24" s="11"/>
      <c r="N24" s="11"/>
      <c r="O24" s="11"/>
      <c r="P24" s="11"/>
      <c r="Q24" s="11"/>
      <c r="R24" s="12"/>
      <c r="S24" s="12">
        <v>210</v>
      </c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 t="s">
        <v>104</v>
      </c>
      <c r="F25" s="8" t="s">
        <v>42</v>
      </c>
      <c r="G25" s="9">
        <v>0.47916666666666669</v>
      </c>
      <c r="H25" s="9">
        <v>0.52083333333333337</v>
      </c>
      <c r="I25" s="10">
        <f t="shared" si="5"/>
        <v>4.1666666666666685E-2</v>
      </c>
      <c r="J25" s="11">
        <v>12</v>
      </c>
      <c r="K25" s="62" t="s">
        <v>42</v>
      </c>
      <c r="L25" s="16" t="str">
        <f t="shared" si="6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 t="s">
        <v>1669</v>
      </c>
      <c r="E26" s="19" t="s">
        <v>105</v>
      </c>
      <c r="F26" s="8" t="s">
        <v>42</v>
      </c>
      <c r="G26" s="9">
        <v>0.52083333333333337</v>
      </c>
      <c r="H26" s="9">
        <v>0.66666666666666663</v>
      </c>
      <c r="I26" s="10">
        <f t="shared" si="5"/>
        <v>0.14583333333333326</v>
      </c>
      <c r="J26" s="11">
        <v>12</v>
      </c>
      <c r="K26" s="62">
        <f>150*4</f>
        <v>600</v>
      </c>
      <c r="L26" s="16">
        <f t="shared" si="6"/>
        <v>14.285714285714292</v>
      </c>
      <c r="M26" s="11"/>
      <c r="N26" s="11"/>
      <c r="O26" s="11"/>
      <c r="P26" s="11"/>
      <c r="Q26" s="11"/>
      <c r="R26" s="12"/>
      <c r="S26" s="12">
        <v>210</v>
      </c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15" t="s">
        <v>96</v>
      </c>
      <c r="F27" s="8" t="s">
        <v>42</v>
      </c>
      <c r="G27" s="9">
        <v>0.66666666666666663</v>
      </c>
      <c r="H27" s="9">
        <v>0.70833333333333337</v>
      </c>
      <c r="I27" s="10">
        <f t="shared" si="5"/>
        <v>4.1666666666666741E-2</v>
      </c>
      <c r="J27" s="11">
        <v>12</v>
      </c>
      <c r="K27" s="62" t="s">
        <v>42</v>
      </c>
      <c r="L27" s="16" t="str">
        <f t="shared" si="6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s="28" customFormat="1" ht="25.05" customHeight="1">
      <c r="A28" s="2"/>
      <c r="B28" s="21"/>
      <c r="C28" s="22"/>
      <c r="D28" s="23"/>
      <c r="E28" s="24"/>
      <c r="F28" s="22"/>
      <c r="G28" s="25"/>
      <c r="H28" s="25"/>
      <c r="I28" s="26"/>
      <c r="J28" s="27"/>
      <c r="K28" s="27">
        <f t="shared" ref="K28:AL28" si="7">SUM(K23:K27)</f>
        <v>1200</v>
      </c>
      <c r="L28" s="27">
        <f t="shared" si="7"/>
        <v>28.571428571428577</v>
      </c>
      <c r="M28" s="27">
        <f t="shared" si="7"/>
        <v>0</v>
      </c>
      <c r="N28" s="27">
        <f t="shared" si="7"/>
        <v>0</v>
      </c>
      <c r="O28" s="27">
        <f t="shared" si="7"/>
        <v>0</v>
      </c>
      <c r="P28" s="27">
        <f t="shared" si="7"/>
        <v>0</v>
      </c>
      <c r="Q28" s="27">
        <f t="shared" si="7"/>
        <v>0</v>
      </c>
      <c r="R28" s="27">
        <f t="shared" si="7"/>
        <v>0</v>
      </c>
      <c r="S28" s="27">
        <f t="shared" si="7"/>
        <v>420</v>
      </c>
      <c r="T28" s="27">
        <f t="shared" si="7"/>
        <v>0</v>
      </c>
      <c r="U28" s="27">
        <f t="shared" si="7"/>
        <v>0</v>
      </c>
      <c r="V28" s="27">
        <f t="shared" si="7"/>
        <v>0</v>
      </c>
      <c r="W28" s="27">
        <f t="shared" si="7"/>
        <v>0</v>
      </c>
      <c r="X28" s="27">
        <f t="shared" si="7"/>
        <v>0</v>
      </c>
      <c r="Y28" s="27">
        <f t="shared" si="7"/>
        <v>0</v>
      </c>
      <c r="Z28" s="27">
        <f t="shared" si="7"/>
        <v>0</v>
      </c>
      <c r="AA28" s="27">
        <f t="shared" si="7"/>
        <v>0</v>
      </c>
      <c r="AB28" s="27">
        <f t="shared" si="7"/>
        <v>0</v>
      </c>
      <c r="AC28" s="27">
        <f t="shared" si="7"/>
        <v>0</v>
      </c>
      <c r="AD28" s="27">
        <f t="shared" si="7"/>
        <v>0</v>
      </c>
      <c r="AE28" s="27">
        <f t="shared" si="7"/>
        <v>0</v>
      </c>
      <c r="AF28" s="27">
        <f t="shared" si="7"/>
        <v>0</v>
      </c>
      <c r="AG28" s="27">
        <f t="shared" si="7"/>
        <v>0</v>
      </c>
      <c r="AH28" s="27">
        <f t="shared" si="7"/>
        <v>0</v>
      </c>
      <c r="AI28" s="27">
        <f t="shared" si="7"/>
        <v>0</v>
      </c>
      <c r="AJ28" s="27">
        <f t="shared" si="7"/>
        <v>0</v>
      </c>
      <c r="AK28" s="27">
        <f t="shared" si="7"/>
        <v>0</v>
      </c>
      <c r="AL28" s="27">
        <f t="shared" si="7"/>
        <v>0</v>
      </c>
    </row>
    <row r="29" spans="1:38" ht="25.05" customHeight="1">
      <c r="B29" s="5" t="s">
        <v>1812</v>
      </c>
      <c r="C29" s="29" t="s">
        <v>44</v>
      </c>
      <c r="D29" s="30"/>
      <c r="E29" s="7" t="s">
        <v>41</v>
      </c>
      <c r="F29" s="8" t="s">
        <v>42</v>
      </c>
      <c r="G29" s="9">
        <v>0.29166666666666669</v>
      </c>
      <c r="H29" s="9">
        <v>0.31944444444444442</v>
      </c>
      <c r="I29" s="10">
        <f t="shared" ref="I29:I33" si="8">H29-G29</f>
        <v>2.7777777777777735E-2</v>
      </c>
      <c r="J29" s="11">
        <v>4</v>
      </c>
      <c r="K29" s="62" t="s">
        <v>42</v>
      </c>
      <c r="L29" s="64" t="s">
        <v>42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 t="s">
        <v>1032</v>
      </c>
      <c r="E30" s="19" t="s">
        <v>1060</v>
      </c>
      <c r="F30" s="8" t="s">
        <v>42</v>
      </c>
      <c r="G30" s="9">
        <v>0.32430555555555557</v>
      </c>
      <c r="H30" s="9">
        <v>0.32708333333333334</v>
      </c>
      <c r="I30" s="10">
        <f t="shared" si="8"/>
        <v>2.7777777777777679E-3</v>
      </c>
      <c r="J30" s="11">
        <v>4</v>
      </c>
      <c r="K30" s="11">
        <v>44.6</v>
      </c>
      <c r="L30" s="16">
        <f t="shared" ref="L30:L33" si="9">IFERROR(((K30/(J30*I30)/24)),"0")</f>
        <v>167.2500000000006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>
        <v>4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1061</v>
      </c>
      <c r="F31" s="8" t="s">
        <v>42</v>
      </c>
      <c r="G31" s="9">
        <v>0.34305555555555556</v>
      </c>
      <c r="H31" s="9">
        <v>0.34583333333333333</v>
      </c>
      <c r="I31" s="10">
        <f t="shared" si="8"/>
        <v>2.7777777777777679E-3</v>
      </c>
      <c r="J31" s="11">
        <v>4</v>
      </c>
      <c r="K31" s="11">
        <v>39.57</v>
      </c>
      <c r="L31" s="16">
        <f t="shared" si="9"/>
        <v>148.38750000000053</v>
      </c>
      <c r="M31" s="11"/>
      <c r="N31" s="11"/>
      <c r="O31" s="11"/>
      <c r="P31" s="11"/>
      <c r="Q31" s="11"/>
      <c r="R31" s="12"/>
      <c r="S31" s="12"/>
      <c r="T31" s="11"/>
      <c r="U31" s="11"/>
      <c r="V31" s="12">
        <v>3</v>
      </c>
      <c r="W31" s="12"/>
      <c r="X31" s="11"/>
      <c r="Y31" s="11"/>
      <c r="Z31" s="11"/>
      <c r="AA31" s="11"/>
      <c r="AB31" s="11">
        <v>4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1824</v>
      </c>
      <c r="F32" s="8" t="s">
        <v>42</v>
      </c>
      <c r="G32" s="9">
        <v>0.34930555555555554</v>
      </c>
      <c r="H32" s="9">
        <v>0.35208333333333336</v>
      </c>
      <c r="I32" s="10">
        <f t="shared" si="8"/>
        <v>2.7777777777778234E-3</v>
      </c>
      <c r="J32" s="11">
        <v>4</v>
      </c>
      <c r="K32" s="11">
        <v>45.25</v>
      </c>
      <c r="L32" s="16">
        <f t="shared" si="9"/>
        <v>169.68749999999721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3</v>
      </c>
      <c r="W32" s="12"/>
      <c r="X32" s="11"/>
      <c r="Y32" s="11"/>
      <c r="Z32" s="11"/>
      <c r="AA32" s="11"/>
      <c r="AB32" s="11"/>
      <c r="AC32" s="11"/>
      <c r="AD32" s="11">
        <v>4</v>
      </c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1062</v>
      </c>
      <c r="F33" s="8" t="s">
        <v>42</v>
      </c>
      <c r="G33" s="9">
        <v>0.35347222222222224</v>
      </c>
      <c r="H33" s="9">
        <v>0.35625000000000001</v>
      </c>
      <c r="I33" s="10">
        <f t="shared" si="8"/>
        <v>2.7777777777777679E-3</v>
      </c>
      <c r="J33" s="11">
        <v>4</v>
      </c>
      <c r="K33" s="11">
        <v>45.56</v>
      </c>
      <c r="L33" s="16">
        <f t="shared" si="9"/>
        <v>170.85000000000062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3</v>
      </c>
      <c r="W33" s="12"/>
      <c r="X33" s="11"/>
      <c r="Y33" s="11"/>
      <c r="Z33" s="11"/>
      <c r="AA33" s="11"/>
      <c r="AB33" s="11">
        <v>4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1063</v>
      </c>
      <c r="F34" s="8" t="s">
        <v>42</v>
      </c>
      <c r="G34" s="9">
        <v>0.36249999999999999</v>
      </c>
      <c r="H34" s="9">
        <v>0.36527777777777776</v>
      </c>
      <c r="I34" s="10">
        <f t="shared" ref="I34:I97" si="10">H34-G34</f>
        <v>2.7777777777777679E-3</v>
      </c>
      <c r="J34" s="11">
        <v>4</v>
      </c>
      <c r="K34" s="11">
        <v>45.52</v>
      </c>
      <c r="L34" s="16">
        <f t="shared" ref="L34:L97" si="11">IFERROR(((K34/(J34*I34)/24)),"0")</f>
        <v>170.70000000000061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3</v>
      </c>
      <c r="X34" s="11"/>
      <c r="Y34" s="11"/>
      <c r="Z34" s="11"/>
      <c r="AA34" s="11"/>
      <c r="AB34" s="11">
        <v>4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1064</v>
      </c>
      <c r="F35" s="8" t="s">
        <v>42</v>
      </c>
      <c r="G35" s="9">
        <v>0.37222222222222223</v>
      </c>
      <c r="H35" s="9">
        <v>0.375</v>
      </c>
      <c r="I35" s="10">
        <f t="shared" si="10"/>
        <v>2.7777777777777679E-3</v>
      </c>
      <c r="J35" s="11">
        <v>4</v>
      </c>
      <c r="K35" s="11">
        <v>44.7</v>
      </c>
      <c r="L35" s="16">
        <f t="shared" si="11"/>
        <v>167.6250000000006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3</v>
      </c>
      <c r="W35" s="12"/>
      <c r="X35" s="11"/>
      <c r="Y35" s="11"/>
      <c r="Z35" s="11"/>
      <c r="AA35" s="11"/>
      <c r="AB35" s="11">
        <v>4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1065</v>
      </c>
      <c r="F36" s="8" t="s">
        <v>42</v>
      </c>
      <c r="G36" s="9">
        <v>0.37708333333333333</v>
      </c>
      <c r="H36" s="9">
        <v>0.37986111111111109</v>
      </c>
      <c r="I36" s="10">
        <f t="shared" si="10"/>
        <v>2.7777777777777679E-3</v>
      </c>
      <c r="J36" s="11">
        <v>4</v>
      </c>
      <c r="K36" s="11">
        <v>45.38</v>
      </c>
      <c r="L36" s="16">
        <f t="shared" si="11"/>
        <v>170.17500000000061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3</v>
      </c>
      <c r="X36" s="11"/>
      <c r="Y36" s="11"/>
      <c r="Z36" s="11"/>
      <c r="AA36" s="11"/>
      <c r="AB36" s="11"/>
      <c r="AC36" s="11">
        <v>4</v>
      </c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1066</v>
      </c>
      <c r="F37" s="8" t="s">
        <v>42</v>
      </c>
      <c r="G37" s="9">
        <v>0.38124999999999998</v>
      </c>
      <c r="H37" s="9">
        <v>0.3840277777777778</v>
      </c>
      <c r="I37" s="10">
        <f t="shared" si="10"/>
        <v>2.7777777777778234E-3</v>
      </c>
      <c r="J37" s="11">
        <v>4</v>
      </c>
      <c r="K37" s="11">
        <v>45.4</v>
      </c>
      <c r="L37" s="16">
        <f t="shared" si="11"/>
        <v>170.24999999999719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3</v>
      </c>
      <c r="W37" s="12"/>
      <c r="X37" s="11"/>
      <c r="Y37" s="11"/>
      <c r="Z37" s="11"/>
      <c r="AA37" s="11"/>
      <c r="AB37" s="11">
        <v>4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1067</v>
      </c>
      <c r="F38" s="8" t="s">
        <v>42</v>
      </c>
      <c r="G38" s="9">
        <v>0.38611111111111113</v>
      </c>
      <c r="H38" s="9">
        <v>0.3888888888888889</v>
      </c>
      <c r="I38" s="10">
        <f t="shared" si="10"/>
        <v>2.7777777777777679E-3</v>
      </c>
      <c r="J38" s="11">
        <v>4</v>
      </c>
      <c r="K38" s="11">
        <v>43.47</v>
      </c>
      <c r="L38" s="16">
        <f t="shared" si="11"/>
        <v>163.01250000000059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3</v>
      </c>
      <c r="X38" s="11"/>
      <c r="Y38" s="11"/>
      <c r="Z38" s="11"/>
      <c r="AA38" s="11"/>
      <c r="AB38" s="11"/>
      <c r="AC38" s="11">
        <v>4</v>
      </c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1068</v>
      </c>
      <c r="F39" s="8" t="s">
        <v>42</v>
      </c>
      <c r="G39" s="9">
        <v>0.39027777777777778</v>
      </c>
      <c r="H39" s="9">
        <v>0.39305555555555555</v>
      </c>
      <c r="I39" s="10">
        <f t="shared" si="10"/>
        <v>2.7777777777777679E-3</v>
      </c>
      <c r="J39" s="11">
        <v>4</v>
      </c>
      <c r="K39" s="11">
        <v>45.3</v>
      </c>
      <c r="L39" s="16">
        <f t="shared" si="11"/>
        <v>169.8750000000006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3</v>
      </c>
      <c r="X39" s="11"/>
      <c r="Y39" s="11"/>
      <c r="Z39" s="11"/>
      <c r="AA39" s="11"/>
      <c r="AB39" s="11">
        <v>4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1069</v>
      </c>
      <c r="F40" s="8" t="s">
        <v>42</v>
      </c>
      <c r="G40" s="9">
        <v>0.3972222222222222</v>
      </c>
      <c r="H40" s="9">
        <v>0.4</v>
      </c>
      <c r="I40" s="10">
        <f t="shared" si="10"/>
        <v>2.7777777777778234E-3</v>
      </c>
      <c r="J40" s="11">
        <v>4</v>
      </c>
      <c r="K40" s="11">
        <v>45.51</v>
      </c>
      <c r="L40" s="16">
        <f t="shared" si="11"/>
        <v>170.66249999999718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3</v>
      </c>
      <c r="X40" s="11"/>
      <c r="Y40" s="11"/>
      <c r="Z40" s="11"/>
      <c r="AA40" s="11"/>
      <c r="AB40" s="11"/>
      <c r="AC40" s="11">
        <v>4</v>
      </c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1070</v>
      </c>
      <c r="F41" s="8" t="s">
        <v>42</v>
      </c>
      <c r="G41" s="9">
        <v>0.40138888888888891</v>
      </c>
      <c r="H41" s="9">
        <v>0.40416666666666667</v>
      </c>
      <c r="I41" s="10">
        <f t="shared" si="10"/>
        <v>2.7777777777777679E-3</v>
      </c>
      <c r="J41" s="11">
        <v>4</v>
      </c>
      <c r="K41" s="11">
        <v>44.58</v>
      </c>
      <c r="L41" s="16">
        <f t="shared" si="11"/>
        <v>167.17500000000058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3</v>
      </c>
      <c r="X41" s="11"/>
      <c r="Y41" s="11"/>
      <c r="Z41" s="11"/>
      <c r="AA41" s="11"/>
      <c r="AB41" s="11">
        <v>4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1071</v>
      </c>
      <c r="F42" s="8" t="s">
        <v>42</v>
      </c>
      <c r="G42" s="9">
        <v>0.40763888888888888</v>
      </c>
      <c r="H42" s="9">
        <v>0.41041666666666665</v>
      </c>
      <c r="I42" s="10">
        <f t="shared" si="10"/>
        <v>2.7777777777777679E-3</v>
      </c>
      <c r="J42" s="11">
        <v>4</v>
      </c>
      <c r="K42" s="11">
        <v>45.28</v>
      </c>
      <c r="L42" s="16">
        <f t="shared" si="11"/>
        <v>169.80000000000061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3</v>
      </c>
      <c r="X42" s="11"/>
      <c r="Y42" s="11"/>
      <c r="Z42" s="11"/>
      <c r="AA42" s="11"/>
      <c r="AB42" s="11"/>
      <c r="AC42" s="11">
        <v>4</v>
      </c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1072</v>
      </c>
      <c r="F43" s="8" t="s">
        <v>42</v>
      </c>
      <c r="G43" s="9">
        <v>0.41458333333333336</v>
      </c>
      <c r="H43" s="9">
        <v>0.41666666666666669</v>
      </c>
      <c r="I43" s="10">
        <f t="shared" si="10"/>
        <v>2.0833333333333259E-3</v>
      </c>
      <c r="J43" s="11">
        <v>4</v>
      </c>
      <c r="K43" s="11">
        <v>45.17</v>
      </c>
      <c r="L43" s="16">
        <f t="shared" si="11"/>
        <v>225.85000000000082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3</v>
      </c>
      <c r="X43" s="11"/>
      <c r="Y43" s="11"/>
      <c r="Z43" s="11"/>
      <c r="AA43" s="11"/>
      <c r="AB43" s="11">
        <v>4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1073</v>
      </c>
      <c r="F44" s="8" t="s">
        <v>42</v>
      </c>
      <c r="G44" s="9">
        <v>0.42083333333333334</v>
      </c>
      <c r="H44" s="9">
        <v>0.4236111111111111</v>
      </c>
      <c r="I44" s="10">
        <f t="shared" si="10"/>
        <v>2.7777777777777679E-3</v>
      </c>
      <c r="J44" s="11">
        <v>4</v>
      </c>
      <c r="K44" s="11">
        <v>45.69</v>
      </c>
      <c r="L44" s="16">
        <f t="shared" si="11"/>
        <v>171.33750000000057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3</v>
      </c>
      <c r="X44" s="11"/>
      <c r="Y44" s="11"/>
      <c r="Z44" s="11"/>
      <c r="AA44" s="11"/>
      <c r="AB44" s="11">
        <v>4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/>
      <c r="F45" s="19"/>
      <c r="G45" s="19"/>
      <c r="H45" s="19"/>
      <c r="I45" s="19"/>
      <c r="J45" s="19"/>
      <c r="K45" s="19"/>
      <c r="L45" s="19"/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 t="s">
        <v>1813</v>
      </c>
      <c r="E46" s="19" t="s">
        <v>1825</v>
      </c>
      <c r="F46" s="8" t="s">
        <v>42</v>
      </c>
      <c r="G46" s="9">
        <v>0.52777777777777779</v>
      </c>
      <c r="H46" s="9">
        <v>0.53680555555555554</v>
      </c>
      <c r="I46" s="10">
        <f t="shared" si="10"/>
        <v>9.0277777777777457E-3</v>
      </c>
      <c r="J46" s="11">
        <v>4</v>
      </c>
      <c r="K46" s="11">
        <v>53.31</v>
      </c>
      <c r="L46" s="16">
        <f t="shared" si="11"/>
        <v>61.511538461538684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/>
      <c r="AA46" s="11"/>
      <c r="AB46" s="11"/>
      <c r="AC46" s="11">
        <v>13</v>
      </c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1826</v>
      </c>
      <c r="F47" s="8" t="s">
        <v>42</v>
      </c>
      <c r="G47" s="9">
        <v>0.5395833333333333</v>
      </c>
      <c r="H47" s="9">
        <v>0.54722222222222228</v>
      </c>
      <c r="I47" s="10">
        <f t="shared" si="10"/>
        <v>7.6388888888889728E-3</v>
      </c>
      <c r="J47" s="11">
        <v>4</v>
      </c>
      <c r="K47" s="11">
        <v>53.31</v>
      </c>
      <c r="L47" s="16">
        <f t="shared" si="11"/>
        <v>72.695454545453757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/>
      <c r="Y47" s="11"/>
      <c r="Z47" s="11"/>
      <c r="AA47" s="11"/>
      <c r="AB47" s="11"/>
      <c r="AC47" s="11">
        <v>11</v>
      </c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1827</v>
      </c>
      <c r="F48" s="8" t="s">
        <v>42</v>
      </c>
      <c r="G48" s="9">
        <v>0.55000000000000004</v>
      </c>
      <c r="H48" s="9">
        <v>0.55625000000000002</v>
      </c>
      <c r="I48" s="10">
        <f t="shared" si="10"/>
        <v>6.2499999999999778E-3</v>
      </c>
      <c r="J48" s="11">
        <v>4</v>
      </c>
      <c r="K48" s="11">
        <v>53.42</v>
      </c>
      <c r="L48" s="16">
        <f t="shared" si="11"/>
        <v>89.033333333333644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/>
      <c r="AA48" s="11"/>
      <c r="AB48" s="11"/>
      <c r="AC48" s="11">
        <v>9</v>
      </c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1828</v>
      </c>
      <c r="F49" s="8" t="s">
        <v>42</v>
      </c>
      <c r="G49" s="9">
        <v>0.55972222222222223</v>
      </c>
      <c r="H49" s="9">
        <v>0.56527777777777777</v>
      </c>
      <c r="I49" s="10">
        <f t="shared" si="10"/>
        <v>5.5555555555555358E-3</v>
      </c>
      <c r="J49" s="11">
        <v>4</v>
      </c>
      <c r="K49" s="11">
        <v>53.42</v>
      </c>
      <c r="L49" s="16">
        <f t="shared" si="11"/>
        <v>100.16250000000036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/>
      <c r="AC49" s="11">
        <v>8</v>
      </c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1829</v>
      </c>
      <c r="F50" s="8" t="s">
        <v>42</v>
      </c>
      <c r="G50" s="9">
        <v>0.56805555555555554</v>
      </c>
      <c r="H50" s="9">
        <v>0.57430555555555551</v>
      </c>
      <c r="I50" s="10">
        <f t="shared" si="10"/>
        <v>6.2499999999999778E-3</v>
      </c>
      <c r="J50" s="11">
        <v>4</v>
      </c>
      <c r="K50" s="11">
        <v>53.53</v>
      </c>
      <c r="L50" s="16">
        <f t="shared" si="11"/>
        <v>89.216666666666981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/>
      <c r="Z50" s="11"/>
      <c r="AA50" s="11"/>
      <c r="AB50" s="11"/>
      <c r="AC50" s="11">
        <v>9</v>
      </c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1830</v>
      </c>
      <c r="F51" s="8" t="s">
        <v>42</v>
      </c>
      <c r="G51" s="9">
        <v>0.57638888888888884</v>
      </c>
      <c r="H51" s="9">
        <v>0.58333333333333337</v>
      </c>
      <c r="I51" s="10">
        <f t="shared" si="10"/>
        <v>6.9444444444445308E-3</v>
      </c>
      <c r="J51" s="11">
        <v>4</v>
      </c>
      <c r="K51" s="11">
        <v>53.53</v>
      </c>
      <c r="L51" s="16">
        <f t="shared" si="11"/>
        <v>80.294999999999007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>
        <v>10</v>
      </c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1831</v>
      </c>
      <c r="F52" s="8" t="s">
        <v>42</v>
      </c>
      <c r="G52" s="9">
        <v>0.61597222222222225</v>
      </c>
      <c r="H52" s="9">
        <v>0.62291666666666667</v>
      </c>
      <c r="I52" s="10">
        <f t="shared" si="10"/>
        <v>6.9444444444444198E-3</v>
      </c>
      <c r="J52" s="11">
        <v>4</v>
      </c>
      <c r="K52" s="11">
        <v>50.09</v>
      </c>
      <c r="L52" s="16">
        <f t="shared" si="11"/>
        <v>75.135000000000275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/>
      <c r="AC52" s="11">
        <v>10</v>
      </c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1832</v>
      </c>
      <c r="F53" s="8" t="s">
        <v>42</v>
      </c>
      <c r="G53" s="9">
        <v>0.62569444444444444</v>
      </c>
      <c r="H53" s="9">
        <v>0.63263888888888886</v>
      </c>
      <c r="I53" s="10">
        <f t="shared" si="10"/>
        <v>6.9444444444444198E-3</v>
      </c>
      <c r="J53" s="11">
        <v>4</v>
      </c>
      <c r="K53" s="11">
        <v>50.09</v>
      </c>
      <c r="L53" s="16">
        <f t="shared" si="11"/>
        <v>75.135000000000275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>
        <v>10</v>
      </c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1833</v>
      </c>
      <c r="F54" s="8" t="s">
        <v>42</v>
      </c>
      <c r="G54" s="9">
        <v>0.63611111111111107</v>
      </c>
      <c r="H54" s="9">
        <v>0.64236111111111116</v>
      </c>
      <c r="I54" s="10">
        <f t="shared" si="10"/>
        <v>6.2500000000000888E-3</v>
      </c>
      <c r="J54" s="11">
        <v>4</v>
      </c>
      <c r="K54" s="11">
        <v>51.77</v>
      </c>
      <c r="L54" s="16">
        <f t="shared" si="11"/>
        <v>86.283333333332109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>
        <v>9</v>
      </c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1834</v>
      </c>
      <c r="F55" s="8" t="s">
        <v>42</v>
      </c>
      <c r="G55" s="9">
        <v>0.64652777777777781</v>
      </c>
      <c r="H55" s="9">
        <v>0.65208333333333335</v>
      </c>
      <c r="I55" s="10">
        <f t="shared" si="10"/>
        <v>5.5555555555555358E-3</v>
      </c>
      <c r="J55" s="11">
        <v>4</v>
      </c>
      <c r="K55" s="11">
        <v>51.77</v>
      </c>
      <c r="L55" s="16">
        <f t="shared" si="11"/>
        <v>97.06875000000035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/>
      <c r="AC55" s="11">
        <v>8</v>
      </c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1835</v>
      </c>
      <c r="F56" s="8" t="s">
        <v>42</v>
      </c>
      <c r="G56" s="9">
        <v>0.35625000000000001</v>
      </c>
      <c r="H56" s="9">
        <v>0.37013888888888891</v>
      </c>
      <c r="I56" s="10">
        <f t="shared" si="10"/>
        <v>1.3888888888888895E-2</v>
      </c>
      <c r="J56" s="11">
        <v>3</v>
      </c>
      <c r="K56" s="11">
        <v>89.91</v>
      </c>
      <c r="L56" s="16">
        <f t="shared" si="11"/>
        <v>89.909999999999954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/>
      <c r="AA56" s="11"/>
      <c r="AB56" s="11"/>
      <c r="AC56" s="11"/>
      <c r="AD56" s="11">
        <v>20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1836</v>
      </c>
      <c r="F57" s="8" t="s">
        <v>42</v>
      </c>
      <c r="G57" s="9">
        <v>0.37361111111111112</v>
      </c>
      <c r="H57" s="9">
        <v>0.3840277777777778</v>
      </c>
      <c r="I57" s="10">
        <f t="shared" si="10"/>
        <v>1.0416666666666685E-2</v>
      </c>
      <c r="J57" s="11">
        <v>3</v>
      </c>
      <c r="K57" s="11">
        <v>90.54</v>
      </c>
      <c r="L57" s="16">
        <f t="shared" si="11"/>
        <v>120.7199999999998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/>
      <c r="AA57" s="11"/>
      <c r="AB57" s="11"/>
      <c r="AC57" s="11"/>
      <c r="AD57" s="11">
        <v>15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1837</v>
      </c>
      <c r="F58" s="8" t="s">
        <v>42</v>
      </c>
      <c r="G58" s="9">
        <v>0.39097222222222222</v>
      </c>
      <c r="H58" s="9">
        <v>0.39930555555555558</v>
      </c>
      <c r="I58" s="10">
        <f t="shared" si="10"/>
        <v>8.3333333333333592E-3</v>
      </c>
      <c r="J58" s="11">
        <v>3</v>
      </c>
      <c r="K58" s="11">
        <v>60.14</v>
      </c>
      <c r="L58" s="16">
        <f t="shared" si="11"/>
        <v>100.23333333333302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/>
      <c r="AA58" s="11"/>
      <c r="AB58" s="11"/>
      <c r="AC58" s="11"/>
      <c r="AD58" s="11">
        <v>12</v>
      </c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1838</v>
      </c>
      <c r="F59" s="8" t="s">
        <v>42</v>
      </c>
      <c r="G59" s="9">
        <v>0.40625</v>
      </c>
      <c r="H59" s="9">
        <v>0.41319444444444442</v>
      </c>
      <c r="I59" s="10">
        <f t="shared" si="10"/>
        <v>6.9444444444444198E-3</v>
      </c>
      <c r="J59" s="11">
        <v>3</v>
      </c>
      <c r="K59" s="11">
        <v>60.6</v>
      </c>
      <c r="L59" s="16">
        <f t="shared" si="11"/>
        <v>121.20000000000043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/>
      <c r="Z59" s="11"/>
      <c r="AA59" s="11"/>
      <c r="AB59" s="11"/>
      <c r="AC59" s="11"/>
      <c r="AD59" s="11">
        <v>10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1839</v>
      </c>
      <c r="F60" s="8" t="s">
        <v>42</v>
      </c>
      <c r="G60" s="9">
        <v>0.42708333333333331</v>
      </c>
      <c r="H60" s="9">
        <v>0.44861111111111113</v>
      </c>
      <c r="I60" s="10">
        <f t="shared" si="10"/>
        <v>2.1527777777777812E-2</v>
      </c>
      <c r="J60" s="11">
        <v>4</v>
      </c>
      <c r="K60" s="11">
        <v>63.52</v>
      </c>
      <c r="L60" s="16">
        <f t="shared" si="11"/>
        <v>30.735483870967695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/>
      <c r="AC60" s="11">
        <v>31</v>
      </c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1553</v>
      </c>
      <c r="F61" s="8" t="s">
        <v>42</v>
      </c>
      <c r="G61" s="9">
        <v>0.52777777777777779</v>
      </c>
      <c r="H61" s="9">
        <v>0.53402777777777777</v>
      </c>
      <c r="I61" s="10">
        <f t="shared" si="10"/>
        <v>6.2499999999999778E-3</v>
      </c>
      <c r="J61" s="11">
        <v>3</v>
      </c>
      <c r="K61" s="11">
        <v>81.56</v>
      </c>
      <c r="L61" s="16">
        <f t="shared" si="11"/>
        <v>181.24444444444509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1</v>
      </c>
      <c r="W61" s="12"/>
      <c r="X61" s="11"/>
      <c r="Y61" s="11"/>
      <c r="Z61" s="11"/>
      <c r="AA61" s="11"/>
      <c r="AB61" s="11">
        <v>9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1554</v>
      </c>
      <c r="F62" s="8" t="s">
        <v>42</v>
      </c>
      <c r="G62" s="9">
        <v>0.5395833333333333</v>
      </c>
      <c r="H62" s="9">
        <v>0.54583333333333328</v>
      </c>
      <c r="I62" s="10">
        <f t="shared" si="10"/>
        <v>6.2499999999999778E-3</v>
      </c>
      <c r="J62" s="11">
        <v>3</v>
      </c>
      <c r="K62" s="11">
        <v>84.6</v>
      </c>
      <c r="L62" s="16">
        <f t="shared" si="11"/>
        <v>188.00000000000065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1</v>
      </c>
      <c r="W62" s="12"/>
      <c r="X62" s="11"/>
      <c r="Y62" s="11"/>
      <c r="Z62" s="11"/>
      <c r="AA62" s="11"/>
      <c r="AB62" s="11">
        <v>9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1555</v>
      </c>
      <c r="F63" s="8" t="s">
        <v>42</v>
      </c>
      <c r="G63" s="9">
        <v>0.54097222222222219</v>
      </c>
      <c r="H63" s="9">
        <v>0.5493055555555556</v>
      </c>
      <c r="I63" s="10">
        <f t="shared" si="10"/>
        <v>8.3333333333334147E-3</v>
      </c>
      <c r="J63" s="11">
        <v>3</v>
      </c>
      <c r="K63" s="11">
        <v>84.37</v>
      </c>
      <c r="L63" s="16">
        <f t="shared" si="11"/>
        <v>140.61666666666528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1</v>
      </c>
      <c r="W63" s="12"/>
      <c r="X63" s="11"/>
      <c r="Y63" s="11"/>
      <c r="Z63" s="11"/>
      <c r="AA63" s="11"/>
      <c r="AB63" s="11"/>
      <c r="AC63" s="11"/>
      <c r="AD63" s="11">
        <v>12</v>
      </c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1556</v>
      </c>
      <c r="F64" s="8" t="s">
        <v>42</v>
      </c>
      <c r="G64" s="9">
        <v>0.55138888888888893</v>
      </c>
      <c r="H64" s="9">
        <v>0.55833333333333335</v>
      </c>
      <c r="I64" s="10">
        <f t="shared" si="10"/>
        <v>6.9444444444444198E-3</v>
      </c>
      <c r="J64" s="11">
        <v>3</v>
      </c>
      <c r="K64" s="11">
        <v>85.01</v>
      </c>
      <c r="L64" s="16">
        <f t="shared" si="11"/>
        <v>170.02000000000061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1</v>
      </c>
      <c r="W64" s="12"/>
      <c r="X64" s="11"/>
      <c r="Y64" s="11"/>
      <c r="Z64" s="11"/>
      <c r="AA64" s="11"/>
      <c r="AB64" s="11">
        <v>10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1557</v>
      </c>
      <c r="F65" s="8" t="s">
        <v>42</v>
      </c>
      <c r="G65" s="9">
        <v>0.55555555555555558</v>
      </c>
      <c r="H65" s="9">
        <v>0.56111111111111112</v>
      </c>
      <c r="I65" s="10">
        <f t="shared" si="10"/>
        <v>5.5555555555555358E-3</v>
      </c>
      <c r="J65" s="11">
        <v>3</v>
      </c>
      <c r="K65" s="11">
        <v>85.13</v>
      </c>
      <c r="L65" s="16">
        <f t="shared" si="11"/>
        <v>212.82500000000073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1</v>
      </c>
      <c r="W65" s="12"/>
      <c r="X65" s="11"/>
      <c r="Y65" s="11"/>
      <c r="Z65" s="11"/>
      <c r="AA65" s="11"/>
      <c r="AB65" s="11"/>
      <c r="AC65" s="11"/>
      <c r="AD65" s="11">
        <v>8</v>
      </c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1558</v>
      </c>
      <c r="F66" s="8" t="s">
        <v>42</v>
      </c>
      <c r="G66" s="9">
        <v>0.56458333333333333</v>
      </c>
      <c r="H66" s="9">
        <v>0.57222222222222219</v>
      </c>
      <c r="I66" s="10">
        <f t="shared" si="10"/>
        <v>7.6388888888888618E-3</v>
      </c>
      <c r="J66" s="11">
        <v>3</v>
      </c>
      <c r="K66" s="11">
        <v>89.84</v>
      </c>
      <c r="L66" s="16">
        <f t="shared" si="11"/>
        <v>163.34545454545514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1</v>
      </c>
      <c r="W66" s="12"/>
      <c r="X66" s="11"/>
      <c r="Y66" s="11"/>
      <c r="Z66" s="11"/>
      <c r="AA66" s="11"/>
      <c r="AB66" s="11">
        <v>11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1559</v>
      </c>
      <c r="F67" s="8" t="s">
        <v>42</v>
      </c>
      <c r="G67" s="9">
        <v>0.56666666666666665</v>
      </c>
      <c r="H67" s="9">
        <v>0.57361111111111107</v>
      </c>
      <c r="I67" s="10">
        <f t="shared" si="10"/>
        <v>6.9444444444444198E-3</v>
      </c>
      <c r="J67" s="11">
        <v>3</v>
      </c>
      <c r="K67" s="11">
        <v>83.49</v>
      </c>
      <c r="L67" s="16">
        <f t="shared" si="11"/>
        <v>166.98000000000059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1</v>
      </c>
      <c r="W67" s="12"/>
      <c r="X67" s="11"/>
      <c r="Y67" s="11"/>
      <c r="Z67" s="11"/>
      <c r="AA67" s="11"/>
      <c r="AB67" s="11"/>
      <c r="AC67" s="11"/>
      <c r="AD67" s="11">
        <v>10</v>
      </c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1560</v>
      </c>
      <c r="F68" s="8" t="s">
        <v>42</v>
      </c>
      <c r="G68" s="9">
        <v>0.57708333333333328</v>
      </c>
      <c r="H68" s="9">
        <v>0.58333333333333337</v>
      </c>
      <c r="I68" s="10">
        <f t="shared" si="10"/>
        <v>6.2500000000000888E-3</v>
      </c>
      <c r="J68" s="11">
        <v>3</v>
      </c>
      <c r="K68" s="11">
        <v>82.39</v>
      </c>
      <c r="L68" s="16">
        <f t="shared" si="11"/>
        <v>183.08888888888632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1</v>
      </c>
      <c r="W68" s="12"/>
      <c r="X68" s="11"/>
      <c r="Y68" s="11"/>
      <c r="Z68" s="11"/>
      <c r="AA68" s="11"/>
      <c r="AB68" s="11">
        <v>9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1561</v>
      </c>
      <c r="F69" s="8" t="s">
        <v>42</v>
      </c>
      <c r="G69" s="9">
        <v>0.58125000000000004</v>
      </c>
      <c r="H69" s="9">
        <v>0.59236111111111112</v>
      </c>
      <c r="I69" s="10">
        <f t="shared" si="10"/>
        <v>1.1111111111111072E-2</v>
      </c>
      <c r="J69" s="11">
        <v>3</v>
      </c>
      <c r="K69" s="11">
        <v>78.89</v>
      </c>
      <c r="L69" s="16">
        <f t="shared" si="11"/>
        <v>98.612500000000352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1</v>
      </c>
      <c r="W69" s="12"/>
      <c r="X69" s="11"/>
      <c r="Y69" s="11"/>
      <c r="Z69" s="11"/>
      <c r="AA69" s="11"/>
      <c r="AB69" s="11"/>
      <c r="AC69" s="11"/>
      <c r="AD69" s="11">
        <v>16</v>
      </c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1562</v>
      </c>
      <c r="F70" s="8" t="s">
        <v>42</v>
      </c>
      <c r="G70" s="9">
        <v>0.58819444444444446</v>
      </c>
      <c r="H70" s="9">
        <v>0.59375</v>
      </c>
      <c r="I70" s="10">
        <f t="shared" si="10"/>
        <v>5.5555555555555358E-3</v>
      </c>
      <c r="J70" s="11">
        <v>3</v>
      </c>
      <c r="K70" s="11">
        <v>85.08</v>
      </c>
      <c r="L70" s="16">
        <f t="shared" si="11"/>
        <v>212.70000000000076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1</v>
      </c>
      <c r="W70" s="12"/>
      <c r="X70" s="11"/>
      <c r="Y70" s="11"/>
      <c r="Z70" s="11"/>
      <c r="AA70" s="11"/>
      <c r="AB70" s="11">
        <v>8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1563</v>
      </c>
      <c r="F71" s="8" t="s">
        <v>42</v>
      </c>
      <c r="G71" s="9">
        <v>0.59861111111111109</v>
      </c>
      <c r="H71" s="9">
        <v>0.60555555555555551</v>
      </c>
      <c r="I71" s="10">
        <f t="shared" si="10"/>
        <v>6.9444444444444198E-3</v>
      </c>
      <c r="J71" s="11">
        <v>3</v>
      </c>
      <c r="K71" s="11">
        <v>85.29</v>
      </c>
      <c r="L71" s="16">
        <f t="shared" si="11"/>
        <v>170.58000000000061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1</v>
      </c>
      <c r="W71" s="12"/>
      <c r="X71" s="11"/>
      <c r="Y71" s="11"/>
      <c r="Z71" s="11"/>
      <c r="AA71" s="11"/>
      <c r="AB71" s="11"/>
      <c r="AC71" s="11"/>
      <c r="AD71" s="11">
        <v>10</v>
      </c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1564</v>
      </c>
      <c r="F72" s="8" t="s">
        <v>42</v>
      </c>
      <c r="G72" s="9">
        <v>0.6</v>
      </c>
      <c r="H72" s="9">
        <v>0.61041666666666672</v>
      </c>
      <c r="I72" s="10">
        <f t="shared" si="10"/>
        <v>1.0416666666666741E-2</v>
      </c>
      <c r="J72" s="11">
        <v>3</v>
      </c>
      <c r="K72" s="11">
        <v>86.16</v>
      </c>
      <c r="L72" s="16">
        <f t="shared" si="11"/>
        <v>114.87999999999919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1</v>
      </c>
      <c r="W72" s="12"/>
      <c r="X72" s="11"/>
      <c r="Y72" s="11"/>
      <c r="Z72" s="11"/>
      <c r="AA72" s="11"/>
      <c r="AB72" s="11">
        <v>15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1565</v>
      </c>
      <c r="F73" s="8" t="s">
        <v>42</v>
      </c>
      <c r="G73" s="9">
        <v>0.60833333333333328</v>
      </c>
      <c r="H73" s="9">
        <v>0.61388888888888893</v>
      </c>
      <c r="I73" s="10">
        <f t="shared" si="10"/>
        <v>5.5555555555556468E-3</v>
      </c>
      <c r="J73" s="11">
        <v>3</v>
      </c>
      <c r="K73" s="11">
        <v>84.94</v>
      </c>
      <c r="L73" s="16">
        <f t="shared" si="11"/>
        <v>212.3499999999965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1</v>
      </c>
      <c r="W73" s="12"/>
      <c r="X73" s="11"/>
      <c r="Y73" s="11"/>
      <c r="Z73" s="11"/>
      <c r="AA73" s="11"/>
      <c r="AB73" s="11"/>
      <c r="AC73" s="11"/>
      <c r="AD73" s="11">
        <v>8</v>
      </c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1566</v>
      </c>
      <c r="F74" s="8" t="s">
        <v>42</v>
      </c>
      <c r="G74" s="9">
        <v>0.61597222222222225</v>
      </c>
      <c r="H74" s="9">
        <v>0.62430555555555556</v>
      </c>
      <c r="I74" s="10">
        <f t="shared" si="10"/>
        <v>8.3333333333333037E-3</v>
      </c>
      <c r="J74" s="11">
        <v>3</v>
      </c>
      <c r="K74" s="11">
        <v>83.84</v>
      </c>
      <c r="L74" s="16">
        <f t="shared" si="11"/>
        <v>139.73333333333383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1</v>
      </c>
      <c r="W74" s="12"/>
      <c r="X74" s="11"/>
      <c r="Y74" s="11"/>
      <c r="Z74" s="11"/>
      <c r="AA74" s="11"/>
      <c r="AB74" s="11">
        <v>12</v>
      </c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1567</v>
      </c>
      <c r="F75" s="8" t="s">
        <v>42</v>
      </c>
      <c r="G75" s="9">
        <v>0.62152777777777779</v>
      </c>
      <c r="H75" s="9">
        <v>0.62777777777777777</v>
      </c>
      <c r="I75" s="10">
        <f t="shared" si="10"/>
        <v>6.2499999999999778E-3</v>
      </c>
      <c r="J75" s="11">
        <v>3</v>
      </c>
      <c r="K75" s="11">
        <v>85.18</v>
      </c>
      <c r="L75" s="16">
        <f t="shared" si="11"/>
        <v>189.28888888888957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1</v>
      </c>
      <c r="W75" s="12"/>
      <c r="X75" s="11"/>
      <c r="Y75" s="11"/>
      <c r="Z75" s="11"/>
      <c r="AA75" s="11"/>
      <c r="AB75" s="11"/>
      <c r="AC75" s="11"/>
      <c r="AD75" s="11">
        <v>9</v>
      </c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1568</v>
      </c>
      <c r="F76" s="8" t="s">
        <v>42</v>
      </c>
      <c r="G76" s="9">
        <v>0.62708333333333333</v>
      </c>
      <c r="H76" s="9">
        <v>0.63541666666666663</v>
      </c>
      <c r="I76" s="10">
        <f t="shared" si="10"/>
        <v>8.3333333333333037E-3</v>
      </c>
      <c r="J76" s="11">
        <v>3</v>
      </c>
      <c r="K76" s="11">
        <v>84.97</v>
      </c>
      <c r="L76" s="16">
        <f t="shared" si="11"/>
        <v>141.61666666666716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1</v>
      </c>
      <c r="W76" s="12"/>
      <c r="X76" s="11"/>
      <c r="Y76" s="11"/>
      <c r="Z76" s="11"/>
      <c r="AA76" s="11"/>
      <c r="AB76" s="11">
        <v>12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1569</v>
      </c>
      <c r="F77" s="8" t="s">
        <v>42</v>
      </c>
      <c r="G77" s="9">
        <v>0.63402777777777775</v>
      </c>
      <c r="H77" s="9">
        <v>0.63888888888888884</v>
      </c>
      <c r="I77" s="10">
        <f t="shared" si="10"/>
        <v>4.8611111111110938E-3</v>
      </c>
      <c r="J77" s="11">
        <v>3</v>
      </c>
      <c r="K77" s="11">
        <v>84.76</v>
      </c>
      <c r="L77" s="16">
        <f t="shared" si="11"/>
        <v>242.17142857142946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1</v>
      </c>
      <c r="W77" s="12"/>
      <c r="X77" s="11"/>
      <c r="Y77" s="11"/>
      <c r="Z77" s="11"/>
      <c r="AA77" s="11"/>
      <c r="AB77" s="11"/>
      <c r="AC77" s="11"/>
      <c r="AD77" s="11">
        <v>7</v>
      </c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1570</v>
      </c>
      <c r="F78" s="8" t="s">
        <v>42</v>
      </c>
      <c r="G78" s="9">
        <v>0.63888888888888884</v>
      </c>
      <c r="H78" s="9">
        <v>0.64583333333333337</v>
      </c>
      <c r="I78" s="10">
        <f t="shared" si="10"/>
        <v>6.9444444444445308E-3</v>
      </c>
      <c r="J78" s="11">
        <v>3</v>
      </c>
      <c r="K78" s="11">
        <v>82.87</v>
      </c>
      <c r="L78" s="16">
        <f t="shared" si="11"/>
        <v>165.73999999999793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1</v>
      </c>
      <c r="W78" s="12"/>
      <c r="X78" s="11"/>
      <c r="Y78" s="11"/>
      <c r="Z78" s="11"/>
      <c r="AA78" s="11"/>
      <c r="AB78" s="11">
        <v>10</v>
      </c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1571</v>
      </c>
      <c r="F79" s="8" t="s">
        <v>42</v>
      </c>
      <c r="G79" s="9">
        <v>0.65069444444444446</v>
      </c>
      <c r="H79" s="9">
        <v>0.65763888888888888</v>
      </c>
      <c r="I79" s="10">
        <f t="shared" si="10"/>
        <v>6.9444444444444198E-3</v>
      </c>
      <c r="J79" s="11">
        <v>3</v>
      </c>
      <c r="K79" s="11">
        <v>84.02</v>
      </c>
      <c r="L79" s="16">
        <f t="shared" si="11"/>
        <v>168.04000000000059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1</v>
      </c>
      <c r="W79" s="12"/>
      <c r="X79" s="11"/>
      <c r="Y79" s="11"/>
      <c r="Z79" s="11"/>
      <c r="AA79" s="11"/>
      <c r="AB79" s="11"/>
      <c r="AC79" s="11"/>
      <c r="AD79" s="11">
        <v>10</v>
      </c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1572</v>
      </c>
      <c r="F80" s="8" t="s">
        <v>42</v>
      </c>
      <c r="G80" s="9">
        <v>0.66666666666666663</v>
      </c>
      <c r="H80" s="9">
        <v>0.67291666666666672</v>
      </c>
      <c r="I80" s="10">
        <f t="shared" si="10"/>
        <v>6.2500000000000888E-3</v>
      </c>
      <c r="J80" s="11">
        <v>3</v>
      </c>
      <c r="K80" s="11">
        <v>83.2</v>
      </c>
      <c r="L80" s="16">
        <f t="shared" si="11"/>
        <v>184.88888888888627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1</v>
      </c>
      <c r="W80" s="12"/>
      <c r="X80" s="11"/>
      <c r="Y80" s="11"/>
      <c r="Z80" s="11"/>
      <c r="AA80" s="11"/>
      <c r="AB80" s="11">
        <v>9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/>
      <c r="F81" s="19"/>
      <c r="G81" s="19"/>
      <c r="H81" s="19"/>
      <c r="I81" s="19"/>
      <c r="J81" s="19"/>
      <c r="K81" s="19"/>
      <c r="L81" s="19"/>
      <c r="M81" s="19"/>
      <c r="N81" s="11"/>
      <c r="O81" s="11"/>
      <c r="P81" s="11"/>
      <c r="Q81" s="11"/>
      <c r="R81" s="12"/>
      <c r="S81" s="12"/>
      <c r="T81" s="11"/>
      <c r="U81" s="11"/>
      <c r="V81" s="12"/>
      <c r="W81" s="12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6" t="s">
        <v>1679</v>
      </c>
      <c r="E82" s="19" t="s">
        <v>1840</v>
      </c>
      <c r="F82" s="8" t="s">
        <v>42</v>
      </c>
      <c r="G82" s="9">
        <v>0.65694444444444444</v>
      </c>
      <c r="H82" s="9">
        <v>0.66666666666666663</v>
      </c>
      <c r="I82" s="10">
        <f t="shared" si="10"/>
        <v>9.7222222222221877E-3</v>
      </c>
      <c r="J82" s="11">
        <v>4</v>
      </c>
      <c r="K82" s="11">
        <v>124.46</v>
      </c>
      <c r="L82" s="16">
        <f t="shared" si="11"/>
        <v>133.35000000000045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/>
      <c r="AB82" s="11"/>
      <c r="AC82" s="11"/>
      <c r="AD82" s="11">
        <v>14</v>
      </c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1841</v>
      </c>
      <c r="F83" s="8" t="s">
        <v>42</v>
      </c>
      <c r="G83" s="9">
        <v>0.66527777777777775</v>
      </c>
      <c r="H83" s="9">
        <v>0.67569444444444449</v>
      </c>
      <c r="I83" s="10">
        <f t="shared" si="10"/>
        <v>1.0416666666666741E-2</v>
      </c>
      <c r="J83" s="11">
        <v>4</v>
      </c>
      <c r="K83" s="11">
        <v>126.35</v>
      </c>
      <c r="L83" s="16">
        <f t="shared" si="11"/>
        <v>126.3499999999991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/>
      <c r="AB83" s="11"/>
      <c r="AC83" s="11"/>
      <c r="AD83" s="11">
        <v>15</v>
      </c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1842</v>
      </c>
      <c r="F84" s="8" t="s">
        <v>42</v>
      </c>
      <c r="G84" s="9">
        <v>0.67152777777777772</v>
      </c>
      <c r="H84" s="9">
        <v>0.68263888888888891</v>
      </c>
      <c r="I84" s="10">
        <f t="shared" si="10"/>
        <v>1.1111111111111183E-2</v>
      </c>
      <c r="J84" s="11">
        <v>4</v>
      </c>
      <c r="K84" s="11">
        <v>123.53</v>
      </c>
      <c r="L84" s="16">
        <f t="shared" si="11"/>
        <v>115.80937499999925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2</v>
      </c>
      <c r="W84" s="12"/>
      <c r="X84" s="11"/>
      <c r="Y84" s="11"/>
      <c r="Z84" s="11"/>
      <c r="AA84" s="11"/>
      <c r="AB84" s="11"/>
      <c r="AC84" s="11"/>
      <c r="AD84" s="11">
        <v>16</v>
      </c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1843</v>
      </c>
      <c r="F85" s="8" t="s">
        <v>42</v>
      </c>
      <c r="G85" s="9">
        <v>0.68125000000000002</v>
      </c>
      <c r="H85" s="9">
        <v>0.69097222222222221</v>
      </c>
      <c r="I85" s="10">
        <f t="shared" si="10"/>
        <v>9.7222222222221877E-3</v>
      </c>
      <c r="J85" s="11">
        <v>4</v>
      </c>
      <c r="K85" s="11">
        <v>125.44</v>
      </c>
      <c r="L85" s="16">
        <f t="shared" si="11"/>
        <v>134.40000000000046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2</v>
      </c>
      <c r="W85" s="12"/>
      <c r="X85" s="11"/>
      <c r="Y85" s="11"/>
      <c r="Z85" s="11"/>
      <c r="AA85" s="11"/>
      <c r="AB85" s="11"/>
      <c r="AC85" s="11"/>
      <c r="AD85" s="11">
        <v>14</v>
      </c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1844</v>
      </c>
      <c r="F86" s="8" t="s">
        <v>42</v>
      </c>
      <c r="G86" s="9">
        <v>0.68680555555555556</v>
      </c>
      <c r="H86" s="9">
        <v>0.69513888888888886</v>
      </c>
      <c r="I86" s="10">
        <f t="shared" si="10"/>
        <v>8.3333333333333037E-3</v>
      </c>
      <c r="J86" s="11">
        <v>4</v>
      </c>
      <c r="K86" s="11">
        <v>125.4</v>
      </c>
      <c r="L86" s="16">
        <f t="shared" si="11"/>
        <v>156.75000000000057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/>
      <c r="Y86" s="11"/>
      <c r="Z86" s="11"/>
      <c r="AA86" s="11"/>
      <c r="AB86" s="11"/>
      <c r="AC86" s="11"/>
      <c r="AD86" s="11">
        <v>12</v>
      </c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1845</v>
      </c>
      <c r="F87" s="8" t="s">
        <v>42</v>
      </c>
      <c r="G87" s="9">
        <v>0.6958333333333333</v>
      </c>
      <c r="H87" s="9">
        <v>0.70625000000000004</v>
      </c>
      <c r="I87" s="10">
        <f t="shared" si="10"/>
        <v>1.0416666666666741E-2</v>
      </c>
      <c r="J87" s="11">
        <v>4</v>
      </c>
      <c r="K87" s="11">
        <v>127.33</v>
      </c>
      <c r="L87" s="16">
        <f t="shared" si="11"/>
        <v>127.32999999999909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2</v>
      </c>
      <c r="W87" s="12"/>
      <c r="X87" s="11"/>
      <c r="Y87" s="11"/>
      <c r="Z87" s="11"/>
      <c r="AA87" s="11"/>
      <c r="AB87" s="11"/>
      <c r="AC87" s="11"/>
      <c r="AD87" s="11">
        <v>15</v>
      </c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1018</v>
      </c>
      <c r="F88" s="8" t="s">
        <v>42</v>
      </c>
      <c r="G88" s="9">
        <v>0.71527777777777779</v>
      </c>
      <c r="H88" s="9">
        <v>0.71527777777777779</v>
      </c>
      <c r="I88" s="10">
        <f t="shared" si="10"/>
        <v>0</v>
      </c>
      <c r="J88" s="11">
        <v>4</v>
      </c>
      <c r="K88" s="11">
        <v>10.9</v>
      </c>
      <c r="L88" s="16" t="str">
        <f t="shared" si="11"/>
        <v>0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/>
      <c r="AA88" s="11"/>
      <c r="AB88" s="11"/>
      <c r="AC88" s="11">
        <v>5</v>
      </c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1019</v>
      </c>
      <c r="F89" s="8" t="s">
        <v>42</v>
      </c>
      <c r="G89" s="9">
        <v>0.71666666666666667</v>
      </c>
      <c r="H89" s="9">
        <v>0.71666666666666667</v>
      </c>
      <c r="I89" s="10">
        <f t="shared" si="10"/>
        <v>0</v>
      </c>
      <c r="J89" s="11">
        <v>4</v>
      </c>
      <c r="K89" s="11">
        <v>10.69</v>
      </c>
      <c r="L89" s="16" t="str">
        <f t="shared" si="11"/>
        <v>0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/>
      <c r="Z89" s="11"/>
      <c r="AA89" s="11"/>
      <c r="AB89" s="11"/>
      <c r="AC89" s="11">
        <v>5</v>
      </c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1020</v>
      </c>
      <c r="F90" s="8" t="s">
        <v>42</v>
      </c>
      <c r="G90" s="9">
        <v>0.71805555555555556</v>
      </c>
      <c r="H90" s="9">
        <v>0.71805555555555556</v>
      </c>
      <c r="I90" s="10">
        <f t="shared" si="10"/>
        <v>0</v>
      </c>
      <c r="J90" s="11">
        <v>4</v>
      </c>
      <c r="K90" s="11">
        <v>10.56</v>
      </c>
      <c r="L90" s="16" t="str">
        <f t="shared" si="11"/>
        <v>0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/>
      <c r="AA90" s="11"/>
      <c r="AB90" s="11"/>
      <c r="AC90" s="11">
        <v>5</v>
      </c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1021</v>
      </c>
      <c r="F91" s="8" t="s">
        <v>42</v>
      </c>
      <c r="G91" s="9">
        <v>0.71944444444444444</v>
      </c>
      <c r="H91" s="9">
        <v>0.71944444444444444</v>
      </c>
      <c r="I91" s="10">
        <f t="shared" si="10"/>
        <v>0</v>
      </c>
      <c r="J91" s="11">
        <v>4</v>
      </c>
      <c r="K91" s="11">
        <v>10.61</v>
      </c>
      <c r="L91" s="16" t="str">
        <f t="shared" si="11"/>
        <v>0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/>
      <c r="Y91" s="11"/>
      <c r="Z91" s="11"/>
      <c r="AA91" s="11"/>
      <c r="AB91" s="11"/>
      <c r="AC91" s="11">
        <v>5</v>
      </c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1022</v>
      </c>
      <c r="F92" s="8" t="s">
        <v>42</v>
      </c>
      <c r="G92" s="9">
        <v>0.72083333333333333</v>
      </c>
      <c r="H92" s="9">
        <v>0.72083333333333333</v>
      </c>
      <c r="I92" s="10">
        <f t="shared" si="10"/>
        <v>0</v>
      </c>
      <c r="J92" s="11">
        <v>4</v>
      </c>
      <c r="K92" s="11">
        <v>10.61</v>
      </c>
      <c r="L92" s="16" t="str">
        <f t="shared" si="11"/>
        <v>0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/>
      <c r="Z92" s="11"/>
      <c r="AA92" s="11"/>
      <c r="AB92" s="11"/>
      <c r="AC92" s="11">
        <v>5</v>
      </c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1023</v>
      </c>
      <c r="F93" s="8" t="s">
        <v>42</v>
      </c>
      <c r="G93" s="9">
        <v>0.72222222222222221</v>
      </c>
      <c r="H93" s="9">
        <v>0.72222222222222221</v>
      </c>
      <c r="I93" s="10">
        <f t="shared" si="10"/>
        <v>0</v>
      </c>
      <c r="J93" s="11">
        <v>4</v>
      </c>
      <c r="K93" s="11">
        <v>10.48</v>
      </c>
      <c r="L93" s="16" t="str">
        <f t="shared" si="11"/>
        <v>0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2</v>
      </c>
      <c r="X93" s="11"/>
      <c r="Y93" s="11"/>
      <c r="Z93" s="11"/>
      <c r="AA93" s="11"/>
      <c r="AB93" s="11"/>
      <c r="AC93" s="11">
        <v>5</v>
      </c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1729</v>
      </c>
      <c r="F94" s="8" t="s">
        <v>42</v>
      </c>
      <c r="G94" s="9">
        <v>0.72986111111111107</v>
      </c>
      <c r="H94" s="9">
        <v>0.72986111111111107</v>
      </c>
      <c r="I94" s="10">
        <f t="shared" si="10"/>
        <v>0</v>
      </c>
      <c r="J94" s="11">
        <v>4</v>
      </c>
      <c r="K94" s="11">
        <v>58.85</v>
      </c>
      <c r="L94" s="16" t="str">
        <f t="shared" si="11"/>
        <v>0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2</v>
      </c>
      <c r="X94" s="11"/>
      <c r="Y94" s="11"/>
      <c r="Z94" s="11"/>
      <c r="AA94" s="11"/>
      <c r="AB94" s="11"/>
      <c r="AC94" s="11">
        <v>15</v>
      </c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6" t="s">
        <v>1679</v>
      </c>
      <c r="E95" s="19" t="s">
        <v>1846</v>
      </c>
      <c r="F95" s="8" t="s">
        <v>42</v>
      </c>
      <c r="G95" s="9">
        <v>0.7055555555555556</v>
      </c>
      <c r="H95" s="9">
        <v>0.71875</v>
      </c>
      <c r="I95" s="10">
        <f t="shared" si="10"/>
        <v>1.3194444444444398E-2</v>
      </c>
      <c r="J95" s="11">
        <v>8</v>
      </c>
      <c r="K95" s="11">
        <v>132.16</v>
      </c>
      <c r="L95" s="16">
        <f t="shared" si="11"/>
        <v>52.168421052631764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2</v>
      </c>
      <c r="W95" s="12"/>
      <c r="X95" s="11"/>
      <c r="Y95" s="11"/>
      <c r="Z95" s="11"/>
      <c r="AA95" s="11"/>
      <c r="AB95" s="11">
        <v>19</v>
      </c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1847</v>
      </c>
      <c r="F96" s="8" t="s">
        <v>42</v>
      </c>
      <c r="G96" s="9">
        <v>0.71666666666666667</v>
      </c>
      <c r="H96" s="9">
        <v>0.73402777777777772</v>
      </c>
      <c r="I96" s="10">
        <f t="shared" si="10"/>
        <v>1.7361111111111049E-2</v>
      </c>
      <c r="J96" s="11">
        <v>8</v>
      </c>
      <c r="K96" s="11">
        <v>138.6</v>
      </c>
      <c r="L96" s="16">
        <f t="shared" si="11"/>
        <v>41.580000000000148</v>
      </c>
      <c r="M96" s="11"/>
      <c r="N96" s="11"/>
      <c r="O96" s="11"/>
      <c r="P96" s="11"/>
      <c r="Q96" s="11"/>
      <c r="R96" s="12"/>
      <c r="S96" s="12"/>
      <c r="T96" s="11"/>
      <c r="U96" s="11"/>
      <c r="V96" s="12">
        <v>2</v>
      </c>
      <c r="W96" s="12"/>
      <c r="X96" s="11"/>
      <c r="Y96" s="11"/>
      <c r="Z96" s="11"/>
      <c r="AA96" s="11"/>
      <c r="AB96" s="11">
        <v>25</v>
      </c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1:38" ht="25.05" customHeight="1">
      <c r="B97" s="13"/>
      <c r="C97" s="29"/>
      <c r="D97" s="30"/>
      <c r="E97" s="19"/>
      <c r="F97" s="8" t="s">
        <v>42</v>
      </c>
      <c r="G97" s="9"/>
      <c r="H97" s="9"/>
      <c r="I97" s="10">
        <f t="shared" si="10"/>
        <v>0</v>
      </c>
      <c r="J97" s="11"/>
      <c r="K97" s="11"/>
      <c r="L97" s="16" t="str">
        <f t="shared" si="11"/>
        <v>0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1:38" ht="25.05" customHeight="1">
      <c r="B98" s="13"/>
      <c r="C98" s="29"/>
      <c r="D98" s="30"/>
      <c r="E98" s="19"/>
      <c r="F98" s="8" t="s">
        <v>42</v>
      </c>
      <c r="G98" s="9"/>
      <c r="H98" s="9"/>
      <c r="I98" s="10">
        <f t="shared" ref="I98:I101" si="12">H98-G98</f>
        <v>0</v>
      </c>
      <c r="J98" s="11"/>
      <c r="K98" s="11"/>
      <c r="L98" s="16" t="str">
        <f t="shared" ref="L98:L101" si="13">IFERROR(((K98/(J98*I98)/24)),"0")</f>
        <v>0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1:38" ht="25.05" customHeight="1">
      <c r="B99" s="13"/>
      <c r="C99" s="29"/>
      <c r="D99" s="30"/>
      <c r="E99" s="19"/>
      <c r="F99" s="8" t="s">
        <v>42</v>
      </c>
      <c r="G99" s="9"/>
      <c r="H99" s="9"/>
      <c r="I99" s="10">
        <f t="shared" si="12"/>
        <v>0</v>
      </c>
      <c r="J99" s="11"/>
      <c r="K99" s="11"/>
      <c r="L99" s="16" t="str">
        <f t="shared" si="13"/>
        <v>0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1:38" ht="25.05" customHeight="1">
      <c r="B100" s="13"/>
      <c r="C100" s="29"/>
      <c r="D100" s="30"/>
      <c r="E100" s="19"/>
      <c r="F100" s="8" t="s">
        <v>42</v>
      </c>
      <c r="G100" s="9"/>
      <c r="H100" s="9"/>
      <c r="I100" s="10">
        <f t="shared" si="12"/>
        <v>0</v>
      </c>
      <c r="J100" s="11"/>
      <c r="K100" s="11"/>
      <c r="L100" s="16" t="str">
        <f t="shared" si="13"/>
        <v>0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1:38" ht="25.05" customHeight="1">
      <c r="B101" s="13"/>
      <c r="C101" s="29"/>
      <c r="D101" s="30"/>
      <c r="E101" s="19"/>
      <c r="F101" s="8" t="s">
        <v>42</v>
      </c>
      <c r="G101" s="9"/>
      <c r="H101" s="9"/>
      <c r="I101" s="10">
        <f t="shared" si="12"/>
        <v>0</v>
      </c>
      <c r="J101" s="11"/>
      <c r="K101" s="11"/>
      <c r="L101" s="16" t="str">
        <f t="shared" si="13"/>
        <v>0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1:38" s="28" customFormat="1" ht="25.5" customHeight="1" thickBot="1">
      <c r="A102" s="2"/>
      <c r="B102" s="32"/>
      <c r="C102" s="33"/>
      <c r="D102" s="34"/>
      <c r="E102" s="35"/>
      <c r="F102" s="35"/>
      <c r="G102" s="36"/>
      <c r="H102" s="36"/>
      <c r="I102" s="37"/>
      <c r="J102" s="38"/>
      <c r="K102" s="38">
        <f t="shared" ref="K102:AL102" si="14">SUM(K29:K101)</f>
        <v>4391.49</v>
      </c>
      <c r="L102" s="39">
        <f t="shared" si="14"/>
        <v>8196.4328504919122</v>
      </c>
      <c r="M102" s="38">
        <f t="shared" si="14"/>
        <v>0</v>
      </c>
      <c r="N102" s="38">
        <f t="shared" si="14"/>
        <v>0</v>
      </c>
      <c r="O102" s="38">
        <f t="shared" si="14"/>
        <v>0</v>
      </c>
      <c r="P102" s="38">
        <f t="shared" si="14"/>
        <v>0</v>
      </c>
      <c r="Q102" s="38">
        <f t="shared" si="14"/>
        <v>0</v>
      </c>
      <c r="R102" s="38">
        <f t="shared" si="14"/>
        <v>0</v>
      </c>
      <c r="S102" s="38">
        <f t="shared" si="14"/>
        <v>0</v>
      </c>
      <c r="T102" s="38">
        <f t="shared" si="14"/>
        <v>0</v>
      </c>
      <c r="U102" s="38">
        <f t="shared" si="14"/>
        <v>0</v>
      </c>
      <c r="V102" s="38">
        <f t="shared" si="14"/>
        <v>61</v>
      </c>
      <c r="W102" s="38">
        <f t="shared" si="14"/>
        <v>61</v>
      </c>
      <c r="X102" s="38">
        <f t="shared" si="14"/>
        <v>0</v>
      </c>
      <c r="Y102" s="38">
        <f t="shared" si="14"/>
        <v>0</v>
      </c>
      <c r="Z102" s="38">
        <f t="shared" si="14"/>
        <v>0</v>
      </c>
      <c r="AA102" s="38">
        <f t="shared" si="14"/>
        <v>0</v>
      </c>
      <c r="AB102" s="38">
        <f t="shared" si="14"/>
        <v>198</v>
      </c>
      <c r="AC102" s="38">
        <f t="shared" si="14"/>
        <v>189</v>
      </c>
      <c r="AD102" s="38">
        <f t="shared" si="14"/>
        <v>237</v>
      </c>
      <c r="AE102" s="38">
        <f t="shared" si="14"/>
        <v>0</v>
      </c>
      <c r="AF102" s="38">
        <f t="shared" si="14"/>
        <v>0</v>
      </c>
      <c r="AG102" s="38">
        <f t="shared" si="14"/>
        <v>0</v>
      </c>
      <c r="AH102" s="38">
        <f t="shared" si="14"/>
        <v>0</v>
      </c>
      <c r="AI102" s="38">
        <f t="shared" si="14"/>
        <v>0</v>
      </c>
      <c r="AJ102" s="38">
        <f t="shared" si="14"/>
        <v>0</v>
      </c>
      <c r="AK102" s="38">
        <f t="shared" si="14"/>
        <v>0</v>
      </c>
      <c r="AL102" s="38">
        <f t="shared" si="14"/>
        <v>0</v>
      </c>
    </row>
    <row r="103" spans="1:38" ht="38.1" customHeight="1" thickBot="1">
      <c r="B103" s="40" t="s">
        <v>45</v>
      </c>
      <c r="C103" s="41"/>
      <c r="D103" s="41"/>
      <c r="E103" s="41"/>
      <c r="F103" s="41"/>
      <c r="G103" s="41"/>
      <c r="H103" s="41"/>
      <c r="I103" s="41"/>
      <c r="J103" s="41"/>
      <c r="K103" s="42">
        <f>K22+K28+K102</f>
        <v>6429.69</v>
      </c>
      <c r="L103" s="42">
        <f>L22+L28+L102</f>
        <v>8883.1042790633419</v>
      </c>
      <c r="M103" s="43">
        <f t="shared" ref="M103:AL103" si="15">(M22+M28+M102)/(480-15-30)</f>
        <v>0.13333333333333333</v>
      </c>
      <c r="N103" s="43">
        <f t="shared" si="15"/>
        <v>0</v>
      </c>
      <c r="O103" s="43">
        <f t="shared" si="15"/>
        <v>0</v>
      </c>
      <c r="P103" s="43">
        <f t="shared" si="15"/>
        <v>0</v>
      </c>
      <c r="Q103" s="43">
        <f t="shared" si="15"/>
        <v>0</v>
      </c>
      <c r="R103" s="43">
        <f t="shared" si="15"/>
        <v>0.10344827586206896</v>
      </c>
      <c r="S103" s="43">
        <f t="shared" si="15"/>
        <v>1.2873563218390804</v>
      </c>
      <c r="T103" s="43">
        <f t="shared" si="15"/>
        <v>0</v>
      </c>
      <c r="U103" s="43">
        <f t="shared" si="15"/>
        <v>0</v>
      </c>
      <c r="V103" s="43">
        <f t="shared" si="15"/>
        <v>0.14022988505747128</v>
      </c>
      <c r="W103" s="43">
        <f t="shared" si="15"/>
        <v>0.14022988505747128</v>
      </c>
      <c r="X103" s="43">
        <f t="shared" si="15"/>
        <v>0</v>
      </c>
      <c r="Y103" s="43">
        <f t="shared" si="15"/>
        <v>0</v>
      </c>
      <c r="Z103" s="43">
        <f t="shared" si="15"/>
        <v>0</v>
      </c>
      <c r="AA103" s="43">
        <f t="shared" si="15"/>
        <v>0</v>
      </c>
      <c r="AB103" s="43">
        <f t="shared" si="15"/>
        <v>0.45517241379310347</v>
      </c>
      <c r="AC103" s="43">
        <f t="shared" si="15"/>
        <v>0.43448275862068964</v>
      </c>
      <c r="AD103" s="43">
        <f t="shared" si="15"/>
        <v>0.54482758620689653</v>
      </c>
      <c r="AE103" s="43">
        <f t="shared" si="15"/>
        <v>0</v>
      </c>
      <c r="AF103" s="43">
        <f t="shared" si="15"/>
        <v>0</v>
      </c>
      <c r="AG103" s="43">
        <f t="shared" si="15"/>
        <v>0</v>
      </c>
      <c r="AH103" s="43">
        <f t="shared" si="15"/>
        <v>0</v>
      </c>
      <c r="AI103" s="43">
        <f t="shared" si="15"/>
        <v>0</v>
      </c>
      <c r="AJ103" s="43">
        <f t="shared" si="15"/>
        <v>0</v>
      </c>
      <c r="AK103" s="43">
        <f t="shared" si="15"/>
        <v>0</v>
      </c>
      <c r="AL103" s="43">
        <f t="shared" si="15"/>
        <v>0</v>
      </c>
    </row>
    <row r="104" spans="1:38" ht="25.05" customHeight="1">
      <c r="B104" s="44"/>
      <c r="C104" s="44"/>
      <c r="D104" s="44"/>
      <c r="E104" s="45"/>
      <c r="F104" s="45"/>
      <c r="G104" s="45"/>
      <c r="H104" s="45"/>
      <c r="I104" s="46"/>
      <c r="J104" s="46"/>
      <c r="K104" s="45"/>
      <c r="L104" s="47"/>
      <c r="M104" s="47"/>
      <c r="N104" s="47"/>
      <c r="O104" s="47"/>
      <c r="P104" s="47"/>
      <c r="Q104" s="45"/>
      <c r="R104" s="45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  <c r="AI104" s="45"/>
      <c r="AJ104" s="45"/>
    </row>
    <row r="105" spans="1:38" ht="25.05" customHeight="1">
      <c r="B105" s="44"/>
      <c r="C105" s="44"/>
      <c r="D105" s="44"/>
      <c r="E105" s="45"/>
      <c r="F105" s="45"/>
      <c r="G105" s="45"/>
      <c r="H105" s="45"/>
      <c r="I105" s="48" t="s">
        <v>46</v>
      </c>
      <c r="J105" s="46"/>
      <c r="K105" s="45"/>
      <c r="L105" s="47"/>
      <c r="M105" s="47"/>
      <c r="N105" s="47"/>
      <c r="O105" s="47"/>
      <c r="P105" s="47"/>
      <c r="Q105" s="45"/>
      <c r="R105" s="45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  <c r="AI105" s="45"/>
      <c r="AJ105" s="45"/>
    </row>
    <row r="106" spans="1:38" ht="25.05" customHeight="1">
      <c r="B106" s="44"/>
      <c r="C106" s="44"/>
      <c r="D106" s="44"/>
      <c r="E106" s="45"/>
      <c r="F106" s="45"/>
      <c r="G106" s="45"/>
      <c r="H106" s="45"/>
      <c r="I106" s="49" t="s">
        <v>47</v>
      </c>
      <c r="J106" s="9">
        <v>0</v>
      </c>
      <c r="K106" s="11">
        <v>6</v>
      </c>
      <c r="L106" s="11" t="s">
        <v>48</v>
      </c>
      <c r="M106" s="47"/>
      <c r="N106" s="14">
        <v>2</v>
      </c>
      <c r="O106" s="14"/>
      <c r="P106" s="14"/>
      <c r="Q106" s="50" t="s">
        <v>49</v>
      </c>
      <c r="R106" s="51"/>
      <c r="S106" s="45"/>
      <c r="T106" s="45"/>
      <c r="U106" s="45"/>
      <c r="V106" s="45"/>
      <c r="W106" s="45"/>
      <c r="X106" s="45"/>
      <c r="Y106" s="45"/>
      <c r="Z106" s="45"/>
      <c r="AA106" s="45"/>
      <c r="AC106" s="45"/>
      <c r="AD106" s="45"/>
      <c r="AE106" s="45"/>
      <c r="AF106" s="45"/>
      <c r="AG106" s="45"/>
      <c r="AH106" s="45"/>
    </row>
    <row r="107" spans="1:38" ht="25.05" customHeight="1">
      <c r="B107" s="44"/>
      <c r="C107" s="44"/>
      <c r="D107" s="44"/>
      <c r="E107" s="45"/>
      <c r="F107" s="45"/>
      <c r="G107" s="45"/>
      <c r="H107" s="45"/>
      <c r="I107" s="49" t="s">
        <v>50</v>
      </c>
      <c r="J107" s="9">
        <v>0</v>
      </c>
      <c r="K107" s="11">
        <v>0</v>
      </c>
      <c r="L107" s="11" t="s">
        <v>48</v>
      </c>
      <c r="M107" s="47"/>
      <c r="N107" s="14">
        <v>0</v>
      </c>
      <c r="O107" s="14"/>
      <c r="P107" s="14"/>
      <c r="Q107" s="50" t="s">
        <v>51</v>
      </c>
      <c r="R107" s="51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</row>
    <row r="108" spans="1:38" ht="25.05" customHeight="1">
      <c r="B108" s="44"/>
      <c r="C108" s="44"/>
      <c r="D108" s="44"/>
      <c r="E108" s="45"/>
      <c r="F108" s="45"/>
      <c r="G108" s="45"/>
      <c r="H108" s="45"/>
      <c r="I108" s="49" t="s">
        <v>52</v>
      </c>
      <c r="J108" s="9">
        <v>0</v>
      </c>
      <c r="K108" s="11">
        <v>12</v>
      </c>
      <c r="L108" s="11" t="s">
        <v>48</v>
      </c>
      <c r="M108" s="47"/>
      <c r="N108" s="14">
        <v>0</v>
      </c>
      <c r="O108" s="14"/>
      <c r="P108" s="14"/>
      <c r="Q108" s="50" t="s">
        <v>53</v>
      </c>
      <c r="R108" s="51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</row>
    <row r="109" spans="1:38" ht="25.05" customHeight="1">
      <c r="B109" s="44"/>
      <c r="C109" s="44"/>
      <c r="D109" s="44"/>
      <c r="E109" s="45"/>
      <c r="F109" s="45"/>
      <c r="G109" s="45"/>
      <c r="H109" s="45"/>
      <c r="I109" s="52" t="s">
        <v>54</v>
      </c>
      <c r="J109" s="53">
        <v>0</v>
      </c>
      <c r="K109" s="11">
        <v>2</v>
      </c>
      <c r="L109" s="54" t="s">
        <v>48</v>
      </c>
      <c r="M109" s="47"/>
      <c r="N109" s="14">
        <v>3</v>
      </c>
      <c r="O109" s="14"/>
      <c r="P109" s="14"/>
      <c r="Q109" s="50" t="s">
        <v>55</v>
      </c>
      <c r="R109" s="51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</row>
    <row r="110" spans="1:38" ht="25.05" customHeight="1">
      <c r="B110" s="44"/>
      <c r="C110" s="44"/>
      <c r="D110" s="44"/>
      <c r="E110" s="45"/>
      <c r="F110" s="45"/>
      <c r="G110" s="45"/>
      <c r="H110" s="45"/>
      <c r="I110" s="49" t="s">
        <v>56</v>
      </c>
      <c r="J110" s="9">
        <v>0</v>
      </c>
      <c r="K110" s="11">
        <v>20</v>
      </c>
      <c r="L110" s="11" t="s">
        <v>48</v>
      </c>
      <c r="M110" s="47"/>
      <c r="N110"/>
      <c r="O110"/>
      <c r="P110"/>
      <c r="Q110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</row>
    <row r="111" spans="1:38" ht="25.05" customHeight="1">
      <c r="B111" s="44"/>
      <c r="C111" s="44"/>
      <c r="D111" s="44"/>
      <c r="E111" s="45"/>
      <c r="F111" s="45"/>
      <c r="G111" s="45"/>
      <c r="H111" s="45"/>
      <c r="M111" s="47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</row>
    <row r="112" spans="1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07FE1-DA2B-4121-BE97-97DEB3E08037}">
  <sheetPr>
    <pageSetUpPr fitToPage="1"/>
  </sheetPr>
  <dimension ref="A1:AL73"/>
  <sheetViews>
    <sheetView zoomScale="70" zoomScaleNormal="70" workbookViewId="0">
      <pane xSplit="12" ySplit="3" topLeftCell="M58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46094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0.80902777777777779</v>
      </c>
      <c r="I4" s="10">
        <f t="shared" ref="I4:I17" si="0">H4-G4</f>
        <v>1.736111111111116E-2</v>
      </c>
      <c r="J4" s="11">
        <v>8</v>
      </c>
      <c r="K4" s="11">
        <v>0</v>
      </c>
      <c r="L4" s="16">
        <f t="shared" ref="L4:L17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31" t="s">
        <v>1032</v>
      </c>
      <c r="E5" s="122" t="s">
        <v>1848</v>
      </c>
      <c r="F5" s="8" t="s">
        <v>232</v>
      </c>
      <c r="G5" s="9">
        <v>0.80972222222222223</v>
      </c>
      <c r="H5" s="9">
        <v>0.81597222222222221</v>
      </c>
      <c r="I5" s="10">
        <f t="shared" si="0"/>
        <v>6.2499999999999778E-3</v>
      </c>
      <c r="J5" s="11">
        <v>2</v>
      </c>
      <c r="K5" s="11">
        <f>1.4*7</f>
        <v>9.7999999999999989</v>
      </c>
      <c r="L5" s="16">
        <f t="shared" si="1"/>
        <v>32.666666666666778</v>
      </c>
      <c r="M5" s="11">
        <v>9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22" t="s">
        <v>1849</v>
      </c>
      <c r="F6" s="118" t="s">
        <v>798</v>
      </c>
      <c r="G6" s="9">
        <v>0.82361111111111107</v>
      </c>
      <c r="H6" s="9">
        <v>0.83333333333333337</v>
      </c>
      <c r="I6" s="10">
        <f t="shared" si="0"/>
        <v>9.7222222222222987E-3</v>
      </c>
      <c r="J6" s="11">
        <v>2</v>
      </c>
      <c r="K6" s="11">
        <f>21*7</f>
        <v>147</v>
      </c>
      <c r="L6" s="16">
        <f t="shared" si="1"/>
        <v>314.99999999999756</v>
      </c>
      <c r="M6" s="11">
        <v>14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22" t="s">
        <v>1850</v>
      </c>
      <c r="F7" s="55" t="s">
        <v>229</v>
      </c>
      <c r="G7" s="9">
        <v>0.80972222222222223</v>
      </c>
      <c r="H7" s="9">
        <v>0.95138888888888884</v>
      </c>
      <c r="I7" s="10">
        <f t="shared" si="0"/>
        <v>0.14166666666666661</v>
      </c>
      <c r="J7" s="11">
        <v>4</v>
      </c>
      <c r="K7" s="11">
        <f>18.33*7</f>
        <v>128.31</v>
      </c>
      <c r="L7" s="16">
        <f t="shared" si="1"/>
        <v>9.4345588235294162</v>
      </c>
      <c r="M7" s="11"/>
      <c r="N7" s="11"/>
      <c r="O7" s="11"/>
      <c r="P7" s="11"/>
      <c r="Q7" s="11"/>
      <c r="R7" s="12"/>
      <c r="S7" s="12">
        <v>204</v>
      </c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0" t="s">
        <v>1813</v>
      </c>
      <c r="E8" s="15" t="s">
        <v>1851</v>
      </c>
      <c r="F8" s="55" t="s">
        <v>59</v>
      </c>
      <c r="G8" s="9">
        <v>0.81666666666666665</v>
      </c>
      <c r="H8" s="9">
        <v>0.82291666666666663</v>
      </c>
      <c r="I8" s="10">
        <f t="shared" si="0"/>
        <v>6.2499999999999778E-3</v>
      </c>
      <c r="J8" s="11">
        <v>2</v>
      </c>
      <c r="K8" s="11">
        <f>1*10</f>
        <v>10</v>
      </c>
      <c r="L8" s="16">
        <f t="shared" si="1"/>
        <v>33.333333333333449</v>
      </c>
      <c r="M8" s="11">
        <v>9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1852</v>
      </c>
      <c r="F9" s="55" t="s">
        <v>66</v>
      </c>
      <c r="G9" s="9">
        <v>0.83402777777777781</v>
      </c>
      <c r="H9" s="9">
        <v>0.85416666666666663</v>
      </c>
      <c r="I9" s="10">
        <f t="shared" si="0"/>
        <v>2.0138888888888817E-2</v>
      </c>
      <c r="J9" s="11">
        <v>2</v>
      </c>
      <c r="K9" s="11">
        <f>10*10</f>
        <v>100</v>
      </c>
      <c r="L9" s="16">
        <f t="shared" si="1"/>
        <v>103.44827586206934</v>
      </c>
      <c r="M9" s="11">
        <v>29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1853</v>
      </c>
      <c r="F10" s="8" t="s">
        <v>42</v>
      </c>
      <c r="G10" s="9">
        <v>0.80972222222222223</v>
      </c>
      <c r="H10" s="9">
        <v>0.90625</v>
      </c>
      <c r="I10" s="10">
        <f t="shared" si="0"/>
        <v>9.6527777777777768E-2</v>
      </c>
      <c r="J10" s="11">
        <v>2</v>
      </c>
      <c r="K10" s="11">
        <f>4.03*169</f>
        <v>681.07</v>
      </c>
      <c r="L10" s="16">
        <f t="shared" si="1"/>
        <v>146.99352517985614</v>
      </c>
      <c r="M10" s="11"/>
      <c r="N10" s="11"/>
      <c r="O10" s="11"/>
      <c r="P10" s="11"/>
      <c r="Q10" s="11">
        <v>139</v>
      </c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1854</v>
      </c>
      <c r="F11" s="57">
        <v>0.75</v>
      </c>
      <c r="G11" s="9">
        <v>0.85486111111111107</v>
      </c>
      <c r="H11" s="9">
        <v>0.90625</v>
      </c>
      <c r="I11" s="10">
        <f t="shared" si="0"/>
        <v>5.1388888888888928E-2</v>
      </c>
      <c r="J11" s="11">
        <v>2</v>
      </c>
      <c r="K11" s="11">
        <f>68*10</f>
        <v>680</v>
      </c>
      <c r="L11" s="16">
        <f t="shared" si="1"/>
        <v>275.67567567567545</v>
      </c>
      <c r="M11" s="11">
        <v>74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32" t="s">
        <v>1855</v>
      </c>
      <c r="F12" s="55" t="s">
        <v>232</v>
      </c>
      <c r="G12" s="9">
        <v>0.90694444444444444</v>
      </c>
      <c r="H12" s="9">
        <v>0.9375</v>
      </c>
      <c r="I12" s="10">
        <f t="shared" si="0"/>
        <v>3.0555555555555558E-2</v>
      </c>
      <c r="J12" s="11">
        <v>2</v>
      </c>
      <c r="K12" s="11">
        <f>0.96*10</f>
        <v>9.6</v>
      </c>
      <c r="L12" s="16">
        <f t="shared" si="1"/>
        <v>6.5454545454545441</v>
      </c>
      <c r="M12" s="11">
        <v>44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1856</v>
      </c>
      <c r="F13" s="8" t="s">
        <v>42</v>
      </c>
      <c r="G13" s="9">
        <v>0.95833333333333337</v>
      </c>
      <c r="H13" s="9">
        <v>46095.006944444445</v>
      </c>
      <c r="I13" s="10">
        <f t="shared" si="0"/>
        <v>46094.048611111109</v>
      </c>
      <c r="J13" s="11">
        <v>8</v>
      </c>
      <c r="K13" s="11">
        <v>350</v>
      </c>
      <c r="L13" s="16">
        <f t="shared" si="1"/>
        <v>3.9547766394884376E-5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1857</v>
      </c>
      <c r="F14" s="55" t="s">
        <v>63</v>
      </c>
      <c r="G14" s="9">
        <v>5.2083333333333336E-2</v>
      </c>
      <c r="H14" s="9">
        <v>0.11805555555555555</v>
      </c>
      <c r="I14" s="10">
        <f t="shared" si="0"/>
        <v>6.597222222222221E-2</v>
      </c>
      <c r="J14" s="11">
        <v>6</v>
      </c>
      <c r="K14" s="11">
        <f>18.5*10</f>
        <v>185</v>
      </c>
      <c r="L14" s="16">
        <f t="shared" si="1"/>
        <v>19.473684210526319</v>
      </c>
      <c r="M14" s="11"/>
      <c r="N14" s="11"/>
      <c r="O14" s="11"/>
      <c r="P14" s="11"/>
      <c r="Q14" s="11"/>
      <c r="R14" s="12"/>
      <c r="S14" s="12">
        <v>70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E15" s="44" t="s">
        <v>624</v>
      </c>
      <c r="F15" s="8" t="s">
        <v>42</v>
      </c>
      <c r="G15" s="9">
        <v>0.11874999999999999</v>
      </c>
      <c r="H15" s="9">
        <v>0.1388888888888889</v>
      </c>
      <c r="I15" s="10">
        <f t="shared" si="0"/>
        <v>2.0138888888888901E-2</v>
      </c>
      <c r="J15" s="11">
        <v>8</v>
      </c>
      <c r="K15" s="11">
        <v>10</v>
      </c>
      <c r="L15" s="16">
        <f t="shared" si="1"/>
        <v>2.5862068965517229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30" t="s">
        <v>1679</v>
      </c>
      <c r="E16" s="15" t="s">
        <v>1858</v>
      </c>
      <c r="F16" s="8" t="s">
        <v>42</v>
      </c>
      <c r="G16" s="9">
        <v>5.2083333333333336E-2</v>
      </c>
      <c r="H16" s="9">
        <v>0.11458333333333333</v>
      </c>
      <c r="I16" s="10">
        <f t="shared" si="0"/>
        <v>6.2499999999999993E-2</v>
      </c>
      <c r="J16" s="11">
        <v>2</v>
      </c>
      <c r="K16" s="11">
        <f>65.5*6</f>
        <v>393</v>
      </c>
      <c r="L16" s="16">
        <f t="shared" si="1"/>
        <v>131.00000000000003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/>
      <c r="F17" s="55"/>
      <c r="G17" s="9"/>
      <c r="H17" s="9"/>
      <c r="I17" s="10">
        <f t="shared" si="0"/>
        <v>0</v>
      </c>
      <c r="J17" s="11"/>
      <c r="K17" s="11"/>
      <c r="L17" s="16" t="str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s="28" customFormat="1" ht="25.05" customHeight="1">
      <c r="A18" s="2"/>
      <c r="B18" s="21"/>
      <c r="C18" s="22"/>
      <c r="D18" s="23"/>
      <c r="E18" s="24"/>
      <c r="F18" s="24"/>
      <c r="G18" s="25"/>
      <c r="H18" s="25"/>
      <c r="I18" s="26"/>
      <c r="J18" s="27"/>
      <c r="K18" s="27">
        <f t="shared" ref="K18:AL18" si="2">SUM(K4:K17)</f>
        <v>2703.7799999999997</v>
      </c>
      <c r="L18" s="39">
        <f t="shared" si="2"/>
        <v>1076.1574207414271</v>
      </c>
      <c r="M18" s="27">
        <f t="shared" si="2"/>
        <v>179</v>
      </c>
      <c r="N18" s="27">
        <f t="shared" si="2"/>
        <v>0</v>
      </c>
      <c r="O18" s="27">
        <f t="shared" si="2"/>
        <v>0</v>
      </c>
      <c r="P18" s="27">
        <f t="shared" si="2"/>
        <v>0</v>
      </c>
      <c r="Q18" s="27">
        <f t="shared" si="2"/>
        <v>139</v>
      </c>
      <c r="R18" s="27">
        <f t="shared" si="2"/>
        <v>0</v>
      </c>
      <c r="S18" s="27">
        <f t="shared" si="2"/>
        <v>274</v>
      </c>
      <c r="T18" s="27">
        <f t="shared" si="2"/>
        <v>0</v>
      </c>
      <c r="U18" s="27">
        <f t="shared" si="2"/>
        <v>0</v>
      </c>
      <c r="V18" s="27">
        <f t="shared" si="2"/>
        <v>0</v>
      </c>
      <c r="W18" s="27">
        <f t="shared" si="2"/>
        <v>0</v>
      </c>
      <c r="X18" s="27">
        <f t="shared" si="2"/>
        <v>0</v>
      </c>
      <c r="Y18" s="27">
        <f t="shared" si="2"/>
        <v>0</v>
      </c>
      <c r="Z18" s="27">
        <f t="shared" si="2"/>
        <v>0</v>
      </c>
      <c r="AA18" s="27">
        <f t="shared" si="2"/>
        <v>0</v>
      </c>
      <c r="AB18" s="27">
        <f t="shared" si="2"/>
        <v>0</v>
      </c>
      <c r="AC18" s="27">
        <f t="shared" si="2"/>
        <v>0</v>
      </c>
      <c r="AD18" s="27">
        <f t="shared" si="2"/>
        <v>0</v>
      </c>
      <c r="AE18" s="27">
        <f t="shared" si="2"/>
        <v>0</v>
      </c>
      <c r="AF18" s="27">
        <f t="shared" si="2"/>
        <v>0</v>
      </c>
      <c r="AG18" s="27">
        <f t="shared" si="2"/>
        <v>0</v>
      </c>
      <c r="AH18" s="27">
        <f t="shared" si="2"/>
        <v>0</v>
      </c>
      <c r="AI18" s="27">
        <f t="shared" si="2"/>
        <v>0</v>
      </c>
      <c r="AJ18" s="27">
        <f t="shared" si="2"/>
        <v>0</v>
      </c>
      <c r="AK18" s="27">
        <f t="shared" si="2"/>
        <v>0</v>
      </c>
      <c r="AL18" s="27">
        <f t="shared" si="2"/>
        <v>0</v>
      </c>
    </row>
    <row r="19" spans="1:38" ht="25.05" customHeight="1">
      <c r="B19" s="13"/>
      <c r="C19" s="14" t="s">
        <v>43</v>
      </c>
      <c r="D19" s="6"/>
      <c r="E19" s="7" t="s">
        <v>41</v>
      </c>
      <c r="F19" s="8" t="s">
        <v>42</v>
      </c>
      <c r="G19" s="9"/>
      <c r="H19" s="9"/>
      <c r="I19" s="10">
        <f>H19-G19</f>
        <v>0</v>
      </c>
      <c r="J19" s="11"/>
      <c r="K19" s="11"/>
      <c r="L19" s="16" t="str">
        <f>IFERROR(((K19/(J19*I19)/24)),"0")</f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18"/>
      <c r="E20" s="6"/>
      <c r="F20" s="14"/>
      <c r="G20" s="9"/>
      <c r="H20" s="9"/>
      <c r="I20" s="10"/>
      <c r="J20" s="11"/>
      <c r="K20" s="11"/>
      <c r="L20" s="16"/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s="28" customFormat="1" ht="25.05" customHeight="1">
      <c r="A21" s="2"/>
      <c r="B21" s="21"/>
      <c r="C21" s="22"/>
      <c r="D21" s="23"/>
      <c r="E21" s="24"/>
      <c r="F21" s="22"/>
      <c r="G21" s="25"/>
      <c r="H21" s="25"/>
      <c r="I21" s="26"/>
      <c r="J21" s="27"/>
      <c r="K21" s="27">
        <f t="shared" ref="K21:AI21" si="3">SUM(K19:K20)</f>
        <v>0</v>
      </c>
      <c r="L21" s="27">
        <f t="shared" si="3"/>
        <v>0</v>
      </c>
      <c r="M21" s="27">
        <f t="shared" si="3"/>
        <v>0</v>
      </c>
      <c r="N21" s="27">
        <f t="shared" si="3"/>
        <v>0</v>
      </c>
      <c r="O21" s="27">
        <f t="shared" si="3"/>
        <v>0</v>
      </c>
      <c r="P21" s="27">
        <f t="shared" si="3"/>
        <v>0</v>
      </c>
      <c r="Q21" s="27">
        <f t="shared" si="3"/>
        <v>0</v>
      </c>
      <c r="R21" s="27">
        <f t="shared" si="3"/>
        <v>0</v>
      </c>
      <c r="S21" s="27">
        <f t="shared" si="3"/>
        <v>0</v>
      </c>
      <c r="T21" s="27">
        <f t="shared" si="3"/>
        <v>0</v>
      </c>
      <c r="U21" s="27">
        <f t="shared" si="3"/>
        <v>0</v>
      </c>
      <c r="V21" s="27">
        <f t="shared" si="3"/>
        <v>0</v>
      </c>
      <c r="W21" s="27">
        <f t="shared" si="3"/>
        <v>0</v>
      </c>
      <c r="X21" s="27">
        <f t="shared" si="3"/>
        <v>0</v>
      </c>
      <c r="Y21" s="27">
        <f t="shared" si="3"/>
        <v>0</v>
      </c>
      <c r="Z21" s="27">
        <f t="shared" si="3"/>
        <v>0</v>
      </c>
      <c r="AA21" s="27">
        <f t="shared" si="3"/>
        <v>0</v>
      </c>
      <c r="AB21" s="27">
        <f t="shared" si="3"/>
        <v>0</v>
      </c>
      <c r="AC21" s="27">
        <f t="shared" si="3"/>
        <v>0</v>
      </c>
      <c r="AD21" s="27">
        <f t="shared" si="3"/>
        <v>0</v>
      </c>
      <c r="AE21" s="27">
        <f t="shared" si="3"/>
        <v>0</v>
      </c>
      <c r="AF21" s="27">
        <f t="shared" si="3"/>
        <v>0</v>
      </c>
      <c r="AG21" s="27">
        <f t="shared" si="3"/>
        <v>0</v>
      </c>
      <c r="AH21" s="27">
        <f t="shared" si="3"/>
        <v>0</v>
      </c>
      <c r="AI21" s="27">
        <f t="shared" si="3"/>
        <v>0</v>
      </c>
      <c r="AJ21" s="27">
        <f>SUM(AJ19:AJ20)</f>
        <v>0</v>
      </c>
      <c r="AK21" s="27">
        <f>SUM(AK19:AK20)</f>
        <v>0</v>
      </c>
      <c r="AL21" s="27">
        <f>SUM(AL19:AL20)</f>
        <v>0</v>
      </c>
    </row>
    <row r="22" spans="1:38" ht="25.05" customHeight="1">
      <c r="B22" s="5">
        <v>46094</v>
      </c>
      <c r="C22" s="29" t="s">
        <v>44</v>
      </c>
      <c r="D22" s="30"/>
      <c r="E22" s="7" t="s">
        <v>41</v>
      </c>
      <c r="F22" s="8" t="s">
        <v>42</v>
      </c>
      <c r="G22" s="9">
        <v>0.79166666666666663</v>
      </c>
      <c r="H22" s="9">
        <v>0.83333333333333337</v>
      </c>
      <c r="I22" s="10">
        <f t="shared" ref="I22:I55" si="4">H22-G22</f>
        <v>4.1666666666666741E-2</v>
      </c>
      <c r="J22" s="11">
        <v>5</v>
      </c>
      <c r="K22" s="11">
        <v>0</v>
      </c>
      <c r="L22" s="16">
        <f t="shared" ref="L22:L55" si="5">IFERROR(((K22/(J22*I22)/24)),"0")</f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4"/>
    </row>
    <row r="23" spans="1:38" ht="25.05" customHeight="1">
      <c r="B23" s="13"/>
      <c r="C23" s="29"/>
      <c r="D23" s="30" t="s">
        <v>1032</v>
      </c>
      <c r="E23" s="19" t="s">
        <v>1859</v>
      </c>
      <c r="F23" s="8" t="s">
        <v>42</v>
      </c>
      <c r="G23" s="9">
        <v>0.82291666666666663</v>
      </c>
      <c r="H23" s="9">
        <v>0.82847222222222228</v>
      </c>
      <c r="I23" s="10">
        <f t="shared" si="4"/>
        <v>5.5555555555556468E-3</v>
      </c>
      <c r="J23" s="11">
        <v>4</v>
      </c>
      <c r="K23" s="11">
        <f>5*7</f>
        <v>35</v>
      </c>
      <c r="L23" s="16">
        <f t="shared" si="5"/>
        <v>65.62499999999892</v>
      </c>
      <c r="M23" s="11"/>
      <c r="N23" s="11"/>
      <c r="O23" s="11"/>
      <c r="P23" s="11"/>
      <c r="Q23" s="11"/>
      <c r="R23" s="12"/>
      <c r="S23" s="12"/>
      <c r="T23" s="11"/>
      <c r="U23" s="11"/>
      <c r="V23" s="12">
        <v>8</v>
      </c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4"/>
    </row>
    <row r="24" spans="1:38" ht="25.05" customHeight="1">
      <c r="B24" s="13"/>
      <c r="C24" s="29"/>
      <c r="D24" s="30"/>
      <c r="E24" s="19" t="s">
        <v>1033</v>
      </c>
      <c r="F24" s="8" t="s">
        <v>42</v>
      </c>
      <c r="G24" s="9">
        <v>0.85555555555555551</v>
      </c>
      <c r="H24" s="9">
        <v>0.86527777777777781</v>
      </c>
      <c r="I24" s="10">
        <f t="shared" si="4"/>
        <v>9.7222222222222987E-3</v>
      </c>
      <c r="J24" s="11">
        <v>4</v>
      </c>
      <c r="K24" s="11">
        <v>64.11</v>
      </c>
      <c r="L24" s="16">
        <f t="shared" si="5"/>
        <v>68.689285714285177</v>
      </c>
      <c r="M24" s="11"/>
      <c r="N24" s="11"/>
      <c r="O24" s="11"/>
      <c r="P24" s="11"/>
      <c r="Q24" s="11"/>
      <c r="R24" s="12"/>
      <c r="S24" s="12"/>
      <c r="T24" s="11"/>
      <c r="U24" s="11"/>
      <c r="V24" s="12">
        <v>2</v>
      </c>
      <c r="W24" s="12"/>
      <c r="X24" s="11"/>
      <c r="Y24" s="11">
        <f>14/2</f>
        <v>7</v>
      </c>
      <c r="Z24" s="11">
        <f>14/2</f>
        <v>7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4"/>
    </row>
    <row r="25" spans="1:38" ht="25.05" customHeight="1">
      <c r="B25" s="13"/>
      <c r="C25" s="29"/>
      <c r="D25" s="30"/>
      <c r="E25" s="19" t="s">
        <v>1034</v>
      </c>
      <c r="F25" s="8" t="s">
        <v>42</v>
      </c>
      <c r="G25" s="9">
        <v>0.85902777777777772</v>
      </c>
      <c r="H25" s="9">
        <v>0.86944444444444446</v>
      </c>
      <c r="I25" s="10">
        <f t="shared" si="4"/>
        <v>1.0416666666666741E-2</v>
      </c>
      <c r="J25" s="11">
        <v>4</v>
      </c>
      <c r="K25" s="11">
        <v>62.18</v>
      </c>
      <c r="L25" s="16">
        <f t="shared" si="5"/>
        <v>62.179999999999559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>
        <v>2</v>
      </c>
      <c r="X25" s="11">
        <f>15/2</f>
        <v>7.5</v>
      </c>
      <c r="Y25" s="11"/>
      <c r="Z25" s="11"/>
      <c r="AA25" s="11">
        <v>7.5</v>
      </c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4"/>
    </row>
    <row r="26" spans="1:38" ht="25.05" customHeight="1">
      <c r="B26" s="13"/>
      <c r="C26" s="29"/>
      <c r="D26" s="30"/>
      <c r="E26" s="19" t="s">
        <v>1035</v>
      </c>
      <c r="F26" s="8" t="s">
        <v>42</v>
      </c>
      <c r="G26" s="9">
        <v>0.86736111111111114</v>
      </c>
      <c r="H26" s="9">
        <v>0.87986111111111109</v>
      </c>
      <c r="I26" s="10">
        <f t="shared" si="4"/>
        <v>1.2499999999999956E-2</v>
      </c>
      <c r="J26" s="11">
        <v>4</v>
      </c>
      <c r="K26" s="12">
        <v>63.5</v>
      </c>
      <c r="L26" s="16">
        <f t="shared" si="5"/>
        <v>52.916666666666856</v>
      </c>
      <c r="M26" s="11"/>
      <c r="N26" s="11"/>
      <c r="O26" s="11"/>
      <c r="P26" s="11"/>
      <c r="Q26" s="11"/>
      <c r="R26" s="12"/>
      <c r="S26" s="12"/>
      <c r="T26" s="11"/>
      <c r="U26" s="11"/>
      <c r="V26" s="12">
        <v>2</v>
      </c>
      <c r="W26" s="12"/>
      <c r="X26" s="11">
        <f>18/2</f>
        <v>9</v>
      </c>
      <c r="Y26" s="11"/>
      <c r="Z26" s="11">
        <v>9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4"/>
    </row>
    <row r="27" spans="1:38" ht="25.05" customHeight="1">
      <c r="B27" s="13"/>
      <c r="C27" s="29"/>
      <c r="D27" s="30"/>
      <c r="E27" s="19" t="s">
        <v>1036</v>
      </c>
      <c r="F27" s="8" t="s">
        <v>42</v>
      </c>
      <c r="G27" s="9">
        <v>0.87291666666666667</v>
      </c>
      <c r="H27" s="9">
        <v>0.88749999999999996</v>
      </c>
      <c r="I27" s="10">
        <f t="shared" si="4"/>
        <v>1.4583333333333282E-2</v>
      </c>
      <c r="J27" s="11">
        <v>4</v>
      </c>
      <c r="K27" s="11">
        <v>62.17</v>
      </c>
      <c r="L27" s="16">
        <f t="shared" si="5"/>
        <v>44.407142857143015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>
        <v>2</v>
      </c>
      <c r="X27" s="11"/>
      <c r="Y27" s="11">
        <f>21/2</f>
        <v>10.5</v>
      </c>
      <c r="Z27" s="11">
        <f>21/2</f>
        <v>10.5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4"/>
    </row>
    <row r="28" spans="1:38" ht="25.05" customHeight="1">
      <c r="B28" s="13"/>
      <c r="C28" s="29"/>
      <c r="D28" s="30"/>
      <c r="E28" s="19" t="s">
        <v>1037</v>
      </c>
      <c r="F28" s="8" t="s">
        <v>42</v>
      </c>
      <c r="G28" s="9">
        <v>0.87777777777777777</v>
      </c>
      <c r="H28" s="9">
        <v>0.89027777777777772</v>
      </c>
      <c r="I28" s="10">
        <f t="shared" si="4"/>
        <v>1.2499999999999956E-2</v>
      </c>
      <c r="J28" s="11">
        <v>4</v>
      </c>
      <c r="K28" s="11">
        <v>62.08</v>
      </c>
      <c r="L28" s="16">
        <f t="shared" si="5"/>
        <v>51.733333333333519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>
        <f>18/2</f>
        <v>9</v>
      </c>
      <c r="Y28" s="11"/>
      <c r="Z28" s="11"/>
      <c r="AA28" s="11">
        <v>9</v>
      </c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30"/>
      <c r="E29" s="19" t="s">
        <v>1038</v>
      </c>
      <c r="F29" s="8" t="s">
        <v>42</v>
      </c>
      <c r="G29" s="9">
        <v>0.88541666666666663</v>
      </c>
      <c r="H29" s="9">
        <v>0.8979166666666667</v>
      </c>
      <c r="I29" s="10">
        <f t="shared" si="4"/>
        <v>1.2500000000000067E-2</v>
      </c>
      <c r="J29" s="11">
        <v>4</v>
      </c>
      <c r="K29" s="11">
        <v>62.33</v>
      </c>
      <c r="L29" s="16">
        <f t="shared" si="5"/>
        <v>51.941666666666386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>
        <v>2</v>
      </c>
      <c r="X29" s="11"/>
      <c r="Y29" s="11">
        <v>9</v>
      </c>
      <c r="Z29" s="11">
        <v>9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1039</v>
      </c>
      <c r="F30" s="8" t="s">
        <v>42</v>
      </c>
      <c r="G30" s="9">
        <v>0.89166666666666672</v>
      </c>
      <c r="H30" s="9">
        <v>0.90208333333333335</v>
      </c>
      <c r="I30" s="10">
        <f t="shared" si="4"/>
        <v>1.041666666666663E-2</v>
      </c>
      <c r="J30" s="11">
        <v>4</v>
      </c>
      <c r="K30" s="11">
        <v>62.88</v>
      </c>
      <c r="L30" s="16">
        <f t="shared" si="5"/>
        <v>62.880000000000223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>
        <f>15/2</f>
        <v>7.5</v>
      </c>
      <c r="Y30" s="11"/>
      <c r="Z30" s="11"/>
      <c r="AA30" s="11">
        <v>7.5</v>
      </c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1860</v>
      </c>
      <c r="F31" s="8" t="s">
        <v>42</v>
      </c>
      <c r="G31" s="9">
        <v>0.89861111111111114</v>
      </c>
      <c r="H31" s="9">
        <v>0.90833333333333333</v>
      </c>
      <c r="I31" s="10">
        <f t="shared" si="4"/>
        <v>9.7222222222221877E-3</v>
      </c>
      <c r="J31" s="11">
        <v>4</v>
      </c>
      <c r="K31" s="11">
        <v>31.15</v>
      </c>
      <c r="L31" s="16">
        <f t="shared" si="5"/>
        <v>33.375000000000121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2</v>
      </c>
      <c r="X31" s="11"/>
      <c r="Y31" s="11"/>
      <c r="Z31" s="11">
        <v>14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1861</v>
      </c>
      <c r="F32" s="8" t="s">
        <v>42</v>
      </c>
      <c r="G32" s="9">
        <v>0.85277777777777775</v>
      </c>
      <c r="H32" s="9">
        <v>0.88124999999999998</v>
      </c>
      <c r="I32" s="10">
        <f t="shared" si="4"/>
        <v>2.8472222222222232E-2</v>
      </c>
      <c r="J32" s="11">
        <v>4</v>
      </c>
      <c r="K32" s="11">
        <v>126.53</v>
      </c>
      <c r="L32" s="16">
        <f t="shared" si="5"/>
        <v>46.29146341463413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2</v>
      </c>
      <c r="W32" s="12"/>
      <c r="X32" s="11"/>
      <c r="Y32" s="11"/>
      <c r="Z32" s="11"/>
      <c r="AA32" s="11"/>
      <c r="AB32" s="11"/>
      <c r="AC32" s="11"/>
      <c r="AD32" s="11">
        <v>41</v>
      </c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1862</v>
      </c>
      <c r="F33" s="8" t="s">
        <v>42</v>
      </c>
      <c r="G33" s="9">
        <v>0.8930555555555556</v>
      </c>
      <c r="H33" s="9">
        <v>0.92222222222222228</v>
      </c>
      <c r="I33" s="10">
        <f t="shared" si="4"/>
        <v>2.9166666666666674E-2</v>
      </c>
      <c r="J33" s="11">
        <v>4</v>
      </c>
      <c r="K33" s="11">
        <v>125.64</v>
      </c>
      <c r="L33" s="16">
        <f t="shared" si="5"/>
        <v>44.871428571428559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/>
      <c r="Y33" s="11"/>
      <c r="Z33" s="11"/>
      <c r="AA33" s="11"/>
      <c r="AB33" s="11"/>
      <c r="AC33" s="11"/>
      <c r="AD33" s="11">
        <v>42</v>
      </c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1863</v>
      </c>
      <c r="F34" s="8" t="s">
        <v>42</v>
      </c>
      <c r="G34" s="9">
        <v>0.94236111111111109</v>
      </c>
      <c r="H34" s="9">
        <v>0.97361111111111109</v>
      </c>
      <c r="I34" s="10">
        <f t="shared" si="4"/>
        <v>3.125E-2</v>
      </c>
      <c r="J34" s="11">
        <v>4</v>
      </c>
      <c r="K34" s="11">
        <v>126.58</v>
      </c>
      <c r="L34" s="16">
        <f t="shared" si="5"/>
        <v>42.193333333333335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/>
      <c r="AA34" s="11"/>
      <c r="AB34" s="11"/>
      <c r="AC34" s="11"/>
      <c r="AD34" s="11">
        <v>45</v>
      </c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1864</v>
      </c>
      <c r="F35" s="8" t="s">
        <v>42</v>
      </c>
      <c r="G35" s="9">
        <v>6.3194444444444442E-2</v>
      </c>
      <c r="H35" s="9">
        <v>9.166666666666666E-2</v>
      </c>
      <c r="I35" s="10">
        <f t="shared" si="4"/>
        <v>2.8472222222222218E-2</v>
      </c>
      <c r="J35" s="11">
        <v>4</v>
      </c>
      <c r="K35" s="11">
        <v>126.56</v>
      </c>
      <c r="L35" s="16">
        <f t="shared" si="5"/>
        <v>46.302439024390253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/>
      <c r="AA35" s="11"/>
      <c r="AB35" s="11">
        <v>41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1865</v>
      </c>
      <c r="F36" s="8" t="s">
        <v>42</v>
      </c>
      <c r="G36" s="9">
        <v>6.458333333333334E-2</v>
      </c>
      <c r="H36" s="9">
        <v>0.10069444444444445</v>
      </c>
      <c r="I36" s="10">
        <f t="shared" si="4"/>
        <v>3.6111111111111108E-2</v>
      </c>
      <c r="J36" s="11">
        <v>4</v>
      </c>
      <c r="K36" s="11">
        <v>124.81</v>
      </c>
      <c r="L36" s="16">
        <f t="shared" si="5"/>
        <v>36.002884615384623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/>
      <c r="AC36" s="11"/>
      <c r="AD36" s="11">
        <v>52</v>
      </c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1866</v>
      </c>
      <c r="F37" s="8" t="s">
        <v>42</v>
      </c>
      <c r="G37" s="9">
        <v>0.10694444444444444</v>
      </c>
      <c r="H37" s="9">
        <v>0.14027777777777778</v>
      </c>
      <c r="I37" s="10">
        <f t="shared" si="4"/>
        <v>3.333333333333334E-2</v>
      </c>
      <c r="J37" s="11">
        <v>4</v>
      </c>
      <c r="K37" s="12">
        <v>123.2</v>
      </c>
      <c r="L37" s="16">
        <f t="shared" si="5"/>
        <v>38.499999999999993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2</v>
      </c>
      <c r="X37" s="11"/>
      <c r="Y37" s="11"/>
      <c r="Z37" s="11"/>
      <c r="AA37" s="11"/>
      <c r="AB37" s="11">
        <v>48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1867</v>
      </c>
      <c r="F38" s="8" t="s">
        <v>42</v>
      </c>
      <c r="G38" s="9">
        <v>0.1125</v>
      </c>
      <c r="H38" s="9">
        <v>0.14166666666666666</v>
      </c>
      <c r="I38" s="10">
        <f t="shared" si="4"/>
        <v>2.916666666666666E-2</v>
      </c>
      <c r="J38" s="11">
        <v>4</v>
      </c>
      <c r="K38" s="11">
        <v>124.02</v>
      </c>
      <c r="L38" s="16">
        <f t="shared" si="5"/>
        <v>44.292857142857152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/>
      <c r="AC38" s="11"/>
      <c r="AD38" s="11">
        <v>42</v>
      </c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/>
      <c r="F39" s="8"/>
      <c r="G39" s="9"/>
      <c r="H39" s="9"/>
      <c r="I39" s="10"/>
      <c r="J39" s="11"/>
      <c r="K39" s="11"/>
      <c r="L39" s="16" t="str">
        <f t="shared" si="5"/>
        <v>0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 t="s">
        <v>1813</v>
      </c>
      <c r="E40" s="19" t="s">
        <v>1868</v>
      </c>
      <c r="F40" s="8" t="s">
        <v>42</v>
      </c>
      <c r="G40" s="9">
        <v>6.5972222222222224E-2</v>
      </c>
      <c r="H40" s="9">
        <v>0.10069444444444445</v>
      </c>
      <c r="I40" s="10">
        <f t="shared" si="4"/>
        <v>3.4722222222222224E-2</v>
      </c>
      <c r="J40" s="11">
        <v>4</v>
      </c>
      <c r="K40" s="11">
        <v>66.36</v>
      </c>
      <c r="L40" s="16">
        <f t="shared" si="5"/>
        <v>19.907999999999998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>
        <v>50</v>
      </c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1869</v>
      </c>
      <c r="F41" s="8" t="s">
        <v>42</v>
      </c>
      <c r="G41" s="9">
        <v>0.10833333333333334</v>
      </c>
      <c r="H41" s="9">
        <v>0.13263888888888889</v>
      </c>
      <c r="I41" s="10">
        <f t="shared" si="4"/>
        <v>2.4305555555555552E-2</v>
      </c>
      <c r="J41" s="11">
        <v>4</v>
      </c>
      <c r="K41" s="11">
        <v>73.930000000000007</v>
      </c>
      <c r="L41" s="16">
        <f t="shared" si="5"/>
        <v>31.684285714285721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/>
      <c r="AA41" s="11"/>
      <c r="AB41" s="11"/>
      <c r="AC41" s="11">
        <v>35</v>
      </c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1870</v>
      </c>
      <c r="F42" s="8" t="s">
        <v>42</v>
      </c>
      <c r="G42" s="9">
        <v>0.89583333333333337</v>
      </c>
      <c r="H42" s="9">
        <v>0.91666666666666663</v>
      </c>
      <c r="I42" s="10">
        <f t="shared" si="4"/>
        <v>2.0833333333333259E-2</v>
      </c>
      <c r="J42" s="11">
        <v>4</v>
      </c>
      <c r="K42" s="11">
        <v>151.13999999999999</v>
      </c>
      <c r="L42" s="16">
        <f t="shared" si="5"/>
        <v>75.570000000000263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>
        <v>30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1871</v>
      </c>
      <c r="F43" s="8" t="s">
        <v>42</v>
      </c>
      <c r="G43" s="9">
        <v>0.92569444444444449</v>
      </c>
      <c r="H43" s="9">
        <v>0.94305555555555554</v>
      </c>
      <c r="I43" s="10">
        <f t="shared" si="4"/>
        <v>1.7361111111111049E-2</v>
      </c>
      <c r="J43" s="11">
        <v>4</v>
      </c>
      <c r="K43" s="11">
        <v>150.9</v>
      </c>
      <c r="L43" s="16">
        <f t="shared" si="5"/>
        <v>90.540000000000319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/>
      <c r="AA43" s="11"/>
      <c r="AB43" s="11">
        <v>25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1872</v>
      </c>
      <c r="F44" s="8" t="s">
        <v>42</v>
      </c>
      <c r="G44" s="9">
        <v>0.94930555555555551</v>
      </c>
      <c r="H44" s="9">
        <v>0.96736111111111112</v>
      </c>
      <c r="I44" s="10">
        <f t="shared" si="4"/>
        <v>1.8055555555555602E-2</v>
      </c>
      <c r="J44" s="11">
        <v>4</v>
      </c>
      <c r="K44" s="11">
        <v>150.56</v>
      </c>
      <c r="L44" s="16">
        <f t="shared" si="5"/>
        <v>86.861538461538245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>
        <v>26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1873</v>
      </c>
      <c r="F45" s="8" t="s">
        <v>42</v>
      </c>
      <c r="G45" s="9">
        <v>0.97361111111111109</v>
      </c>
      <c r="H45" s="9">
        <v>0.99027777777777781</v>
      </c>
      <c r="I45" s="10">
        <f t="shared" si="4"/>
        <v>1.6666666666666718E-2</v>
      </c>
      <c r="J45" s="11">
        <v>4</v>
      </c>
      <c r="K45" s="11">
        <v>151.32</v>
      </c>
      <c r="L45" s="16">
        <f t="shared" si="5"/>
        <v>94.574999999999704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/>
      <c r="AA45" s="11"/>
      <c r="AB45" s="11">
        <v>24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1874</v>
      </c>
      <c r="F46" s="8" t="s">
        <v>42</v>
      </c>
      <c r="G46" s="9">
        <v>0.97777777777777775</v>
      </c>
      <c r="H46" s="9">
        <v>0.99861111111111112</v>
      </c>
      <c r="I46" s="10">
        <f t="shared" si="4"/>
        <v>2.083333333333337E-2</v>
      </c>
      <c r="J46" s="11">
        <v>4</v>
      </c>
      <c r="K46" s="11">
        <v>150.88</v>
      </c>
      <c r="L46" s="16">
        <f t="shared" si="5"/>
        <v>75.43999999999987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/>
      <c r="AC46" s="11">
        <v>30</v>
      </c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/>
      <c r="F47" s="8" t="s">
        <v>42</v>
      </c>
      <c r="G47" s="9"/>
      <c r="H47" s="9"/>
      <c r="I47" s="10">
        <f t="shared" si="4"/>
        <v>0</v>
      </c>
      <c r="J47" s="11"/>
      <c r="K47" s="11"/>
      <c r="L47" s="16" t="str">
        <f t="shared" si="5"/>
        <v>0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 t="s">
        <v>1679</v>
      </c>
      <c r="E48" s="19" t="s">
        <v>1875</v>
      </c>
      <c r="F48" s="8" t="s">
        <v>42</v>
      </c>
      <c r="G48" s="9">
        <v>0.84513888888888888</v>
      </c>
      <c r="H48" s="9">
        <v>0.87222222222222223</v>
      </c>
      <c r="I48" s="10">
        <f t="shared" si="4"/>
        <v>2.7083333333333348E-2</v>
      </c>
      <c r="J48" s="11">
        <v>5</v>
      </c>
      <c r="K48" s="11">
        <v>64.83</v>
      </c>
      <c r="L48" s="16">
        <f t="shared" si="5"/>
        <v>19.947692307692297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/>
      <c r="AE48" s="11"/>
      <c r="AF48" s="11"/>
      <c r="AG48" s="11">
        <f>39/4</f>
        <v>9.75</v>
      </c>
      <c r="AH48" s="11">
        <f t="shared" ref="AH48:AJ48" si="6">39/4</f>
        <v>9.75</v>
      </c>
      <c r="AI48" s="11">
        <f t="shared" si="6"/>
        <v>9.75</v>
      </c>
      <c r="AJ48" s="11">
        <f t="shared" si="6"/>
        <v>9.75</v>
      </c>
      <c r="AK48" s="11"/>
      <c r="AL48" s="14"/>
    </row>
    <row r="49" spans="1:38" ht="25.05" customHeight="1">
      <c r="B49" s="13"/>
      <c r="C49" s="29"/>
      <c r="D49" s="30"/>
      <c r="E49" s="19" t="s">
        <v>1876</v>
      </c>
      <c r="F49" s="8" t="s">
        <v>42</v>
      </c>
      <c r="G49" s="9">
        <v>0.87291666666666667</v>
      </c>
      <c r="H49" s="9">
        <v>0.89722222222222225</v>
      </c>
      <c r="I49" s="10">
        <f t="shared" si="4"/>
        <v>2.430555555555558E-2</v>
      </c>
      <c r="J49" s="11">
        <v>5</v>
      </c>
      <c r="K49" s="11">
        <v>66.53</v>
      </c>
      <c r="L49" s="16">
        <f t="shared" si="5"/>
        <v>22.810285714285694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>
        <f>35/4</f>
        <v>8.75</v>
      </c>
      <c r="AH49" s="11">
        <f t="shared" ref="AH49:AJ49" si="7">35/4</f>
        <v>8.75</v>
      </c>
      <c r="AI49" s="11">
        <f t="shared" si="7"/>
        <v>8.75</v>
      </c>
      <c r="AJ49" s="11">
        <f t="shared" si="7"/>
        <v>8.75</v>
      </c>
      <c r="AK49" s="11"/>
      <c r="AL49" s="14"/>
    </row>
    <row r="50" spans="1:38" ht="25.05" customHeight="1">
      <c r="B50" s="13"/>
      <c r="C50" s="29"/>
      <c r="D50" s="30"/>
      <c r="E50" s="19" t="s">
        <v>1877</v>
      </c>
      <c r="F50" s="8" t="s">
        <v>42</v>
      </c>
      <c r="G50" s="9">
        <v>0.8979166666666667</v>
      </c>
      <c r="H50" s="9">
        <v>0.9291666666666667</v>
      </c>
      <c r="I50" s="10">
        <f t="shared" si="4"/>
        <v>3.125E-2</v>
      </c>
      <c r="J50" s="11">
        <v>5</v>
      </c>
      <c r="K50" s="12">
        <v>65.099999999999994</v>
      </c>
      <c r="L50" s="16">
        <f t="shared" si="5"/>
        <v>17.36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/>
      <c r="AC50" s="11"/>
      <c r="AD50" s="11"/>
      <c r="AE50" s="11"/>
      <c r="AF50" s="11"/>
      <c r="AG50" s="11">
        <f>45/4</f>
        <v>11.25</v>
      </c>
      <c r="AH50" s="11">
        <f t="shared" ref="AH50:AJ50" si="8">45/4</f>
        <v>11.25</v>
      </c>
      <c r="AI50" s="11">
        <f t="shared" si="8"/>
        <v>11.25</v>
      </c>
      <c r="AJ50" s="11">
        <f t="shared" si="8"/>
        <v>11.25</v>
      </c>
      <c r="AK50" s="11"/>
      <c r="AL50" s="14"/>
    </row>
    <row r="51" spans="1:38" ht="25.05" customHeight="1">
      <c r="B51" s="13"/>
      <c r="C51" s="29"/>
      <c r="D51" s="30"/>
      <c r="E51" s="19" t="s">
        <v>1878</v>
      </c>
      <c r="F51" s="8" t="s">
        <v>42</v>
      </c>
      <c r="G51" s="9">
        <v>0.8881944444444444</v>
      </c>
      <c r="H51" s="9">
        <v>0.94097222222222221</v>
      </c>
      <c r="I51" s="10">
        <f t="shared" si="4"/>
        <v>5.2777777777777812E-2</v>
      </c>
      <c r="J51" s="11">
        <v>5</v>
      </c>
      <c r="K51" s="11">
        <v>65.02</v>
      </c>
      <c r="L51" s="16">
        <f t="shared" si="5"/>
        <v>10.266315789473676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/>
      <c r="AE51" s="11"/>
      <c r="AF51" s="11"/>
      <c r="AG51" s="12">
        <f>76/4</f>
        <v>19</v>
      </c>
      <c r="AH51" s="12">
        <f t="shared" ref="AH51:AJ51" si="9">76/4</f>
        <v>19</v>
      </c>
      <c r="AI51" s="12">
        <f t="shared" si="9"/>
        <v>19</v>
      </c>
      <c r="AJ51" s="12">
        <f t="shared" si="9"/>
        <v>19</v>
      </c>
      <c r="AK51" s="11"/>
      <c r="AL51" s="14"/>
    </row>
    <row r="52" spans="1:38" ht="25.05" customHeight="1">
      <c r="B52" s="13"/>
      <c r="C52" s="29"/>
      <c r="D52" s="30"/>
      <c r="E52" s="19" t="s">
        <v>1879</v>
      </c>
      <c r="F52" s="8" t="s">
        <v>42</v>
      </c>
      <c r="G52" s="9">
        <v>0.9604166666666667</v>
      </c>
      <c r="H52" s="9">
        <v>0.99027777777777781</v>
      </c>
      <c r="I52" s="10">
        <f t="shared" si="4"/>
        <v>2.9861111111111116E-2</v>
      </c>
      <c r="J52" s="11">
        <v>5</v>
      </c>
      <c r="K52" s="11">
        <v>65.12</v>
      </c>
      <c r="L52" s="16">
        <f t="shared" si="5"/>
        <v>18.173023255813952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/>
      <c r="AB52" s="11"/>
      <c r="AC52" s="11"/>
      <c r="AD52" s="11"/>
      <c r="AE52" s="11"/>
      <c r="AF52" s="11"/>
      <c r="AG52" s="11">
        <f>43/4</f>
        <v>10.75</v>
      </c>
      <c r="AH52" s="11">
        <f t="shared" ref="AH52:AJ52" si="10">43/4</f>
        <v>10.75</v>
      </c>
      <c r="AI52" s="11">
        <f t="shared" si="10"/>
        <v>10.75</v>
      </c>
      <c r="AJ52" s="11">
        <f t="shared" si="10"/>
        <v>10.75</v>
      </c>
      <c r="AK52" s="11"/>
      <c r="AL52" s="14"/>
    </row>
    <row r="53" spans="1:38" ht="25.05" customHeight="1">
      <c r="B53" s="13"/>
      <c r="C53" s="29"/>
      <c r="D53" s="30"/>
      <c r="E53" s="19" t="s">
        <v>1880</v>
      </c>
      <c r="F53" s="8" t="s">
        <v>42</v>
      </c>
      <c r="G53" s="9">
        <v>6.7361111111111108E-2</v>
      </c>
      <c r="H53" s="9">
        <v>9.5138888888888884E-2</v>
      </c>
      <c r="I53" s="10">
        <f t="shared" si="4"/>
        <v>2.7777777777777776E-2</v>
      </c>
      <c r="J53" s="11">
        <v>5</v>
      </c>
      <c r="K53" s="12">
        <v>66.099999999999994</v>
      </c>
      <c r="L53" s="16">
        <f t="shared" si="5"/>
        <v>19.829999999999998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/>
      <c r="AD53" s="11"/>
      <c r="AE53" s="11"/>
      <c r="AF53" s="11"/>
      <c r="AG53" s="12">
        <f>40/4</f>
        <v>10</v>
      </c>
      <c r="AH53" s="12">
        <f t="shared" ref="AH53:AJ53" si="11">40/4</f>
        <v>10</v>
      </c>
      <c r="AI53" s="12">
        <f t="shared" si="11"/>
        <v>10</v>
      </c>
      <c r="AJ53" s="12">
        <f t="shared" si="11"/>
        <v>10</v>
      </c>
      <c r="AK53" s="11"/>
      <c r="AL53" s="14"/>
    </row>
    <row r="54" spans="1:38" ht="25.05" customHeight="1">
      <c r="B54" s="13"/>
      <c r="C54" s="29"/>
      <c r="D54" s="30"/>
      <c r="E54" s="19" t="s">
        <v>1881</v>
      </c>
      <c r="F54" s="8" t="s">
        <v>42</v>
      </c>
      <c r="G54" s="9">
        <v>0.92638888888888893</v>
      </c>
      <c r="H54" s="9">
        <v>0.93680555555555556</v>
      </c>
      <c r="I54" s="10">
        <f t="shared" si="4"/>
        <v>1.041666666666663E-2</v>
      </c>
      <c r="J54" s="11">
        <v>4</v>
      </c>
      <c r="K54" s="11">
        <v>34</v>
      </c>
      <c r="L54" s="16">
        <f t="shared" si="5"/>
        <v>34.000000000000121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>
        <v>15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1:38" ht="25.05" customHeight="1">
      <c r="B55" s="13"/>
      <c r="C55" s="29"/>
      <c r="D55" s="30"/>
      <c r="E55" s="19" t="s">
        <v>1882</v>
      </c>
      <c r="F55" s="14"/>
      <c r="G55" s="9">
        <v>0.94374999999999998</v>
      </c>
      <c r="H55" s="9">
        <v>0.95416666666666672</v>
      </c>
      <c r="I55" s="10">
        <f t="shared" si="4"/>
        <v>1.0416666666666741E-2</v>
      </c>
      <c r="J55" s="11">
        <v>4</v>
      </c>
      <c r="K55" s="11">
        <v>34</v>
      </c>
      <c r="L55" s="16">
        <f t="shared" si="5"/>
        <v>33.999999999999758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>
        <v>15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1:38" ht="25.05" customHeight="1">
      <c r="B56" s="13"/>
      <c r="C56" s="29"/>
      <c r="D56" s="30"/>
      <c r="E56" s="19" t="s">
        <v>1883</v>
      </c>
      <c r="F56" s="8" t="s">
        <v>42</v>
      </c>
      <c r="G56" s="9">
        <v>0.95763888888888893</v>
      </c>
      <c r="H56" s="9">
        <v>0.96805555555555556</v>
      </c>
      <c r="I56" s="10">
        <f t="shared" ref="I56:I62" si="12">H56-G56</f>
        <v>1.041666666666663E-2</v>
      </c>
      <c r="J56" s="11">
        <v>4</v>
      </c>
      <c r="K56" s="11">
        <v>34</v>
      </c>
      <c r="L56" s="16">
        <f t="shared" ref="L56:L62" si="13">IFERROR(((K56/(J56*I56)/24)),"0")</f>
        <v>34.000000000000121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>
        <v>15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1:38" ht="25.05" customHeight="1">
      <c r="B57" s="13"/>
      <c r="C57" s="29"/>
      <c r="D57" s="30"/>
      <c r="E57" s="19" t="s">
        <v>1884</v>
      </c>
      <c r="F57" s="8" t="s">
        <v>42</v>
      </c>
      <c r="G57" s="9">
        <v>0.97777777777777775</v>
      </c>
      <c r="H57" s="9">
        <v>0.98819444444444449</v>
      </c>
      <c r="I57" s="10">
        <f t="shared" si="12"/>
        <v>1.0416666666666741E-2</v>
      </c>
      <c r="J57" s="11">
        <v>4</v>
      </c>
      <c r="K57" s="11">
        <v>34</v>
      </c>
      <c r="L57" s="16">
        <f t="shared" si="13"/>
        <v>33.999999999999758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>
        <v>15</v>
      </c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1:38" ht="25.05" customHeight="1">
      <c r="B58" s="13"/>
      <c r="C58" s="29"/>
      <c r="D58" s="30"/>
      <c r="E58" s="19" t="s">
        <v>1885</v>
      </c>
      <c r="F58" s="8" t="s">
        <v>42</v>
      </c>
      <c r="G58" s="9">
        <v>0.99513888888888891</v>
      </c>
      <c r="H58" s="9">
        <v>1.0055555555555555</v>
      </c>
      <c r="I58" s="10">
        <f t="shared" si="12"/>
        <v>1.041666666666663E-2</v>
      </c>
      <c r="J58" s="11">
        <v>4</v>
      </c>
      <c r="K58" s="11">
        <v>34</v>
      </c>
      <c r="L58" s="16">
        <f t="shared" si="13"/>
        <v>34.000000000000121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>
        <v>15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1:38" ht="25.05" customHeight="1">
      <c r="B59" s="13"/>
      <c r="C59" s="29"/>
      <c r="D59" s="30"/>
      <c r="E59" s="19" t="s">
        <v>1886</v>
      </c>
      <c r="F59" s="8" t="s">
        <v>42</v>
      </c>
      <c r="G59" s="9">
        <v>6.458333333333334E-2</v>
      </c>
      <c r="H59" s="9">
        <v>7.4999999999999997E-2</v>
      </c>
      <c r="I59" s="10">
        <f t="shared" si="12"/>
        <v>1.0416666666666657E-2</v>
      </c>
      <c r="J59" s="11">
        <v>4</v>
      </c>
      <c r="K59" s="11">
        <v>34</v>
      </c>
      <c r="L59" s="16">
        <f t="shared" si="13"/>
        <v>34.000000000000028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>
        <v>15</v>
      </c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1:38" ht="25.05" customHeight="1">
      <c r="B60" s="13"/>
      <c r="C60" s="29"/>
      <c r="D60" s="30"/>
      <c r="E60" s="19" t="s">
        <v>1887</v>
      </c>
      <c r="F60" s="8" t="s">
        <v>42</v>
      </c>
      <c r="G60" s="9">
        <v>0.8666666666666667</v>
      </c>
      <c r="H60" s="9">
        <v>0.88402777777777775</v>
      </c>
      <c r="I60" s="10">
        <f t="shared" si="12"/>
        <v>1.7361111111111049E-2</v>
      </c>
      <c r="J60" s="11">
        <v>4</v>
      </c>
      <c r="K60" s="11">
        <v>125.24</v>
      </c>
      <c r="L60" s="16">
        <f t="shared" si="13"/>
        <v>75.144000000000261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>
        <v>25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1:38" ht="25.05" customHeight="1">
      <c r="B61" s="13"/>
      <c r="C61" s="29"/>
      <c r="D61" s="30"/>
      <c r="E61" s="19"/>
      <c r="F61" s="8" t="s">
        <v>42</v>
      </c>
      <c r="G61" s="9"/>
      <c r="H61" s="9"/>
      <c r="I61" s="10">
        <f t="shared" si="12"/>
        <v>0</v>
      </c>
      <c r="J61" s="11"/>
      <c r="K61" s="11"/>
      <c r="L61" s="16" t="str">
        <f t="shared" si="13"/>
        <v>0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1:38" ht="25.05" customHeight="1">
      <c r="B62" s="13"/>
      <c r="C62" s="29"/>
      <c r="D62" s="30"/>
      <c r="E62" s="19"/>
      <c r="F62" s="8" t="s">
        <v>42</v>
      </c>
      <c r="G62" s="9"/>
      <c r="H62" s="9"/>
      <c r="I62" s="10">
        <f t="shared" si="12"/>
        <v>0</v>
      </c>
      <c r="J62" s="11"/>
      <c r="K62" s="11"/>
      <c r="L62" s="16" t="str">
        <f t="shared" si="13"/>
        <v>0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1:38" s="28" customFormat="1" ht="25.5" customHeight="1">
      <c r="A63" s="2"/>
      <c r="B63" s="32"/>
      <c r="C63" s="33"/>
      <c r="D63" s="34"/>
      <c r="E63" s="35"/>
      <c r="F63" s="35"/>
      <c r="G63" s="36"/>
      <c r="H63" s="36"/>
      <c r="I63" s="37"/>
      <c r="J63" s="38"/>
      <c r="K63" s="38">
        <f t="shared" ref="K63:AL63" si="14">SUM(K22:K62)</f>
        <v>2999.77</v>
      </c>
      <c r="L63" s="39">
        <f t="shared" si="14"/>
        <v>1654.312642583212</v>
      </c>
      <c r="M63" s="38">
        <f t="shared" si="14"/>
        <v>0</v>
      </c>
      <c r="N63" s="38">
        <f t="shared" si="14"/>
        <v>0</v>
      </c>
      <c r="O63" s="38">
        <f t="shared" si="14"/>
        <v>0</v>
      </c>
      <c r="P63" s="38">
        <f t="shared" si="14"/>
        <v>0</v>
      </c>
      <c r="Q63" s="38">
        <f t="shared" si="14"/>
        <v>0</v>
      </c>
      <c r="R63" s="38">
        <f t="shared" si="14"/>
        <v>0</v>
      </c>
      <c r="S63" s="38">
        <f t="shared" si="14"/>
        <v>0</v>
      </c>
      <c r="T63" s="38">
        <f t="shared" si="14"/>
        <v>0</v>
      </c>
      <c r="U63" s="38">
        <f t="shared" si="14"/>
        <v>0</v>
      </c>
      <c r="V63" s="38">
        <f t="shared" si="14"/>
        <v>40</v>
      </c>
      <c r="W63" s="38">
        <f t="shared" si="14"/>
        <v>24</v>
      </c>
      <c r="X63" s="38">
        <f t="shared" si="14"/>
        <v>33</v>
      </c>
      <c r="Y63" s="38">
        <f t="shared" si="14"/>
        <v>71.5</v>
      </c>
      <c r="Z63" s="38">
        <f t="shared" si="14"/>
        <v>94.5</v>
      </c>
      <c r="AA63" s="38">
        <f t="shared" si="14"/>
        <v>24</v>
      </c>
      <c r="AB63" s="38">
        <f t="shared" si="14"/>
        <v>219</v>
      </c>
      <c r="AC63" s="38">
        <f t="shared" si="14"/>
        <v>115</v>
      </c>
      <c r="AD63" s="38">
        <f t="shared" si="14"/>
        <v>222</v>
      </c>
      <c r="AE63" s="38">
        <f t="shared" si="14"/>
        <v>0</v>
      </c>
      <c r="AF63" s="38">
        <f t="shared" si="14"/>
        <v>0</v>
      </c>
      <c r="AG63" s="38">
        <f t="shared" si="14"/>
        <v>69.5</v>
      </c>
      <c r="AH63" s="38">
        <f t="shared" si="14"/>
        <v>69.5</v>
      </c>
      <c r="AI63" s="38">
        <f t="shared" si="14"/>
        <v>69.5</v>
      </c>
      <c r="AJ63" s="38">
        <f t="shared" si="14"/>
        <v>69.5</v>
      </c>
      <c r="AK63" s="38">
        <f t="shared" si="14"/>
        <v>0</v>
      </c>
      <c r="AL63" s="38">
        <f t="shared" si="14"/>
        <v>0</v>
      </c>
    </row>
    <row r="64" spans="1:38" ht="38.1" customHeight="1">
      <c r="B64" s="40" t="s">
        <v>45</v>
      </c>
      <c r="C64" s="41"/>
      <c r="D64" s="41"/>
      <c r="E64" s="41"/>
      <c r="F64" s="41"/>
      <c r="G64" s="41"/>
      <c r="H64" s="41"/>
      <c r="I64" s="41"/>
      <c r="J64" s="41"/>
      <c r="K64" s="42">
        <f>K18+K21+K63</f>
        <v>5703.5499999999993</v>
      </c>
      <c r="L64" s="42">
        <f>L18+L21+L63</f>
        <v>2730.4700633246393</v>
      </c>
      <c r="M64" s="43">
        <f t="shared" ref="M64:AL64" si="15">(M18+M21+M63)/(480-15-30)</f>
        <v>0.41149425287356323</v>
      </c>
      <c r="N64" s="43">
        <f t="shared" si="15"/>
        <v>0</v>
      </c>
      <c r="O64" s="43">
        <f t="shared" si="15"/>
        <v>0</v>
      </c>
      <c r="P64" s="43">
        <f t="shared" si="15"/>
        <v>0</v>
      </c>
      <c r="Q64" s="43">
        <f t="shared" si="15"/>
        <v>0.31954022988505748</v>
      </c>
      <c r="R64" s="43">
        <f t="shared" si="15"/>
        <v>0</v>
      </c>
      <c r="S64" s="43">
        <f t="shared" si="15"/>
        <v>0.62988505747126433</v>
      </c>
      <c r="T64" s="43">
        <f t="shared" si="15"/>
        <v>0</v>
      </c>
      <c r="U64" s="43">
        <f t="shared" si="15"/>
        <v>0</v>
      </c>
      <c r="V64" s="43">
        <f t="shared" si="15"/>
        <v>9.1954022988505746E-2</v>
      </c>
      <c r="W64" s="43">
        <f t="shared" si="15"/>
        <v>5.5172413793103448E-2</v>
      </c>
      <c r="X64" s="43">
        <f t="shared" si="15"/>
        <v>7.586206896551724E-2</v>
      </c>
      <c r="Y64" s="43">
        <f t="shared" si="15"/>
        <v>0.16436781609195403</v>
      </c>
      <c r="Z64" s="43">
        <f t="shared" si="15"/>
        <v>0.21724137931034482</v>
      </c>
      <c r="AA64" s="43">
        <f t="shared" si="15"/>
        <v>5.5172413793103448E-2</v>
      </c>
      <c r="AB64" s="43">
        <f t="shared" si="15"/>
        <v>0.50344827586206897</v>
      </c>
      <c r="AC64" s="43">
        <f t="shared" si="15"/>
        <v>0.26436781609195403</v>
      </c>
      <c r="AD64" s="43">
        <f t="shared" si="15"/>
        <v>0.51034482758620692</v>
      </c>
      <c r="AE64" s="43">
        <f t="shared" si="15"/>
        <v>0</v>
      </c>
      <c r="AF64" s="43">
        <f t="shared" si="15"/>
        <v>0</v>
      </c>
      <c r="AG64" s="43">
        <f t="shared" si="15"/>
        <v>0.15977011494252874</v>
      </c>
      <c r="AH64" s="43">
        <f t="shared" si="15"/>
        <v>0.15977011494252874</v>
      </c>
      <c r="AI64" s="43">
        <f t="shared" si="15"/>
        <v>0.15977011494252874</v>
      </c>
      <c r="AJ64" s="43">
        <f t="shared" si="15"/>
        <v>0.15977011494252874</v>
      </c>
      <c r="AK64" s="43">
        <f t="shared" si="15"/>
        <v>0</v>
      </c>
      <c r="AL64" s="43">
        <f t="shared" si="15"/>
        <v>0</v>
      </c>
    </row>
    <row r="65" spans="2:36" ht="25.05" customHeight="1">
      <c r="B65" s="44"/>
      <c r="C65" s="44"/>
      <c r="D65" s="44"/>
      <c r="E65" s="45"/>
      <c r="F65" s="45"/>
      <c r="G65" s="45"/>
      <c r="H65" s="45"/>
      <c r="I65" s="46"/>
      <c r="J65" s="46"/>
      <c r="K65" s="45"/>
      <c r="L65" s="47"/>
      <c r="M65" s="47"/>
      <c r="N65" s="47"/>
      <c r="O65" s="47"/>
      <c r="P65" s="47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</row>
    <row r="66" spans="2:36" ht="25.05" customHeight="1">
      <c r="B66" s="44"/>
      <c r="C66" s="44"/>
      <c r="D66" s="44"/>
      <c r="E66" s="45"/>
      <c r="F66" s="45"/>
      <c r="G66" s="45"/>
      <c r="H66" s="45"/>
      <c r="I66" s="48" t="s">
        <v>46</v>
      </c>
      <c r="J66" s="46"/>
      <c r="K66" s="45"/>
      <c r="L66" s="47"/>
      <c r="M66" s="47"/>
      <c r="N66" s="47"/>
      <c r="O66" s="47"/>
      <c r="P66" s="47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5"/>
      <c r="AJ66" s="45"/>
    </row>
    <row r="67" spans="2:36" ht="25.05" customHeight="1">
      <c r="B67" s="44"/>
      <c r="C67" s="44"/>
      <c r="D67" s="44"/>
      <c r="E67" s="45"/>
      <c r="F67" s="45"/>
      <c r="G67" s="45"/>
      <c r="H67" s="45"/>
      <c r="I67" s="49" t="s">
        <v>47</v>
      </c>
      <c r="J67" s="9">
        <v>0</v>
      </c>
      <c r="K67" s="11">
        <v>8</v>
      </c>
      <c r="L67" s="11" t="s">
        <v>48</v>
      </c>
      <c r="M67" s="47"/>
      <c r="N67" s="14">
        <v>2</v>
      </c>
      <c r="O67" s="14"/>
      <c r="P67" s="14"/>
      <c r="Q67" s="50" t="s">
        <v>49</v>
      </c>
      <c r="R67" s="51"/>
      <c r="S67" s="45"/>
      <c r="T67" s="45"/>
      <c r="U67" s="45"/>
      <c r="V67" s="45"/>
      <c r="W67" s="45"/>
      <c r="X67" s="45"/>
      <c r="Y67" s="45"/>
      <c r="Z67" s="45"/>
      <c r="AA67" s="45"/>
      <c r="AC67" s="45"/>
      <c r="AD67" s="45"/>
      <c r="AE67" s="45"/>
      <c r="AF67" s="45"/>
      <c r="AG67" s="45"/>
      <c r="AH67" s="45"/>
    </row>
    <row r="68" spans="2:36" ht="25.05" customHeight="1">
      <c r="B68" s="44"/>
      <c r="C68" s="44"/>
      <c r="D68" s="44"/>
      <c r="E68" s="45"/>
      <c r="F68" s="45"/>
      <c r="G68" s="45"/>
      <c r="H68" s="45"/>
      <c r="I68" s="49" t="s">
        <v>50</v>
      </c>
      <c r="J68" s="9">
        <v>0</v>
      </c>
      <c r="K68" s="11">
        <v>0</v>
      </c>
      <c r="L68" s="11" t="s">
        <v>48</v>
      </c>
      <c r="M68" s="47"/>
      <c r="N68" s="14">
        <v>0</v>
      </c>
      <c r="O68" s="14"/>
      <c r="P68" s="14"/>
      <c r="Q68" s="50" t="s">
        <v>51</v>
      </c>
      <c r="R68" s="51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</row>
    <row r="69" spans="2:36" ht="25.05" customHeight="1">
      <c r="B69" s="44"/>
      <c r="C69" s="44"/>
      <c r="D69" s="44"/>
      <c r="E69" s="45"/>
      <c r="F69" s="45"/>
      <c r="G69" s="45"/>
      <c r="H69" s="45"/>
      <c r="I69" s="49" t="s">
        <v>52</v>
      </c>
      <c r="J69" s="9">
        <v>0</v>
      </c>
      <c r="K69" s="11">
        <v>17</v>
      </c>
      <c r="L69" s="11" t="s">
        <v>48</v>
      </c>
      <c r="M69" s="47"/>
      <c r="N69" s="14">
        <v>0</v>
      </c>
      <c r="O69" s="14"/>
      <c r="P69" s="14"/>
      <c r="Q69" s="50" t="s">
        <v>53</v>
      </c>
      <c r="R69" s="51"/>
      <c r="S69" s="45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  <c r="AE69" s="45"/>
      <c r="AF69" s="45"/>
      <c r="AG69" s="45"/>
      <c r="AH69" s="45"/>
    </row>
    <row r="70" spans="2:36" ht="25.05" customHeight="1">
      <c r="B70" s="44"/>
      <c r="C70" s="44"/>
      <c r="D70" s="44"/>
      <c r="E70" s="45"/>
      <c r="F70" s="45"/>
      <c r="G70" s="45"/>
      <c r="H70" s="45"/>
      <c r="I70" s="52" t="s">
        <v>54</v>
      </c>
      <c r="J70" s="53">
        <v>0</v>
      </c>
      <c r="K70" s="11">
        <v>2</v>
      </c>
      <c r="L70" s="54" t="s">
        <v>48</v>
      </c>
      <c r="M70" s="47"/>
      <c r="N70" s="14">
        <v>4</v>
      </c>
      <c r="O70" s="14"/>
      <c r="P70" s="14"/>
      <c r="Q70" s="50" t="s">
        <v>55</v>
      </c>
      <c r="R70" s="51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</row>
    <row r="71" spans="2:36" ht="25.05" customHeight="1">
      <c r="B71" s="44"/>
      <c r="C71" s="44"/>
      <c r="D71" s="44"/>
      <c r="E71" s="45"/>
      <c r="F71" s="45"/>
      <c r="G71" s="45"/>
      <c r="H71" s="45"/>
      <c r="I71" s="49" t="s">
        <v>56</v>
      </c>
      <c r="J71" s="9">
        <v>0</v>
      </c>
      <c r="K71" s="11">
        <f>SUM(K67:K70)</f>
        <v>27</v>
      </c>
      <c r="L71" s="11" t="s">
        <v>48</v>
      </c>
      <c r="M71" s="47"/>
      <c r="N71"/>
      <c r="O71"/>
      <c r="P71"/>
      <c r="Q71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</row>
    <row r="72" spans="2:36" ht="25.05" customHeight="1">
      <c r="B72" s="44"/>
      <c r="C72" s="44"/>
      <c r="D72" s="44"/>
      <c r="E72" s="45"/>
      <c r="F72" s="45"/>
      <c r="G72" s="45"/>
      <c r="H72" s="45"/>
      <c r="M72" s="47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</row>
    <row r="73" spans="2:36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1C812-618C-4C24-96E4-B458BE3A80DF}">
  <sheetPr>
    <pageSetUpPr fitToPage="1"/>
  </sheetPr>
  <dimension ref="A1:AL156"/>
  <sheetViews>
    <sheetView zoomScale="70" zoomScaleNormal="70" workbookViewId="0">
      <pane xSplit="12" ySplit="3" topLeftCell="M129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80.44140625" style="2" customWidth="1"/>
    <col min="5" max="5" width="56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1888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2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30" t="s">
        <v>1679</v>
      </c>
      <c r="E5" s="15" t="s">
        <v>1889</v>
      </c>
      <c r="F5" s="55" t="s">
        <v>85</v>
      </c>
      <c r="G5" s="9">
        <v>0.29166666666666669</v>
      </c>
      <c r="H5" s="9">
        <v>0.3125</v>
      </c>
      <c r="I5" s="10">
        <f t="shared" si="0"/>
        <v>2.0833333333333315E-2</v>
      </c>
      <c r="J5" s="11">
        <v>1</v>
      </c>
      <c r="K5" s="11">
        <v>15.18</v>
      </c>
      <c r="L5" s="16">
        <f t="shared" ref="L5:L22" si="1">IFERROR(((K5/(J5*I5)/24)),"0")</f>
        <v>30.360000000000028</v>
      </c>
      <c r="M5" s="11">
        <v>30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 t="s">
        <v>1890</v>
      </c>
      <c r="E6" s="15" t="s">
        <v>1891</v>
      </c>
      <c r="F6" s="14" t="s">
        <v>1892</v>
      </c>
      <c r="G6" s="9">
        <v>0.29166666666666669</v>
      </c>
      <c r="H6" s="9">
        <v>0.375</v>
      </c>
      <c r="I6" s="10">
        <f t="shared" si="0"/>
        <v>8.3333333333333315E-2</v>
      </c>
      <c r="J6" s="11">
        <v>9</v>
      </c>
      <c r="K6" s="11">
        <v>137.5</v>
      </c>
      <c r="L6" s="16">
        <f t="shared" si="1"/>
        <v>7.6388888888888919</v>
      </c>
      <c r="M6" s="11"/>
      <c r="N6" s="11"/>
      <c r="O6" s="11"/>
      <c r="P6" s="11"/>
      <c r="Q6" s="11"/>
      <c r="R6" s="12"/>
      <c r="S6" s="12">
        <v>120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114"/>
      <c r="E7" s="15" t="s">
        <v>1012</v>
      </c>
      <c r="F7" s="130"/>
      <c r="G7" s="9">
        <v>0.29166666666666669</v>
      </c>
      <c r="H7" s="9">
        <v>0.30555555555555558</v>
      </c>
      <c r="I7" s="10">
        <f t="shared" si="0"/>
        <v>1.3888888888888895E-2</v>
      </c>
      <c r="J7" s="11">
        <v>2</v>
      </c>
      <c r="K7" s="11">
        <v>172</v>
      </c>
      <c r="L7" s="16">
        <f t="shared" si="1"/>
        <v>257.99999999999989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0" t="s">
        <v>1893</v>
      </c>
      <c r="E8" s="17" t="s">
        <v>1894</v>
      </c>
      <c r="F8" s="55" t="s">
        <v>1434</v>
      </c>
      <c r="G8" s="9">
        <v>0.31597222222222221</v>
      </c>
      <c r="H8" s="9">
        <v>0.3263888888888889</v>
      </c>
      <c r="I8" s="10">
        <f t="shared" si="0"/>
        <v>1.0416666666666685E-2</v>
      </c>
      <c r="J8" s="11">
        <v>1</v>
      </c>
      <c r="K8" s="11">
        <v>17</v>
      </c>
      <c r="L8" s="16">
        <f t="shared" si="1"/>
        <v>67.999999999999872</v>
      </c>
      <c r="M8" s="11">
        <v>15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7" t="s">
        <v>1895</v>
      </c>
      <c r="F9" s="8" t="s">
        <v>1896</v>
      </c>
      <c r="G9" s="9">
        <v>0.3298611111111111</v>
      </c>
      <c r="H9" s="9">
        <v>0.35069444444444442</v>
      </c>
      <c r="I9" s="10">
        <f t="shared" si="0"/>
        <v>2.0833333333333315E-2</v>
      </c>
      <c r="J9" s="11">
        <v>1</v>
      </c>
      <c r="K9" s="11">
        <v>110</v>
      </c>
      <c r="L9" s="16">
        <f t="shared" si="1"/>
        <v>220.0000000000002</v>
      </c>
      <c r="M9" s="11">
        <v>30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7" t="s">
        <v>1897</v>
      </c>
      <c r="F10" s="59" t="s">
        <v>87</v>
      </c>
      <c r="G10" s="9">
        <v>0.35208333333333336</v>
      </c>
      <c r="H10" s="9">
        <v>0.36666666666666664</v>
      </c>
      <c r="I10" s="10">
        <f t="shared" si="0"/>
        <v>1.4583333333333282E-2</v>
      </c>
      <c r="J10" s="11">
        <v>2</v>
      </c>
      <c r="K10" s="11">
        <v>44</v>
      </c>
      <c r="L10" s="16">
        <f t="shared" si="1"/>
        <v>62.857142857143081</v>
      </c>
      <c r="M10" s="11">
        <v>21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114"/>
      <c r="E11" s="17" t="s">
        <v>1898</v>
      </c>
      <c r="F11" s="142" t="s">
        <v>87</v>
      </c>
      <c r="G11" s="9">
        <v>0.36805555555555558</v>
      </c>
      <c r="H11" s="9">
        <v>0.3888888888888889</v>
      </c>
      <c r="I11" s="10">
        <f t="shared" si="0"/>
        <v>2.0833333333333315E-2</v>
      </c>
      <c r="J11" s="11">
        <v>2</v>
      </c>
      <c r="K11" s="11">
        <v>53</v>
      </c>
      <c r="L11" s="16">
        <f t="shared" si="1"/>
        <v>53.00000000000005</v>
      </c>
      <c r="M11" s="11">
        <v>30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7" t="s">
        <v>1899</v>
      </c>
      <c r="F12" s="20">
        <v>0.5</v>
      </c>
      <c r="G12" s="9">
        <v>0.3923611111111111</v>
      </c>
      <c r="H12" s="9">
        <v>0.4236111111111111</v>
      </c>
      <c r="I12" s="10">
        <f t="shared" si="0"/>
        <v>3.125E-2</v>
      </c>
      <c r="J12" s="11">
        <v>2</v>
      </c>
      <c r="K12" s="11">
        <v>333</v>
      </c>
      <c r="L12" s="16">
        <f t="shared" si="1"/>
        <v>222</v>
      </c>
      <c r="M12" s="11">
        <v>45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7" t="s">
        <v>1900</v>
      </c>
      <c r="F13" s="20" t="s">
        <v>42</v>
      </c>
      <c r="G13" s="9">
        <v>0.29166666666666669</v>
      </c>
      <c r="H13" s="9">
        <v>0.33333333333333331</v>
      </c>
      <c r="I13" s="10">
        <f t="shared" si="0"/>
        <v>4.166666666666663E-2</v>
      </c>
      <c r="J13" s="11">
        <v>2</v>
      </c>
      <c r="K13" s="11">
        <f>4.03*86</f>
        <v>346.58000000000004</v>
      </c>
      <c r="L13" s="16">
        <f t="shared" si="1"/>
        <v>173.29000000000019</v>
      </c>
      <c r="M13" s="11"/>
      <c r="N13" s="11"/>
      <c r="O13" s="11"/>
      <c r="P13" s="11"/>
      <c r="Q13" s="11">
        <v>60</v>
      </c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94</v>
      </c>
      <c r="F14" s="20" t="s">
        <v>42</v>
      </c>
      <c r="G14" s="9">
        <v>0.375</v>
      </c>
      <c r="H14" s="9">
        <v>0.43055555555555558</v>
      </c>
      <c r="I14" s="10">
        <f t="shared" si="0"/>
        <v>5.555555555555558E-2</v>
      </c>
      <c r="J14" s="11">
        <v>10</v>
      </c>
      <c r="K14" s="11" t="s">
        <v>42</v>
      </c>
      <c r="L14" s="16" t="str">
        <f t="shared" si="1"/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30"/>
      <c r="E15" s="15" t="s">
        <v>96</v>
      </c>
      <c r="F15" s="20" t="s">
        <v>42</v>
      </c>
      <c r="G15" s="9">
        <v>0.41666666666666669</v>
      </c>
      <c r="H15" s="9">
        <v>0.43055555555555558</v>
      </c>
      <c r="I15" s="10">
        <f t="shared" si="0"/>
        <v>1.3888888888888895E-2</v>
      </c>
      <c r="J15" s="11">
        <v>3</v>
      </c>
      <c r="K15" s="11" t="s">
        <v>42</v>
      </c>
      <c r="L15" s="16" t="str">
        <f t="shared" si="1"/>
        <v>0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30"/>
      <c r="E16" s="15" t="s">
        <v>104</v>
      </c>
      <c r="F16" s="20" t="s">
        <v>42</v>
      </c>
      <c r="G16" s="9">
        <v>0.43055555555555558</v>
      </c>
      <c r="H16" s="9">
        <v>0.47222222222222221</v>
      </c>
      <c r="I16" s="10">
        <f t="shared" si="0"/>
        <v>4.166666666666663E-2</v>
      </c>
      <c r="J16" s="11">
        <v>14</v>
      </c>
      <c r="K16" s="11" t="s">
        <v>42</v>
      </c>
      <c r="L16" s="16" t="str">
        <f t="shared" si="1"/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30" t="s">
        <v>1679</v>
      </c>
      <c r="E17" s="15" t="s">
        <v>1901</v>
      </c>
      <c r="F17" s="142" t="s">
        <v>310</v>
      </c>
      <c r="G17" s="9">
        <v>0.47222222222222221</v>
      </c>
      <c r="H17" s="9">
        <v>0.58333333333333337</v>
      </c>
      <c r="I17" s="10">
        <f t="shared" si="0"/>
        <v>0.11111111111111116</v>
      </c>
      <c r="J17" s="11">
        <v>9</v>
      </c>
      <c r="K17" s="11">
        <v>452</v>
      </c>
      <c r="L17" s="16">
        <f t="shared" si="1"/>
        <v>18.833333333333325</v>
      </c>
      <c r="M17" s="11"/>
      <c r="N17" s="11"/>
      <c r="O17" s="11"/>
      <c r="P17" s="11"/>
      <c r="Q17" s="11"/>
      <c r="R17" s="12"/>
      <c r="S17" s="12">
        <v>160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30" t="s">
        <v>1813</v>
      </c>
      <c r="E18" s="15" t="s">
        <v>101</v>
      </c>
      <c r="F18" s="130" t="s">
        <v>42</v>
      </c>
      <c r="G18" s="9">
        <v>0.47222222222222221</v>
      </c>
      <c r="H18" s="9">
        <v>0.5</v>
      </c>
      <c r="I18" s="10">
        <f t="shared" si="0"/>
        <v>2.777777777777779E-2</v>
      </c>
      <c r="J18" s="11">
        <v>8</v>
      </c>
      <c r="K18" s="11">
        <v>350</v>
      </c>
      <c r="L18" s="16">
        <f t="shared" si="1"/>
        <v>65.624999999999972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100</v>
      </c>
      <c r="F19" s="8" t="s">
        <v>42</v>
      </c>
      <c r="G19" s="9">
        <v>0.58333333333333337</v>
      </c>
      <c r="H19" s="9">
        <v>0.64583333333333337</v>
      </c>
      <c r="I19" s="10">
        <f t="shared" si="0"/>
        <v>6.25E-2</v>
      </c>
      <c r="J19" s="11">
        <v>6</v>
      </c>
      <c r="K19" s="11">
        <v>490</v>
      </c>
      <c r="L19" s="16">
        <f t="shared" si="1"/>
        <v>54.44444444444445</v>
      </c>
      <c r="M19" s="11"/>
      <c r="N19" s="11"/>
      <c r="O19" s="11"/>
      <c r="P19" s="11"/>
      <c r="Q19" s="11"/>
      <c r="R19" s="12"/>
      <c r="S19" s="12">
        <v>90</v>
      </c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1816</v>
      </c>
      <c r="F20" s="8" t="s">
        <v>99</v>
      </c>
      <c r="G20" s="9">
        <v>0.58333333333333337</v>
      </c>
      <c r="H20" s="9">
        <v>0.64583333333333337</v>
      </c>
      <c r="I20" s="10">
        <f t="shared" si="0"/>
        <v>6.25E-2</v>
      </c>
      <c r="J20" s="11">
        <v>12</v>
      </c>
      <c r="K20" s="11">
        <v>160</v>
      </c>
      <c r="L20" s="16">
        <f t="shared" si="1"/>
        <v>8.8888888888888893</v>
      </c>
      <c r="M20" s="11"/>
      <c r="N20" s="11"/>
      <c r="O20" s="11"/>
      <c r="P20" s="11"/>
      <c r="Q20" s="11"/>
      <c r="R20" s="12">
        <v>90</v>
      </c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96</v>
      </c>
      <c r="F21" s="8" t="s">
        <v>42</v>
      </c>
      <c r="G21" s="9">
        <v>0.64583333333333337</v>
      </c>
      <c r="H21" s="9">
        <v>0.66666666666666663</v>
      </c>
      <c r="I21" s="10">
        <f t="shared" si="0"/>
        <v>2.0833333333333259E-2</v>
      </c>
      <c r="J21" s="11">
        <v>12</v>
      </c>
      <c r="K21" s="11" t="s">
        <v>42</v>
      </c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/>
      <c r="F22" s="8"/>
      <c r="G22" s="9"/>
      <c r="H22" s="9"/>
      <c r="I22" s="10">
        <f t="shared" si="0"/>
        <v>0</v>
      </c>
      <c r="J22" s="11"/>
      <c r="K22" s="11"/>
      <c r="L22" s="16" t="str">
        <f t="shared" si="1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s="28" customFormat="1" ht="25.05" customHeight="1">
      <c r="A23" s="2"/>
      <c r="B23" s="21"/>
      <c r="C23" s="22"/>
      <c r="D23" s="23"/>
      <c r="E23" s="24"/>
      <c r="F23" s="24"/>
      <c r="G23" s="25"/>
      <c r="H23" s="25"/>
      <c r="I23" s="26"/>
      <c r="J23" s="27"/>
      <c r="K23" s="27">
        <f t="shared" ref="K23:AL23" si="2">SUM(K4:K21)</f>
        <v>2680.26</v>
      </c>
      <c r="L23" s="39">
        <f t="shared" si="2"/>
        <v>1242.9376984126989</v>
      </c>
      <c r="M23" s="27">
        <f t="shared" si="2"/>
        <v>171</v>
      </c>
      <c r="N23" s="27">
        <f t="shared" si="2"/>
        <v>0</v>
      </c>
      <c r="O23" s="27">
        <f t="shared" si="2"/>
        <v>0</v>
      </c>
      <c r="P23" s="27">
        <f t="shared" si="2"/>
        <v>0</v>
      </c>
      <c r="Q23" s="27">
        <f t="shared" si="2"/>
        <v>60</v>
      </c>
      <c r="R23" s="27">
        <f t="shared" si="2"/>
        <v>90</v>
      </c>
      <c r="S23" s="27">
        <f t="shared" si="2"/>
        <v>370</v>
      </c>
      <c r="T23" s="27">
        <f t="shared" si="2"/>
        <v>0</v>
      </c>
      <c r="U23" s="27">
        <f t="shared" si="2"/>
        <v>0</v>
      </c>
      <c r="V23" s="27">
        <f t="shared" si="2"/>
        <v>0</v>
      </c>
      <c r="W23" s="27">
        <f t="shared" si="2"/>
        <v>0</v>
      </c>
      <c r="X23" s="27">
        <f t="shared" si="2"/>
        <v>0</v>
      </c>
      <c r="Y23" s="27">
        <f t="shared" si="2"/>
        <v>0</v>
      </c>
      <c r="Z23" s="27">
        <f t="shared" si="2"/>
        <v>0</v>
      </c>
      <c r="AA23" s="27">
        <f t="shared" si="2"/>
        <v>0</v>
      </c>
      <c r="AB23" s="27">
        <f t="shared" si="2"/>
        <v>0</v>
      </c>
      <c r="AC23" s="27">
        <f t="shared" si="2"/>
        <v>0</v>
      </c>
      <c r="AD23" s="27">
        <f t="shared" si="2"/>
        <v>0</v>
      </c>
      <c r="AE23" s="27">
        <f t="shared" si="2"/>
        <v>0</v>
      </c>
      <c r="AF23" s="27">
        <f t="shared" si="2"/>
        <v>0</v>
      </c>
      <c r="AG23" s="27">
        <f t="shared" si="2"/>
        <v>0</v>
      </c>
      <c r="AH23" s="27">
        <f t="shared" si="2"/>
        <v>0</v>
      </c>
      <c r="AI23" s="27">
        <f t="shared" si="2"/>
        <v>0</v>
      </c>
      <c r="AJ23" s="27">
        <f t="shared" si="2"/>
        <v>0</v>
      </c>
      <c r="AK23" s="27">
        <f t="shared" si="2"/>
        <v>0</v>
      </c>
      <c r="AL23" s="27">
        <f t="shared" si="2"/>
        <v>0</v>
      </c>
    </row>
    <row r="24" spans="1:38" ht="25.05" customHeight="1">
      <c r="B24" s="5" t="s">
        <v>1888</v>
      </c>
      <c r="C24" s="14" t="s">
        <v>43</v>
      </c>
      <c r="D24" s="6"/>
      <c r="E24" s="7" t="s">
        <v>41</v>
      </c>
      <c r="F24" s="8" t="s">
        <v>42</v>
      </c>
      <c r="G24" s="9">
        <v>0.29166666666666669</v>
      </c>
      <c r="H24" s="9">
        <v>0.33333333333333331</v>
      </c>
      <c r="I24" s="10">
        <f t="shared" ref="I24:I31" si="3">H24-G24</f>
        <v>4.166666666666663E-2</v>
      </c>
      <c r="J24" s="11">
        <v>3</v>
      </c>
      <c r="K24" s="62" t="s">
        <v>42</v>
      </c>
      <c r="L24" s="64" t="s">
        <v>42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 t="s">
        <v>1432</v>
      </c>
      <c r="E25" s="19" t="s">
        <v>1902</v>
      </c>
      <c r="F25" s="8" t="s">
        <v>42</v>
      </c>
      <c r="G25" s="9">
        <v>0.33333333333333331</v>
      </c>
      <c r="H25" s="9">
        <v>0.45833333333333331</v>
      </c>
      <c r="I25" s="10">
        <f t="shared" si="3"/>
        <v>0.125</v>
      </c>
      <c r="J25" s="11">
        <v>12</v>
      </c>
      <c r="K25" s="11">
        <f>88*5</f>
        <v>440</v>
      </c>
      <c r="L25" s="16">
        <f t="shared" ref="L25:L31" si="4">IFERROR(((K25/(J25*I25)/24)),"0")</f>
        <v>12.222222222222221</v>
      </c>
      <c r="M25" s="11"/>
      <c r="N25" s="11"/>
      <c r="O25" s="11"/>
      <c r="P25" s="11"/>
      <c r="Q25" s="11"/>
      <c r="R25" s="12"/>
      <c r="S25" s="12"/>
      <c r="T25" s="11">
        <v>180</v>
      </c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 t="s">
        <v>1679</v>
      </c>
      <c r="E26" s="15" t="s">
        <v>1903</v>
      </c>
      <c r="F26" s="8" t="s">
        <v>42</v>
      </c>
      <c r="G26" s="9">
        <v>0.45833333333333331</v>
      </c>
      <c r="H26" s="9">
        <v>0.52083333333333337</v>
      </c>
      <c r="I26" s="10">
        <f t="shared" si="3"/>
        <v>6.2500000000000056E-2</v>
      </c>
      <c r="J26" s="11">
        <v>12</v>
      </c>
      <c r="K26" s="62">
        <f>95*5</f>
        <v>475</v>
      </c>
      <c r="L26" s="16">
        <f t="shared" si="4"/>
        <v>26.388888888888868</v>
      </c>
      <c r="M26" s="11"/>
      <c r="N26" s="11"/>
      <c r="O26" s="11"/>
      <c r="P26" s="11"/>
      <c r="Q26" s="11"/>
      <c r="R26" s="12"/>
      <c r="S26" s="12">
        <v>90</v>
      </c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15" t="s">
        <v>104</v>
      </c>
      <c r="F27" s="8" t="s">
        <v>42</v>
      </c>
      <c r="G27" s="9">
        <v>0.52083333333333337</v>
      </c>
      <c r="H27" s="9">
        <v>0.5625</v>
      </c>
      <c r="I27" s="10">
        <f t="shared" si="3"/>
        <v>4.166666666666663E-2</v>
      </c>
      <c r="J27" s="11">
        <v>12</v>
      </c>
      <c r="K27" s="62" t="s">
        <v>42</v>
      </c>
      <c r="L27" s="16" t="str">
        <f t="shared" si="4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 t="s">
        <v>1679</v>
      </c>
      <c r="E28" s="15" t="s">
        <v>1904</v>
      </c>
      <c r="F28" s="8" t="s">
        <v>42</v>
      </c>
      <c r="G28" s="9">
        <v>0.5625</v>
      </c>
      <c r="H28" s="9">
        <v>0.59027777777777779</v>
      </c>
      <c r="I28" s="10">
        <f t="shared" si="3"/>
        <v>2.777777777777779E-2</v>
      </c>
      <c r="J28" s="11">
        <v>12</v>
      </c>
      <c r="K28" s="62">
        <v>95</v>
      </c>
      <c r="L28" s="16">
        <f t="shared" si="4"/>
        <v>11.874999999999995</v>
      </c>
      <c r="M28" s="11"/>
      <c r="N28" s="11"/>
      <c r="O28" s="11"/>
      <c r="P28" s="11"/>
      <c r="Q28" s="11"/>
      <c r="R28" s="12"/>
      <c r="S28" s="12">
        <v>40</v>
      </c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 t="s">
        <v>1432</v>
      </c>
      <c r="E29" s="15" t="s">
        <v>1539</v>
      </c>
      <c r="F29" s="8" t="s">
        <v>42</v>
      </c>
      <c r="G29" s="9">
        <v>0.59027777777777779</v>
      </c>
      <c r="H29" s="9">
        <v>0.6875</v>
      </c>
      <c r="I29" s="10">
        <f t="shared" ref="I29:I30" si="5">H29-G29</f>
        <v>9.722222222222221E-2</v>
      </c>
      <c r="J29" s="11">
        <v>12</v>
      </c>
      <c r="K29" s="62" t="s">
        <v>42</v>
      </c>
      <c r="L29" s="16" t="str">
        <f t="shared" ref="L29:L30" si="6">IFERROR(((K29/(J29*I29)/24)),"0")</f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6"/>
      <c r="E30" s="15" t="s">
        <v>96</v>
      </c>
      <c r="F30" s="8" t="s">
        <v>42</v>
      </c>
      <c r="G30" s="9">
        <v>0.6875</v>
      </c>
      <c r="H30" s="9">
        <v>0.70833333333333337</v>
      </c>
      <c r="I30" s="10">
        <f t="shared" si="5"/>
        <v>2.083333333333337E-2</v>
      </c>
      <c r="J30" s="11">
        <v>12</v>
      </c>
      <c r="K30" s="62" t="s">
        <v>42</v>
      </c>
      <c r="L30" s="16" t="str">
        <f t="shared" si="6"/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4"/>
      <c r="D31" s="18"/>
      <c r="E31" s="6"/>
      <c r="F31" s="8"/>
      <c r="G31" s="9"/>
      <c r="H31" s="9"/>
      <c r="I31" s="10">
        <f t="shared" si="3"/>
        <v>0</v>
      </c>
      <c r="J31" s="11"/>
      <c r="K31" s="62"/>
      <c r="L31" s="16" t="str">
        <f t="shared" si="4"/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s="28" customFormat="1" ht="25.05" customHeight="1">
      <c r="A32" s="2"/>
      <c r="B32" s="21"/>
      <c r="C32" s="22"/>
      <c r="D32" s="23"/>
      <c r="E32" s="24"/>
      <c r="F32" s="22"/>
      <c r="G32" s="25"/>
      <c r="H32" s="25"/>
      <c r="I32" s="26"/>
      <c r="J32" s="27"/>
      <c r="K32" s="27">
        <f t="shared" ref="K32:AL32" si="7">SUM(K24:K31)</f>
        <v>1010</v>
      </c>
      <c r="L32" s="27">
        <f t="shared" si="7"/>
        <v>50.486111111111079</v>
      </c>
      <c r="M32" s="27">
        <f t="shared" si="7"/>
        <v>0</v>
      </c>
      <c r="N32" s="27">
        <f t="shared" si="7"/>
        <v>0</v>
      </c>
      <c r="O32" s="27">
        <f t="shared" si="7"/>
        <v>0</v>
      </c>
      <c r="P32" s="27">
        <f t="shared" si="7"/>
        <v>0</v>
      </c>
      <c r="Q32" s="27">
        <f t="shared" si="7"/>
        <v>0</v>
      </c>
      <c r="R32" s="27">
        <f t="shared" si="7"/>
        <v>0</v>
      </c>
      <c r="S32" s="27">
        <f t="shared" si="7"/>
        <v>130</v>
      </c>
      <c r="T32" s="27">
        <f t="shared" si="7"/>
        <v>180</v>
      </c>
      <c r="U32" s="27">
        <f t="shared" si="7"/>
        <v>0</v>
      </c>
      <c r="V32" s="27">
        <f t="shared" si="7"/>
        <v>0</v>
      </c>
      <c r="W32" s="27">
        <f t="shared" si="7"/>
        <v>0</v>
      </c>
      <c r="X32" s="27">
        <f t="shared" si="7"/>
        <v>0</v>
      </c>
      <c r="Y32" s="27">
        <f t="shared" si="7"/>
        <v>0</v>
      </c>
      <c r="Z32" s="27">
        <f t="shared" si="7"/>
        <v>0</v>
      </c>
      <c r="AA32" s="27">
        <f t="shared" si="7"/>
        <v>0</v>
      </c>
      <c r="AB32" s="27">
        <f t="shared" si="7"/>
        <v>0</v>
      </c>
      <c r="AC32" s="27">
        <f t="shared" si="7"/>
        <v>0</v>
      </c>
      <c r="AD32" s="27">
        <f t="shared" si="7"/>
        <v>0</v>
      </c>
      <c r="AE32" s="27">
        <f t="shared" si="7"/>
        <v>0</v>
      </c>
      <c r="AF32" s="27">
        <f t="shared" si="7"/>
        <v>0</v>
      </c>
      <c r="AG32" s="27">
        <f t="shared" si="7"/>
        <v>0</v>
      </c>
      <c r="AH32" s="27">
        <f t="shared" si="7"/>
        <v>0</v>
      </c>
      <c r="AI32" s="27">
        <f t="shared" si="7"/>
        <v>0</v>
      </c>
      <c r="AJ32" s="27">
        <f t="shared" si="7"/>
        <v>0</v>
      </c>
      <c r="AK32" s="27">
        <f t="shared" si="7"/>
        <v>0</v>
      </c>
      <c r="AL32" s="27">
        <f t="shared" si="7"/>
        <v>0</v>
      </c>
    </row>
    <row r="33" spans="2:38" ht="25.05" customHeight="1">
      <c r="B33" s="5" t="s">
        <v>1888</v>
      </c>
      <c r="C33" s="29" t="s">
        <v>44</v>
      </c>
      <c r="D33" s="30"/>
      <c r="E33" s="7" t="s">
        <v>41</v>
      </c>
      <c r="F33" s="8" t="s">
        <v>42</v>
      </c>
      <c r="G33" s="9">
        <v>0.29166666666666669</v>
      </c>
      <c r="H33" s="9">
        <v>0.2986111111111111</v>
      </c>
      <c r="I33" s="10">
        <f t="shared" ref="I33:I40" si="8">H33-G33</f>
        <v>6.9444444444444198E-3</v>
      </c>
      <c r="J33" s="11">
        <v>4</v>
      </c>
      <c r="K33" s="62" t="s">
        <v>42</v>
      </c>
      <c r="L33" s="64" t="s">
        <v>42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 t="s">
        <v>1890</v>
      </c>
      <c r="E34" s="19" t="s">
        <v>1018</v>
      </c>
      <c r="F34" s="8" t="s">
        <v>42</v>
      </c>
      <c r="G34" s="9">
        <v>0.34583333333333333</v>
      </c>
      <c r="H34" s="9">
        <v>0.34589120370370369</v>
      </c>
      <c r="I34" s="10">
        <f t="shared" si="8"/>
        <v>5.7870370370360913E-5</v>
      </c>
      <c r="J34" s="11">
        <v>4</v>
      </c>
      <c r="K34" s="11">
        <v>32.86</v>
      </c>
      <c r="L34" s="16">
        <f t="shared" ref="L34:L40" si="9">IFERROR(((K34/(J34*I34)/24)),"0")</f>
        <v>5914.800000000967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/>
      <c r="AA34" s="11"/>
      <c r="AB34" s="11">
        <v>1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1019</v>
      </c>
      <c r="F35" s="8" t="s">
        <v>42</v>
      </c>
      <c r="G35" s="9">
        <v>0.34791666666666665</v>
      </c>
      <c r="H35" s="9">
        <v>0.34797453703703701</v>
      </c>
      <c r="I35" s="10">
        <f t="shared" si="8"/>
        <v>5.7870370370360913E-5</v>
      </c>
      <c r="J35" s="11">
        <v>4</v>
      </c>
      <c r="K35" s="11">
        <v>32.99</v>
      </c>
      <c r="L35" s="16">
        <f t="shared" si="9"/>
        <v>5938.2000000009712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/>
      <c r="AA35" s="11"/>
      <c r="AB35" s="11">
        <v>1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1020</v>
      </c>
      <c r="F36" s="8" t="s">
        <v>42</v>
      </c>
      <c r="G36" s="9">
        <v>0.34930555555555554</v>
      </c>
      <c r="H36" s="9">
        <v>0.34936342592592595</v>
      </c>
      <c r="I36" s="10">
        <f t="shared" si="8"/>
        <v>5.7870370370416424E-5</v>
      </c>
      <c r="J36" s="11">
        <v>4</v>
      </c>
      <c r="K36" s="11">
        <v>32.950000000000003</v>
      </c>
      <c r="L36" s="16">
        <f t="shared" si="9"/>
        <v>5930.9999999952806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/>
      <c r="AB36" s="11">
        <v>1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1021</v>
      </c>
      <c r="F37" s="8" t="s">
        <v>42</v>
      </c>
      <c r="G37" s="9">
        <v>0.35069444444444442</v>
      </c>
      <c r="H37" s="9">
        <v>0.35075231481481484</v>
      </c>
      <c r="I37" s="10">
        <f t="shared" si="8"/>
        <v>5.7870370370416424E-5</v>
      </c>
      <c r="J37" s="11">
        <v>4</v>
      </c>
      <c r="K37" s="11">
        <v>31.15</v>
      </c>
      <c r="L37" s="16">
        <f t="shared" si="9"/>
        <v>5606.9999999955371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>
        <v>1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1022</v>
      </c>
      <c r="F38" s="8" t="s">
        <v>42</v>
      </c>
      <c r="G38" s="9">
        <v>0.35138888888888886</v>
      </c>
      <c r="H38" s="9">
        <v>0.35144675925925928</v>
      </c>
      <c r="I38" s="10">
        <f t="shared" si="8"/>
        <v>5.7870370370416424E-5</v>
      </c>
      <c r="J38" s="11">
        <v>4</v>
      </c>
      <c r="K38" s="11">
        <v>32.869999999999997</v>
      </c>
      <c r="L38" s="16">
        <f t="shared" si="9"/>
        <v>5916.599999995291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>
        <v>1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1905</v>
      </c>
      <c r="F39" s="8" t="s">
        <v>42</v>
      </c>
      <c r="G39" s="9">
        <v>0.35347222222222224</v>
      </c>
      <c r="H39" s="9">
        <v>0.3535300925925926</v>
      </c>
      <c r="I39" s="10">
        <f t="shared" si="8"/>
        <v>5.7870370370360913E-5</v>
      </c>
      <c r="J39" s="11">
        <v>4</v>
      </c>
      <c r="K39" s="11">
        <v>16.37</v>
      </c>
      <c r="L39" s="16">
        <f t="shared" si="9"/>
        <v>2946.6000000004819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>
        <v>1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1906</v>
      </c>
      <c r="F40" s="8" t="s">
        <v>42</v>
      </c>
      <c r="G40" s="9">
        <v>0.35833333333333334</v>
      </c>
      <c r="H40" s="9">
        <v>0.35850694444444442</v>
      </c>
      <c r="I40" s="10">
        <f t="shared" si="8"/>
        <v>1.7361111111108274E-4</v>
      </c>
      <c r="J40" s="11">
        <v>4</v>
      </c>
      <c r="K40" s="11">
        <v>95.3</v>
      </c>
      <c r="L40" s="16">
        <f t="shared" si="9"/>
        <v>5718.0000000009341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>
        <v>1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1907</v>
      </c>
      <c r="F41" s="8" t="s">
        <v>42</v>
      </c>
      <c r="G41" s="9">
        <v>0.3659722222222222</v>
      </c>
      <c r="H41" s="9">
        <v>0.36614583333333334</v>
      </c>
      <c r="I41" s="10">
        <f t="shared" ref="I41:I104" si="10">H41-G41</f>
        <v>1.7361111111113825E-4</v>
      </c>
      <c r="J41" s="11">
        <v>4</v>
      </c>
      <c r="K41" s="11">
        <v>88.62</v>
      </c>
      <c r="L41" s="16">
        <f t="shared" ref="L41:L104" si="11">IFERROR(((K41/(J41*I41)/24)),"0")</f>
        <v>5317.1999999991685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/>
      <c r="AA41" s="11"/>
      <c r="AB41" s="11">
        <v>1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1908</v>
      </c>
      <c r="F42" s="8" t="s">
        <v>42</v>
      </c>
      <c r="G42" s="9">
        <v>0.37430555555555556</v>
      </c>
      <c r="H42" s="9">
        <v>0.37447916666666664</v>
      </c>
      <c r="I42" s="10">
        <f t="shared" si="10"/>
        <v>1.7361111111108274E-4</v>
      </c>
      <c r="J42" s="11">
        <v>4</v>
      </c>
      <c r="K42" s="11">
        <v>98.25</v>
      </c>
      <c r="L42" s="16">
        <f t="shared" si="11"/>
        <v>5895.0000000009632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/>
      <c r="Z42" s="11"/>
      <c r="AA42" s="11"/>
      <c r="AB42" s="11">
        <v>1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1909</v>
      </c>
      <c r="F43" s="8" t="s">
        <v>42</v>
      </c>
      <c r="G43" s="9">
        <v>0.41111111111111109</v>
      </c>
      <c r="H43" s="9">
        <v>0.41128472222222223</v>
      </c>
      <c r="I43" s="10">
        <f t="shared" si="10"/>
        <v>1.7361111111113825E-4</v>
      </c>
      <c r="J43" s="11">
        <v>4</v>
      </c>
      <c r="K43" s="11">
        <v>96.87</v>
      </c>
      <c r="L43" s="16">
        <f t="shared" si="11"/>
        <v>5812.1999999990912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/>
      <c r="AA43" s="11"/>
      <c r="AB43" s="11">
        <v>1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1910</v>
      </c>
      <c r="F44" s="8" t="s">
        <v>42</v>
      </c>
      <c r="G44" s="9">
        <v>0.43194444444444446</v>
      </c>
      <c r="H44" s="9">
        <v>0.43211805555555555</v>
      </c>
      <c r="I44" s="10">
        <f t="shared" si="10"/>
        <v>1.7361111111108274E-4</v>
      </c>
      <c r="J44" s="11">
        <v>4</v>
      </c>
      <c r="K44" s="11">
        <v>93.64</v>
      </c>
      <c r="L44" s="16">
        <f t="shared" si="11"/>
        <v>5618.4000000009182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>
        <v>1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1911</v>
      </c>
      <c r="F45" s="8" t="s">
        <v>42</v>
      </c>
      <c r="G45" s="9">
        <v>0.44027777777777777</v>
      </c>
      <c r="H45" s="9">
        <v>0.44045138888888891</v>
      </c>
      <c r="I45" s="10">
        <f t="shared" si="10"/>
        <v>1.7361111111113825E-4</v>
      </c>
      <c r="J45" s="11">
        <v>4</v>
      </c>
      <c r="K45" s="11">
        <v>47.38</v>
      </c>
      <c r="L45" s="16">
        <f t="shared" si="11"/>
        <v>2842.7999999995559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/>
      <c r="AA45" s="11"/>
      <c r="AB45" s="11">
        <v>1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1912</v>
      </c>
      <c r="F46" s="8" t="s">
        <v>42</v>
      </c>
      <c r="G46" s="9">
        <v>0.36736111111111114</v>
      </c>
      <c r="H46" s="9">
        <v>0.36944444444444446</v>
      </c>
      <c r="I46" s="10">
        <f t="shared" si="10"/>
        <v>2.0833333333333259E-3</v>
      </c>
      <c r="J46" s="11">
        <v>4</v>
      </c>
      <c r="K46" s="11">
        <v>30.48</v>
      </c>
      <c r="L46" s="16">
        <f t="shared" si="11"/>
        <v>152.40000000000055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/>
      <c r="AC46" s="11"/>
      <c r="AD46" s="11">
        <v>3</v>
      </c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1913</v>
      </c>
      <c r="F47" s="8" t="s">
        <v>42</v>
      </c>
      <c r="G47" s="9">
        <v>0.37222222222222223</v>
      </c>
      <c r="H47" s="9">
        <v>0.37430555555555556</v>
      </c>
      <c r="I47" s="10">
        <f t="shared" si="10"/>
        <v>2.0833333333333259E-3</v>
      </c>
      <c r="J47" s="11">
        <v>4</v>
      </c>
      <c r="K47" s="11">
        <v>26.32</v>
      </c>
      <c r="L47" s="16">
        <f t="shared" si="11"/>
        <v>131.60000000000048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/>
      <c r="AC47" s="11"/>
      <c r="AD47" s="11">
        <v>3</v>
      </c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1914</v>
      </c>
      <c r="F48" s="8" t="s">
        <v>42</v>
      </c>
      <c r="G48" s="9">
        <v>0.37777777777777777</v>
      </c>
      <c r="H48" s="9">
        <v>0.37986111111111109</v>
      </c>
      <c r="I48" s="10">
        <f t="shared" si="10"/>
        <v>2.0833333333333259E-3</v>
      </c>
      <c r="J48" s="11">
        <v>4</v>
      </c>
      <c r="K48" s="11">
        <v>3.04</v>
      </c>
      <c r="L48" s="16">
        <f t="shared" si="11"/>
        <v>15.200000000000054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>
        <v>3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1915</v>
      </c>
      <c r="F49" s="8" t="s">
        <v>42</v>
      </c>
      <c r="G49" s="9">
        <v>0.3840277777777778</v>
      </c>
      <c r="H49" s="9">
        <v>0.38611111111111113</v>
      </c>
      <c r="I49" s="10">
        <f t="shared" si="10"/>
        <v>2.0833333333333259E-3</v>
      </c>
      <c r="J49" s="11">
        <v>4</v>
      </c>
      <c r="K49" s="11">
        <v>32.119999999999997</v>
      </c>
      <c r="L49" s="16">
        <f t="shared" si="11"/>
        <v>160.60000000000056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/>
      <c r="AC49" s="11"/>
      <c r="AD49" s="11">
        <v>3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1916</v>
      </c>
      <c r="F50" s="8" t="s">
        <v>42</v>
      </c>
      <c r="G50" s="9">
        <v>0.38819444444444445</v>
      </c>
      <c r="H50" s="9">
        <v>0.39027777777777778</v>
      </c>
      <c r="I50" s="10">
        <f t="shared" si="10"/>
        <v>2.0833333333333259E-3</v>
      </c>
      <c r="J50" s="11">
        <v>4</v>
      </c>
      <c r="K50" s="11">
        <v>32.04</v>
      </c>
      <c r="L50" s="16">
        <f t="shared" si="11"/>
        <v>160.20000000000056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/>
      <c r="AC50" s="11"/>
      <c r="AD50" s="11">
        <v>3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1917</v>
      </c>
      <c r="F51" s="8" t="s">
        <v>42</v>
      </c>
      <c r="G51" s="9">
        <v>0.3923611111111111</v>
      </c>
      <c r="H51" s="9">
        <v>0.39444444444444443</v>
      </c>
      <c r="I51" s="10">
        <f t="shared" si="10"/>
        <v>2.0833333333333259E-3</v>
      </c>
      <c r="J51" s="11">
        <v>4</v>
      </c>
      <c r="K51" s="11">
        <v>15.83</v>
      </c>
      <c r="L51" s="16">
        <f t="shared" si="11"/>
        <v>79.150000000000276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/>
      <c r="AB51" s="11"/>
      <c r="AC51" s="11"/>
      <c r="AD51" s="11">
        <v>3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/>
      <c r="F52" s="8"/>
      <c r="G52" s="9"/>
      <c r="H52" s="9"/>
      <c r="I52" s="10"/>
      <c r="J52" s="11"/>
      <c r="K52" s="11"/>
      <c r="L52" s="16"/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 t="s">
        <v>1032</v>
      </c>
      <c r="E53" s="19" t="s">
        <v>1060</v>
      </c>
      <c r="F53" s="8" t="s">
        <v>42</v>
      </c>
      <c r="G53" s="9">
        <v>0.45069444444444445</v>
      </c>
      <c r="H53" s="9">
        <v>0.45347222222222222</v>
      </c>
      <c r="I53" s="10">
        <f t="shared" si="10"/>
        <v>2.7777777777777679E-3</v>
      </c>
      <c r="J53" s="11">
        <v>4</v>
      </c>
      <c r="K53" s="11">
        <v>45.36</v>
      </c>
      <c r="L53" s="16">
        <f t="shared" si="11"/>
        <v>170.10000000000062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>
        <v>4</v>
      </c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1061</v>
      </c>
      <c r="F54" s="8" t="s">
        <v>42</v>
      </c>
      <c r="G54" s="9">
        <v>0.45624999999999999</v>
      </c>
      <c r="H54" s="9">
        <v>0.45902777777777776</v>
      </c>
      <c r="I54" s="10">
        <f t="shared" si="10"/>
        <v>2.7777777777777679E-3</v>
      </c>
      <c r="J54" s="11">
        <v>4</v>
      </c>
      <c r="K54" s="11">
        <v>45.46</v>
      </c>
      <c r="L54" s="16">
        <f t="shared" si="11"/>
        <v>170.47500000000062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>
        <v>4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1062</v>
      </c>
      <c r="F55" s="8" t="s">
        <v>42</v>
      </c>
      <c r="G55" s="9">
        <v>0.46180555555555558</v>
      </c>
      <c r="H55" s="9">
        <v>0.46458333333333335</v>
      </c>
      <c r="I55" s="10">
        <f t="shared" si="10"/>
        <v>2.7777777777777679E-3</v>
      </c>
      <c r="J55" s="11">
        <v>4</v>
      </c>
      <c r="K55" s="11">
        <v>45.28</v>
      </c>
      <c r="L55" s="16">
        <f t="shared" si="11"/>
        <v>169.80000000000061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/>
      <c r="AB55" s="11"/>
      <c r="AC55" s="11">
        <v>4</v>
      </c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1063</v>
      </c>
      <c r="F56" s="8" t="s">
        <v>42</v>
      </c>
      <c r="G56" s="9">
        <v>0.46666666666666667</v>
      </c>
      <c r="H56" s="9">
        <v>0.46944444444444444</v>
      </c>
      <c r="I56" s="10">
        <f t="shared" si="10"/>
        <v>2.7777777777777679E-3</v>
      </c>
      <c r="J56" s="11">
        <v>4</v>
      </c>
      <c r="K56" s="11">
        <v>45.61</v>
      </c>
      <c r="L56" s="16">
        <f t="shared" si="11"/>
        <v>171.03750000000059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>
        <v>4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1064</v>
      </c>
      <c r="F57" s="8" t="s">
        <v>42</v>
      </c>
      <c r="G57" s="9">
        <v>0.47152777777777777</v>
      </c>
      <c r="H57" s="9">
        <v>0.47430555555555554</v>
      </c>
      <c r="I57" s="10">
        <f t="shared" si="10"/>
        <v>2.7777777777777679E-3</v>
      </c>
      <c r="J57" s="11">
        <v>4</v>
      </c>
      <c r="K57" s="11">
        <v>44.78</v>
      </c>
      <c r="L57" s="16">
        <f t="shared" si="11"/>
        <v>167.92500000000061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/>
      <c r="Z57" s="11"/>
      <c r="AA57" s="11"/>
      <c r="AB57" s="11"/>
      <c r="AC57" s="11">
        <v>4</v>
      </c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1065</v>
      </c>
      <c r="F58" s="8" t="s">
        <v>42</v>
      </c>
      <c r="G58" s="9">
        <v>0.47638888888888886</v>
      </c>
      <c r="H58" s="9">
        <v>0.47916666666666669</v>
      </c>
      <c r="I58" s="10">
        <f t="shared" si="10"/>
        <v>2.7777777777778234E-3</v>
      </c>
      <c r="J58" s="11">
        <v>4</v>
      </c>
      <c r="K58" s="11">
        <v>45.18</v>
      </c>
      <c r="L58" s="16">
        <f t="shared" si="11"/>
        <v>169.4249999999972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/>
      <c r="AA58" s="11"/>
      <c r="AB58" s="11">
        <v>4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1066</v>
      </c>
      <c r="F59" s="8" t="s">
        <v>42</v>
      </c>
      <c r="G59" s="9">
        <v>0.48125000000000001</v>
      </c>
      <c r="H59" s="9">
        <v>0.48402777777777778</v>
      </c>
      <c r="I59" s="10">
        <f t="shared" si="10"/>
        <v>2.7777777777777679E-3</v>
      </c>
      <c r="J59" s="11">
        <v>4</v>
      </c>
      <c r="K59" s="11">
        <v>45.92</v>
      </c>
      <c r="L59" s="16">
        <f t="shared" si="11"/>
        <v>172.20000000000061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/>
      <c r="Z59" s="11"/>
      <c r="AA59" s="11"/>
      <c r="AB59" s="11"/>
      <c r="AC59" s="11">
        <v>4</v>
      </c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1067</v>
      </c>
      <c r="F60" s="8" t="s">
        <v>42</v>
      </c>
      <c r="G60" s="9">
        <v>0.48680555555555555</v>
      </c>
      <c r="H60" s="9">
        <v>0.48958333333333331</v>
      </c>
      <c r="I60" s="10">
        <f t="shared" si="10"/>
        <v>2.7777777777777679E-3</v>
      </c>
      <c r="J60" s="11">
        <v>4</v>
      </c>
      <c r="K60" s="11">
        <v>44.72</v>
      </c>
      <c r="L60" s="16">
        <f t="shared" si="11"/>
        <v>167.70000000000059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/>
      <c r="Z60" s="11"/>
      <c r="AA60" s="11"/>
      <c r="AB60" s="11">
        <v>4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1068</v>
      </c>
      <c r="F61" s="8" t="s">
        <v>42</v>
      </c>
      <c r="G61" s="9">
        <v>0.4909722222222222</v>
      </c>
      <c r="H61" s="9">
        <v>0.49375000000000002</v>
      </c>
      <c r="I61" s="10">
        <f t="shared" si="10"/>
        <v>2.7777777777778234E-3</v>
      </c>
      <c r="J61" s="11">
        <v>4</v>
      </c>
      <c r="K61" s="11">
        <v>44.24</v>
      </c>
      <c r="L61" s="16">
        <f t="shared" si="11"/>
        <v>165.89999999999728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/>
      <c r="AA61" s="11"/>
      <c r="AB61" s="11"/>
      <c r="AC61" s="11">
        <v>4</v>
      </c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1069</v>
      </c>
      <c r="F62" s="8" t="s">
        <v>42</v>
      </c>
      <c r="G62" s="9">
        <v>0.49791666666666667</v>
      </c>
      <c r="H62" s="9">
        <v>0.50069444444444444</v>
      </c>
      <c r="I62" s="10">
        <f t="shared" si="10"/>
        <v>2.7777777777777679E-3</v>
      </c>
      <c r="J62" s="11">
        <v>4</v>
      </c>
      <c r="K62" s="11">
        <v>44.94</v>
      </c>
      <c r="L62" s="16">
        <f t="shared" si="11"/>
        <v>168.52500000000057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2</v>
      </c>
      <c r="X62" s="11"/>
      <c r="Y62" s="11"/>
      <c r="Z62" s="11"/>
      <c r="AA62" s="11"/>
      <c r="AB62" s="11">
        <v>4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1070</v>
      </c>
      <c r="F63" s="8" t="s">
        <v>42</v>
      </c>
      <c r="G63" s="9">
        <v>0.50277777777777777</v>
      </c>
      <c r="H63" s="9">
        <v>0.50555555555555554</v>
      </c>
      <c r="I63" s="10">
        <f t="shared" si="10"/>
        <v>2.7777777777777679E-3</v>
      </c>
      <c r="J63" s="11">
        <v>4</v>
      </c>
      <c r="K63" s="11">
        <v>45.12</v>
      </c>
      <c r="L63" s="16">
        <f t="shared" si="11"/>
        <v>169.20000000000059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/>
      <c r="Y63" s="11"/>
      <c r="Z63" s="11"/>
      <c r="AA63" s="11"/>
      <c r="AB63" s="11"/>
      <c r="AC63" s="11"/>
      <c r="AD63" s="11">
        <v>4</v>
      </c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1071</v>
      </c>
      <c r="F64" s="8" t="s">
        <v>42</v>
      </c>
      <c r="G64" s="9">
        <v>0.50763888888888886</v>
      </c>
      <c r="H64" s="9">
        <v>0.59375</v>
      </c>
      <c r="I64" s="10">
        <f t="shared" si="10"/>
        <v>8.6111111111111138E-2</v>
      </c>
      <c r="J64" s="11">
        <v>4</v>
      </c>
      <c r="K64" s="11">
        <v>45.72</v>
      </c>
      <c r="L64" s="16">
        <f t="shared" si="11"/>
        <v>5.5306451612903205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2</v>
      </c>
      <c r="X64" s="11"/>
      <c r="Y64" s="11"/>
      <c r="Z64" s="11"/>
      <c r="AA64" s="11"/>
      <c r="AB64" s="11">
        <v>4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/>
      <c r="F65" s="8"/>
      <c r="G65" s="9"/>
      <c r="H65" s="9"/>
      <c r="I65" s="10"/>
      <c r="J65" s="11"/>
      <c r="K65" s="11"/>
      <c r="L65" s="16"/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 t="s">
        <v>1893</v>
      </c>
      <c r="E66" s="19" t="s">
        <v>324</v>
      </c>
      <c r="F66" s="8" t="s">
        <v>42</v>
      </c>
      <c r="G66" s="9">
        <v>0.57777777777777772</v>
      </c>
      <c r="H66" s="9">
        <v>0.57986111111111116</v>
      </c>
      <c r="I66" s="10">
        <f t="shared" si="10"/>
        <v>2.083333333333437E-3</v>
      </c>
      <c r="J66" s="11">
        <v>4</v>
      </c>
      <c r="K66" s="11">
        <v>48.42</v>
      </c>
      <c r="L66" s="16">
        <f t="shared" si="11"/>
        <v>242.09999999998797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3</v>
      </c>
      <c r="W66" s="12"/>
      <c r="X66" s="11"/>
      <c r="Y66" s="11"/>
      <c r="Z66" s="11"/>
      <c r="AA66" s="11"/>
      <c r="AB66" s="11">
        <v>3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325</v>
      </c>
      <c r="F67" s="8" t="s">
        <v>42</v>
      </c>
      <c r="G67" s="9">
        <v>0.58263888888888893</v>
      </c>
      <c r="H67" s="9">
        <v>0.58472222222222225</v>
      </c>
      <c r="I67" s="10">
        <f t="shared" si="10"/>
        <v>2.0833333333333259E-3</v>
      </c>
      <c r="J67" s="11">
        <v>4</v>
      </c>
      <c r="K67" s="11">
        <v>49.18</v>
      </c>
      <c r="L67" s="16">
        <f t="shared" si="11"/>
        <v>245.90000000000089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3</v>
      </c>
      <c r="X67" s="11"/>
      <c r="Y67" s="11"/>
      <c r="Z67" s="11"/>
      <c r="AA67" s="11"/>
      <c r="AB67" s="11"/>
      <c r="AC67" s="11"/>
      <c r="AD67" s="11">
        <v>3</v>
      </c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327</v>
      </c>
      <c r="F68" s="8" t="s">
        <v>42</v>
      </c>
      <c r="G68" s="9">
        <v>0.58611111111111114</v>
      </c>
      <c r="H68" s="9">
        <v>0.58888888888888891</v>
      </c>
      <c r="I68" s="10">
        <f t="shared" si="10"/>
        <v>2.7777777777777679E-3</v>
      </c>
      <c r="J68" s="11">
        <v>4</v>
      </c>
      <c r="K68" s="11">
        <v>48.47</v>
      </c>
      <c r="L68" s="16">
        <f t="shared" si="11"/>
        <v>181.76250000000064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3</v>
      </c>
      <c r="W68" s="12"/>
      <c r="X68" s="11"/>
      <c r="Y68" s="11"/>
      <c r="Z68" s="11"/>
      <c r="AA68" s="11"/>
      <c r="AB68" s="11">
        <v>4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328</v>
      </c>
      <c r="F69" s="8" t="s">
        <v>42</v>
      </c>
      <c r="G69" s="9">
        <v>0.59027777777777779</v>
      </c>
      <c r="H69" s="9">
        <v>0.59305555555555556</v>
      </c>
      <c r="I69" s="10">
        <f t="shared" si="10"/>
        <v>2.7777777777777679E-3</v>
      </c>
      <c r="J69" s="11">
        <v>4</v>
      </c>
      <c r="K69" s="11">
        <v>49.27</v>
      </c>
      <c r="L69" s="16">
        <f t="shared" si="11"/>
        <v>184.76250000000064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3</v>
      </c>
      <c r="X69" s="11"/>
      <c r="Y69" s="11"/>
      <c r="Z69" s="11"/>
      <c r="AA69" s="11"/>
      <c r="AB69" s="11"/>
      <c r="AC69" s="11"/>
      <c r="AD69" s="11">
        <v>4</v>
      </c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330</v>
      </c>
      <c r="F70" s="8" t="s">
        <v>42</v>
      </c>
      <c r="G70" s="9">
        <v>0.59444444444444444</v>
      </c>
      <c r="H70" s="9">
        <v>0.59722222222222221</v>
      </c>
      <c r="I70" s="10">
        <f t="shared" si="10"/>
        <v>2.7777777777777679E-3</v>
      </c>
      <c r="J70" s="11">
        <v>4</v>
      </c>
      <c r="K70" s="11">
        <v>48.18</v>
      </c>
      <c r="L70" s="16">
        <f t="shared" si="11"/>
        <v>180.67500000000064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3</v>
      </c>
      <c r="X70" s="11"/>
      <c r="Y70" s="11"/>
      <c r="Z70" s="11"/>
      <c r="AA70" s="11"/>
      <c r="AB70" s="11">
        <v>4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331</v>
      </c>
      <c r="F71" s="8" t="s">
        <v>42</v>
      </c>
      <c r="G71" s="9">
        <v>0.59861111111111109</v>
      </c>
      <c r="H71" s="9">
        <v>0.60138888888888886</v>
      </c>
      <c r="I71" s="10">
        <f t="shared" si="10"/>
        <v>2.7777777777777679E-3</v>
      </c>
      <c r="J71" s="11">
        <v>4</v>
      </c>
      <c r="K71" s="11">
        <v>48.85</v>
      </c>
      <c r="L71" s="16">
        <f t="shared" si="11"/>
        <v>183.18750000000065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3</v>
      </c>
      <c r="X71" s="11"/>
      <c r="Y71" s="11"/>
      <c r="Z71" s="11"/>
      <c r="AA71" s="11"/>
      <c r="AB71" s="11"/>
      <c r="AC71" s="11"/>
      <c r="AD71" s="11">
        <v>4</v>
      </c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333</v>
      </c>
      <c r="F72" s="8" t="s">
        <v>42</v>
      </c>
      <c r="G72" s="9">
        <v>0.6020833333333333</v>
      </c>
      <c r="H72" s="9">
        <v>0.60486111111111107</v>
      </c>
      <c r="I72" s="10">
        <f t="shared" si="10"/>
        <v>2.7777777777777679E-3</v>
      </c>
      <c r="J72" s="11">
        <v>4</v>
      </c>
      <c r="K72" s="11">
        <v>48.46</v>
      </c>
      <c r="L72" s="16">
        <f t="shared" si="11"/>
        <v>181.72500000000068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3</v>
      </c>
      <c r="W72" s="12"/>
      <c r="X72" s="11"/>
      <c r="Y72" s="11"/>
      <c r="Z72" s="11"/>
      <c r="AA72" s="11"/>
      <c r="AB72" s="11">
        <v>4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334</v>
      </c>
      <c r="F73" s="8" t="s">
        <v>42</v>
      </c>
      <c r="G73" s="9">
        <v>0.60833333333333328</v>
      </c>
      <c r="H73" s="9">
        <v>0.61111111111111116</v>
      </c>
      <c r="I73" s="10">
        <f t="shared" si="10"/>
        <v>2.7777777777778789E-3</v>
      </c>
      <c r="J73" s="11">
        <v>4</v>
      </c>
      <c r="K73" s="11">
        <v>48.72</v>
      </c>
      <c r="L73" s="16">
        <f t="shared" si="11"/>
        <v>182.69999999999334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3</v>
      </c>
      <c r="X73" s="11"/>
      <c r="Y73" s="11"/>
      <c r="Z73" s="11"/>
      <c r="AA73" s="11"/>
      <c r="AB73" s="11"/>
      <c r="AC73" s="11"/>
      <c r="AD73" s="11">
        <v>4</v>
      </c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336</v>
      </c>
      <c r="F74" s="8" t="s">
        <v>42</v>
      </c>
      <c r="G74" s="9">
        <v>0.61319444444444449</v>
      </c>
      <c r="H74" s="9">
        <v>0.61597222222222225</v>
      </c>
      <c r="I74" s="10">
        <f t="shared" si="10"/>
        <v>2.7777777777777679E-3</v>
      </c>
      <c r="J74" s="11">
        <v>4</v>
      </c>
      <c r="K74" s="11">
        <v>48.08</v>
      </c>
      <c r="L74" s="16">
        <f t="shared" si="11"/>
        <v>180.30000000000064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3</v>
      </c>
      <c r="X74" s="11"/>
      <c r="Y74" s="11"/>
      <c r="Z74" s="11"/>
      <c r="AA74" s="11"/>
      <c r="AB74" s="11">
        <v>4</v>
      </c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337</v>
      </c>
      <c r="F75" s="8" t="s">
        <v>42</v>
      </c>
      <c r="G75" s="9">
        <v>0.61736111111111114</v>
      </c>
      <c r="H75" s="9">
        <v>0.61944444444444446</v>
      </c>
      <c r="I75" s="10">
        <f t="shared" si="10"/>
        <v>2.0833333333333259E-3</v>
      </c>
      <c r="J75" s="11">
        <v>4</v>
      </c>
      <c r="K75" s="11">
        <v>48.2</v>
      </c>
      <c r="L75" s="16">
        <f t="shared" si="11"/>
        <v>241.00000000000088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3</v>
      </c>
      <c r="X75" s="11"/>
      <c r="Y75" s="11"/>
      <c r="Z75" s="11"/>
      <c r="AA75" s="11"/>
      <c r="AB75" s="11"/>
      <c r="AC75" s="11"/>
      <c r="AD75" s="11">
        <v>3</v>
      </c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339</v>
      </c>
      <c r="F76" s="8" t="s">
        <v>42</v>
      </c>
      <c r="G76" s="9">
        <v>0.62361111111111112</v>
      </c>
      <c r="H76" s="9">
        <v>0.62638888888888888</v>
      </c>
      <c r="I76" s="10">
        <f t="shared" si="10"/>
        <v>2.7777777777777679E-3</v>
      </c>
      <c r="J76" s="11">
        <v>4</v>
      </c>
      <c r="K76" s="11">
        <v>47.98</v>
      </c>
      <c r="L76" s="16">
        <f t="shared" si="11"/>
        <v>179.92500000000064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3</v>
      </c>
      <c r="W76" s="12"/>
      <c r="X76" s="11"/>
      <c r="Y76" s="11"/>
      <c r="Z76" s="11"/>
      <c r="AA76" s="11"/>
      <c r="AB76" s="11">
        <v>4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340</v>
      </c>
      <c r="F77" s="8" t="s">
        <v>42</v>
      </c>
      <c r="G77" s="9">
        <v>0.62847222222222221</v>
      </c>
      <c r="H77" s="9">
        <v>0.63055555555555554</v>
      </c>
      <c r="I77" s="10">
        <f t="shared" si="10"/>
        <v>2.0833333333333259E-3</v>
      </c>
      <c r="J77" s="11">
        <v>4</v>
      </c>
      <c r="K77" s="11">
        <v>48.21</v>
      </c>
      <c r="L77" s="16">
        <f t="shared" si="11"/>
        <v>241.05000000000086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3</v>
      </c>
      <c r="X77" s="11"/>
      <c r="Y77" s="11"/>
      <c r="Z77" s="11"/>
      <c r="AA77" s="11"/>
      <c r="AB77" s="11"/>
      <c r="AC77" s="11"/>
      <c r="AD77" s="11">
        <v>4</v>
      </c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342</v>
      </c>
      <c r="F78" s="8" t="s">
        <v>42</v>
      </c>
      <c r="G78" s="9">
        <v>0.63263888888888886</v>
      </c>
      <c r="H78" s="9">
        <v>0.63472222222222219</v>
      </c>
      <c r="I78" s="10">
        <f t="shared" si="10"/>
        <v>2.0833333333333259E-3</v>
      </c>
      <c r="J78" s="11">
        <v>4</v>
      </c>
      <c r="K78" s="11">
        <v>48.2</v>
      </c>
      <c r="L78" s="16">
        <f t="shared" si="11"/>
        <v>241.00000000000088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3</v>
      </c>
      <c r="W78" s="12"/>
      <c r="X78" s="11"/>
      <c r="Y78" s="11"/>
      <c r="Z78" s="11"/>
      <c r="AA78" s="11"/>
      <c r="AB78" s="11">
        <v>3</v>
      </c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343</v>
      </c>
      <c r="F79" s="8" t="s">
        <v>42</v>
      </c>
      <c r="G79" s="9">
        <v>0.63680555555555551</v>
      </c>
      <c r="H79" s="9">
        <v>0.63958333333333328</v>
      </c>
      <c r="I79" s="10">
        <f t="shared" si="10"/>
        <v>2.7777777777777679E-3</v>
      </c>
      <c r="J79" s="11">
        <v>4</v>
      </c>
      <c r="K79" s="11">
        <v>48</v>
      </c>
      <c r="L79" s="16">
        <f t="shared" si="11"/>
        <v>180.00000000000065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3</v>
      </c>
      <c r="X79" s="11"/>
      <c r="Y79" s="11"/>
      <c r="Z79" s="11"/>
      <c r="AA79" s="11"/>
      <c r="AB79" s="11"/>
      <c r="AC79" s="11"/>
      <c r="AD79" s="11">
        <v>4</v>
      </c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345</v>
      </c>
      <c r="F80" s="8" t="s">
        <v>42</v>
      </c>
      <c r="G80" s="9">
        <v>0.64444444444444449</v>
      </c>
      <c r="H80" s="9">
        <v>0.64652777777777781</v>
      </c>
      <c r="I80" s="10">
        <f t="shared" si="10"/>
        <v>2.0833333333333259E-3</v>
      </c>
      <c r="J80" s="11">
        <v>4</v>
      </c>
      <c r="K80" s="11">
        <v>48.14</v>
      </c>
      <c r="L80" s="16">
        <f t="shared" si="11"/>
        <v>240.70000000000084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3</v>
      </c>
      <c r="X80" s="11"/>
      <c r="Y80" s="11"/>
      <c r="Z80" s="11"/>
      <c r="AA80" s="11"/>
      <c r="AB80" s="11">
        <v>3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346</v>
      </c>
      <c r="F81" s="8" t="s">
        <v>42</v>
      </c>
      <c r="G81" s="9">
        <v>0.64513888888888893</v>
      </c>
      <c r="H81" s="9">
        <v>0.64722222222222225</v>
      </c>
      <c r="I81" s="10">
        <f t="shared" si="10"/>
        <v>2.0833333333333259E-3</v>
      </c>
      <c r="J81" s="11">
        <v>4</v>
      </c>
      <c r="K81" s="11">
        <v>47.94</v>
      </c>
      <c r="L81" s="16">
        <f t="shared" si="11"/>
        <v>239.70000000000084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3</v>
      </c>
      <c r="X81" s="11"/>
      <c r="Y81" s="11"/>
      <c r="Z81" s="11"/>
      <c r="AA81" s="11"/>
      <c r="AB81" s="11"/>
      <c r="AC81" s="11"/>
      <c r="AD81" s="11">
        <v>3</v>
      </c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348</v>
      </c>
      <c r="F82" s="8" t="s">
        <v>42</v>
      </c>
      <c r="G82" s="9">
        <v>0.65</v>
      </c>
      <c r="H82" s="9">
        <v>0.65208333333333335</v>
      </c>
      <c r="I82" s="10">
        <f t="shared" si="10"/>
        <v>2.0833333333333259E-3</v>
      </c>
      <c r="J82" s="11">
        <v>4</v>
      </c>
      <c r="K82" s="11">
        <v>48</v>
      </c>
      <c r="L82" s="16">
        <f t="shared" si="11"/>
        <v>240.00000000000082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3</v>
      </c>
      <c r="X82" s="11"/>
      <c r="Y82" s="11"/>
      <c r="Z82" s="11"/>
      <c r="AA82" s="11"/>
      <c r="AB82" s="11">
        <v>3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349</v>
      </c>
      <c r="F83" s="8" t="s">
        <v>42</v>
      </c>
      <c r="G83" s="9">
        <v>0.65486111111111112</v>
      </c>
      <c r="H83" s="9">
        <v>0.65694444444444444</v>
      </c>
      <c r="I83" s="10">
        <f t="shared" si="10"/>
        <v>2.0833333333333259E-3</v>
      </c>
      <c r="J83" s="11">
        <v>4</v>
      </c>
      <c r="K83" s="11">
        <v>48.4</v>
      </c>
      <c r="L83" s="16">
        <f t="shared" si="11"/>
        <v>242.00000000000082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3</v>
      </c>
      <c r="X83" s="11"/>
      <c r="Y83" s="11"/>
      <c r="Z83" s="11"/>
      <c r="AA83" s="11"/>
      <c r="AB83" s="11"/>
      <c r="AC83" s="11">
        <v>3</v>
      </c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713</v>
      </c>
      <c r="F84" s="8" t="s">
        <v>42</v>
      </c>
      <c r="G84" s="9">
        <v>0.65833333333333333</v>
      </c>
      <c r="H84" s="9">
        <v>0.66041666666666665</v>
      </c>
      <c r="I84" s="10">
        <f t="shared" si="10"/>
        <v>2.0833333333333259E-3</v>
      </c>
      <c r="J84" s="11">
        <v>4</v>
      </c>
      <c r="K84" s="11">
        <v>47.76</v>
      </c>
      <c r="L84" s="16">
        <f t="shared" si="11"/>
        <v>238.80000000000084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3</v>
      </c>
      <c r="X84" s="11"/>
      <c r="Y84" s="11"/>
      <c r="Z84" s="11"/>
      <c r="AA84" s="11"/>
      <c r="AB84" s="11">
        <v>3</v>
      </c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714</v>
      </c>
      <c r="F85" s="8" t="s">
        <v>42</v>
      </c>
      <c r="G85" s="9">
        <v>0.66041666666666665</v>
      </c>
      <c r="H85" s="9">
        <v>0.66249999999999998</v>
      </c>
      <c r="I85" s="10">
        <f t="shared" si="10"/>
        <v>2.0833333333333259E-3</v>
      </c>
      <c r="J85" s="11">
        <v>4</v>
      </c>
      <c r="K85" s="11">
        <v>50.68</v>
      </c>
      <c r="L85" s="16">
        <f t="shared" si="11"/>
        <v>253.40000000000089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3</v>
      </c>
      <c r="X85" s="11"/>
      <c r="Y85" s="11"/>
      <c r="Z85" s="11"/>
      <c r="AA85" s="11"/>
      <c r="AB85" s="11"/>
      <c r="AC85" s="11">
        <v>3</v>
      </c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715</v>
      </c>
      <c r="F86" s="8" t="s">
        <v>42</v>
      </c>
      <c r="G86" s="9">
        <v>0.66666666666666663</v>
      </c>
      <c r="H86" s="9">
        <v>0.66874999999999996</v>
      </c>
      <c r="I86" s="10">
        <f t="shared" si="10"/>
        <v>2.0833333333333259E-3</v>
      </c>
      <c r="J86" s="11">
        <v>4</v>
      </c>
      <c r="K86" s="11">
        <v>48.12</v>
      </c>
      <c r="L86" s="16">
        <f t="shared" si="11"/>
        <v>240.60000000000085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3</v>
      </c>
      <c r="X86" s="11"/>
      <c r="Y86" s="11"/>
      <c r="Z86" s="11"/>
      <c r="AA86" s="11"/>
      <c r="AB86" s="11">
        <v>3</v>
      </c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716</v>
      </c>
      <c r="F87" s="8" t="s">
        <v>42</v>
      </c>
      <c r="G87" s="9">
        <v>0.67013888888888884</v>
      </c>
      <c r="H87" s="9">
        <v>0.67222222222222228</v>
      </c>
      <c r="I87" s="10">
        <f t="shared" si="10"/>
        <v>2.083333333333437E-3</v>
      </c>
      <c r="J87" s="11">
        <v>4</v>
      </c>
      <c r="K87" s="11">
        <v>48.3</v>
      </c>
      <c r="L87" s="16">
        <f t="shared" si="11"/>
        <v>241.49999999998798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3</v>
      </c>
      <c r="X87" s="11"/>
      <c r="Y87" s="11"/>
      <c r="Z87" s="11"/>
      <c r="AA87" s="11"/>
      <c r="AB87" s="11"/>
      <c r="AC87" s="11">
        <v>3</v>
      </c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717</v>
      </c>
      <c r="F88" s="8" t="s">
        <v>42</v>
      </c>
      <c r="G88" s="9">
        <v>0.67361111111111116</v>
      </c>
      <c r="H88" s="9">
        <v>0.67569444444444449</v>
      </c>
      <c r="I88" s="10">
        <f t="shared" si="10"/>
        <v>2.0833333333333259E-3</v>
      </c>
      <c r="J88" s="11">
        <v>4</v>
      </c>
      <c r="K88" s="11">
        <v>47.42</v>
      </c>
      <c r="L88" s="16">
        <f t="shared" si="11"/>
        <v>237.10000000000085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3</v>
      </c>
      <c r="X88" s="11"/>
      <c r="Y88" s="11"/>
      <c r="Z88" s="11"/>
      <c r="AA88" s="11"/>
      <c r="AB88" s="11">
        <v>3</v>
      </c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718</v>
      </c>
      <c r="F89" s="8" t="s">
        <v>42</v>
      </c>
      <c r="G89" s="9">
        <v>0.67777777777777781</v>
      </c>
      <c r="H89" s="9">
        <v>0.67986111111111114</v>
      </c>
      <c r="I89" s="10">
        <f t="shared" si="10"/>
        <v>2.0833333333333259E-3</v>
      </c>
      <c r="J89" s="11">
        <v>4</v>
      </c>
      <c r="K89" s="11">
        <v>47.9</v>
      </c>
      <c r="L89" s="16">
        <f t="shared" si="11"/>
        <v>239.50000000000082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3</v>
      </c>
      <c r="X89" s="11"/>
      <c r="Y89" s="11"/>
      <c r="Z89" s="11"/>
      <c r="AA89" s="11"/>
      <c r="AB89" s="11"/>
      <c r="AC89" s="11">
        <v>3</v>
      </c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719</v>
      </c>
      <c r="F90" s="8" t="s">
        <v>42</v>
      </c>
      <c r="G90" s="9">
        <v>0.68194444444444446</v>
      </c>
      <c r="H90" s="9">
        <v>0.68402777777777779</v>
      </c>
      <c r="I90" s="10">
        <f t="shared" si="10"/>
        <v>2.0833333333333259E-3</v>
      </c>
      <c r="J90" s="11">
        <v>4</v>
      </c>
      <c r="K90" s="11">
        <v>48.03</v>
      </c>
      <c r="L90" s="16">
        <f t="shared" si="11"/>
        <v>240.15000000000086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3</v>
      </c>
      <c r="X90" s="11"/>
      <c r="Y90" s="11"/>
      <c r="Z90" s="11"/>
      <c r="AA90" s="11"/>
      <c r="AB90" s="11">
        <v>3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720</v>
      </c>
      <c r="F91" s="8" t="s">
        <v>42</v>
      </c>
      <c r="G91" s="9">
        <v>0.68611111111111112</v>
      </c>
      <c r="H91" s="9">
        <v>0.68819444444444444</v>
      </c>
      <c r="I91" s="10">
        <f t="shared" si="10"/>
        <v>2.0833333333333259E-3</v>
      </c>
      <c r="J91" s="11">
        <v>4</v>
      </c>
      <c r="K91" s="11">
        <v>47.94</v>
      </c>
      <c r="L91" s="16">
        <f t="shared" si="11"/>
        <v>239.70000000000084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3</v>
      </c>
      <c r="X91" s="11"/>
      <c r="Y91" s="11"/>
      <c r="Z91" s="11"/>
      <c r="AA91" s="11"/>
      <c r="AB91" s="11"/>
      <c r="AC91" s="11">
        <v>3</v>
      </c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721</v>
      </c>
      <c r="F92" s="8" t="s">
        <v>42</v>
      </c>
      <c r="G92" s="9">
        <v>0.69027777777777777</v>
      </c>
      <c r="H92" s="9">
        <v>0.69236111111111109</v>
      </c>
      <c r="I92" s="10">
        <f t="shared" si="10"/>
        <v>2.0833333333333259E-3</v>
      </c>
      <c r="J92" s="11">
        <v>4</v>
      </c>
      <c r="K92" s="11">
        <v>48</v>
      </c>
      <c r="L92" s="16">
        <f t="shared" si="11"/>
        <v>240.00000000000082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3</v>
      </c>
      <c r="X92" s="11"/>
      <c r="Y92" s="11"/>
      <c r="Z92" s="11"/>
      <c r="AA92" s="11"/>
      <c r="AB92" s="11">
        <v>3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722</v>
      </c>
      <c r="F93" s="8" t="s">
        <v>42</v>
      </c>
      <c r="G93" s="9">
        <v>0.69374999999999998</v>
      </c>
      <c r="H93" s="9">
        <v>0.6958333333333333</v>
      </c>
      <c r="I93" s="10">
        <f t="shared" si="10"/>
        <v>2.0833333333333259E-3</v>
      </c>
      <c r="J93" s="11">
        <v>4</v>
      </c>
      <c r="K93" s="11">
        <v>49.21</v>
      </c>
      <c r="L93" s="16">
        <f t="shared" si="11"/>
        <v>246.05000000000086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3</v>
      </c>
      <c r="X93" s="11"/>
      <c r="Y93" s="11"/>
      <c r="Z93" s="11"/>
      <c r="AA93" s="11"/>
      <c r="AB93" s="11"/>
      <c r="AC93" s="11">
        <v>3</v>
      </c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1540</v>
      </c>
      <c r="F94" s="8" t="s">
        <v>42</v>
      </c>
      <c r="G94" s="9">
        <v>0.69791666666666663</v>
      </c>
      <c r="H94" s="9">
        <v>0.7</v>
      </c>
      <c r="I94" s="10">
        <f t="shared" si="10"/>
        <v>2.0833333333333259E-3</v>
      </c>
      <c r="J94" s="11">
        <v>4</v>
      </c>
      <c r="K94" s="11">
        <v>48.24</v>
      </c>
      <c r="L94" s="16">
        <f t="shared" si="11"/>
        <v>241.20000000000087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3</v>
      </c>
      <c r="X94" s="11"/>
      <c r="Y94" s="11"/>
      <c r="Z94" s="11"/>
      <c r="AA94" s="11"/>
      <c r="AB94" s="11">
        <v>3</v>
      </c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1541</v>
      </c>
      <c r="F95" s="8" t="s">
        <v>42</v>
      </c>
      <c r="G95" s="9">
        <v>0.70138888888888884</v>
      </c>
      <c r="H95" s="9">
        <v>0.70347222222222228</v>
      </c>
      <c r="I95" s="10">
        <f t="shared" si="10"/>
        <v>2.083333333333437E-3</v>
      </c>
      <c r="J95" s="11">
        <v>4</v>
      </c>
      <c r="K95" s="11">
        <v>48.45</v>
      </c>
      <c r="L95" s="16">
        <f t="shared" si="11"/>
        <v>242.24999999998795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3</v>
      </c>
      <c r="X95" s="11"/>
      <c r="Y95" s="11"/>
      <c r="Z95" s="11"/>
      <c r="AA95" s="11"/>
      <c r="AB95" s="11"/>
      <c r="AC95" s="11">
        <v>3</v>
      </c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1542</v>
      </c>
      <c r="F96" s="8" t="s">
        <v>42</v>
      </c>
      <c r="G96" s="9">
        <v>0.70625000000000004</v>
      </c>
      <c r="H96" s="9">
        <v>0.70833333333333337</v>
      </c>
      <c r="I96" s="10">
        <f t="shared" si="10"/>
        <v>2.0833333333333259E-3</v>
      </c>
      <c r="J96" s="11">
        <v>4</v>
      </c>
      <c r="K96" s="11">
        <v>48.9</v>
      </c>
      <c r="L96" s="16">
        <f t="shared" si="11"/>
        <v>244.50000000000088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3</v>
      </c>
      <c r="X96" s="11"/>
      <c r="Y96" s="11"/>
      <c r="Z96" s="11"/>
      <c r="AA96" s="11"/>
      <c r="AB96" s="11">
        <v>3</v>
      </c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1543</v>
      </c>
      <c r="F97" s="8" t="s">
        <v>42</v>
      </c>
      <c r="G97" s="9">
        <v>0.7104166666666667</v>
      </c>
      <c r="H97" s="9">
        <v>0.71250000000000002</v>
      </c>
      <c r="I97" s="10">
        <f t="shared" si="10"/>
        <v>2.0833333333333259E-3</v>
      </c>
      <c r="J97" s="11">
        <v>4</v>
      </c>
      <c r="K97" s="11">
        <v>48.32</v>
      </c>
      <c r="L97" s="16">
        <f t="shared" si="11"/>
        <v>241.60000000000085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3</v>
      </c>
      <c r="X97" s="11"/>
      <c r="Y97" s="11"/>
      <c r="Z97" s="11"/>
      <c r="AA97" s="11"/>
      <c r="AB97" s="11"/>
      <c r="AC97" s="11">
        <v>3</v>
      </c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1544</v>
      </c>
      <c r="F98" s="8" t="s">
        <v>42</v>
      </c>
      <c r="G98" s="9">
        <v>0.71458333333333335</v>
      </c>
      <c r="H98" s="9">
        <v>0.71666666666666667</v>
      </c>
      <c r="I98" s="10">
        <f t="shared" si="10"/>
        <v>2.0833333333333259E-3</v>
      </c>
      <c r="J98" s="11">
        <v>4</v>
      </c>
      <c r="K98" s="11">
        <v>48</v>
      </c>
      <c r="L98" s="16">
        <f t="shared" si="11"/>
        <v>240.00000000000082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3</v>
      </c>
      <c r="X98" s="11"/>
      <c r="Y98" s="11"/>
      <c r="Z98" s="11"/>
      <c r="AA98" s="11"/>
      <c r="AB98" s="11">
        <v>3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1545</v>
      </c>
      <c r="F99" s="8" t="s">
        <v>42</v>
      </c>
      <c r="G99" s="9">
        <v>0.71875</v>
      </c>
      <c r="H99" s="9">
        <v>0.72083333333333333</v>
      </c>
      <c r="I99" s="10">
        <f t="shared" si="10"/>
        <v>2.0833333333333259E-3</v>
      </c>
      <c r="J99" s="11">
        <v>4</v>
      </c>
      <c r="K99" s="11">
        <v>48.59</v>
      </c>
      <c r="L99" s="16">
        <f t="shared" si="11"/>
        <v>242.95000000000087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>
        <v>3</v>
      </c>
      <c r="X99" s="11"/>
      <c r="Y99" s="11"/>
      <c r="Z99" s="11"/>
      <c r="AA99" s="11"/>
      <c r="AB99" s="11"/>
      <c r="AC99" s="11">
        <v>3</v>
      </c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1918</v>
      </c>
      <c r="F100" s="8" t="s">
        <v>42</v>
      </c>
      <c r="G100" s="9">
        <v>0.72291666666666665</v>
      </c>
      <c r="H100" s="9">
        <v>0.72499999999999998</v>
      </c>
      <c r="I100" s="10">
        <f t="shared" si="10"/>
        <v>2.0833333333333259E-3</v>
      </c>
      <c r="J100" s="11">
        <v>4</v>
      </c>
      <c r="K100" s="11">
        <v>48.98</v>
      </c>
      <c r="L100" s="16">
        <f t="shared" si="11"/>
        <v>244.90000000000086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>
        <v>3</v>
      </c>
      <c r="X100" s="11"/>
      <c r="Y100" s="11"/>
      <c r="Z100" s="11"/>
      <c r="AA100" s="11"/>
      <c r="AB100" s="11">
        <v>3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1919</v>
      </c>
      <c r="F101" s="8" t="s">
        <v>42</v>
      </c>
      <c r="G101" s="9">
        <v>0.7270833333333333</v>
      </c>
      <c r="H101" s="9">
        <v>0.72916666666666663</v>
      </c>
      <c r="I101" s="10">
        <f t="shared" si="10"/>
        <v>2.0833333333333259E-3</v>
      </c>
      <c r="J101" s="11">
        <v>4</v>
      </c>
      <c r="K101" s="11">
        <v>48.3</v>
      </c>
      <c r="L101" s="16">
        <f t="shared" si="11"/>
        <v>241.50000000000082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>
        <v>3</v>
      </c>
      <c r="X101" s="11"/>
      <c r="Y101" s="11"/>
      <c r="Z101" s="11"/>
      <c r="AA101" s="11"/>
      <c r="AB101" s="11"/>
      <c r="AC101" s="11">
        <v>3</v>
      </c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1920</v>
      </c>
      <c r="F102" s="8" t="s">
        <v>42</v>
      </c>
      <c r="G102" s="9">
        <v>0.73124999999999996</v>
      </c>
      <c r="H102" s="9">
        <v>0.73333333333333328</v>
      </c>
      <c r="I102" s="10">
        <f t="shared" si="10"/>
        <v>2.0833333333333259E-3</v>
      </c>
      <c r="J102" s="11">
        <v>4</v>
      </c>
      <c r="K102" s="11">
        <v>46.34</v>
      </c>
      <c r="L102" s="16">
        <f t="shared" si="11"/>
        <v>231.70000000000084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>
        <v>3</v>
      </c>
      <c r="X102" s="11"/>
      <c r="Y102" s="11"/>
      <c r="Z102" s="11"/>
      <c r="AA102" s="11"/>
      <c r="AB102" s="11">
        <v>3</v>
      </c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1921</v>
      </c>
      <c r="F103" s="8" t="s">
        <v>42</v>
      </c>
      <c r="G103" s="9">
        <v>0.73541666666666672</v>
      </c>
      <c r="H103" s="9">
        <v>0.73750000000000004</v>
      </c>
      <c r="I103" s="10">
        <f t="shared" si="10"/>
        <v>2.0833333333333259E-3</v>
      </c>
      <c r="J103" s="11">
        <v>4</v>
      </c>
      <c r="K103" s="11">
        <v>48.86</v>
      </c>
      <c r="L103" s="16">
        <f t="shared" si="11"/>
        <v>244.30000000000086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3</v>
      </c>
      <c r="X103" s="11"/>
      <c r="Y103" s="11"/>
      <c r="Z103" s="11"/>
      <c r="AA103" s="11"/>
      <c r="AB103" s="11"/>
      <c r="AC103" s="11">
        <v>3</v>
      </c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1922</v>
      </c>
      <c r="F104" s="8" t="s">
        <v>42</v>
      </c>
      <c r="G104" s="9">
        <v>0.73888888888888893</v>
      </c>
      <c r="H104" s="9">
        <v>0.74097222222222225</v>
      </c>
      <c r="I104" s="10">
        <f t="shared" si="10"/>
        <v>2.0833333333333259E-3</v>
      </c>
      <c r="J104" s="11">
        <v>4</v>
      </c>
      <c r="K104" s="11">
        <v>47.98</v>
      </c>
      <c r="L104" s="16">
        <f t="shared" si="11"/>
        <v>239.90000000000086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>
        <v>3</v>
      </c>
      <c r="X104" s="11"/>
      <c r="Y104" s="11"/>
      <c r="Z104" s="11"/>
      <c r="AA104" s="11"/>
      <c r="AB104" s="11">
        <v>3</v>
      </c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1923</v>
      </c>
      <c r="F105" s="8" t="s">
        <v>42</v>
      </c>
      <c r="G105" s="9">
        <v>0.74444444444444446</v>
      </c>
      <c r="H105" s="9">
        <v>0.74652777777777779</v>
      </c>
      <c r="I105" s="10">
        <f t="shared" ref="I105:I144" si="12">H105-G105</f>
        <v>2.0833333333333259E-3</v>
      </c>
      <c r="J105" s="11">
        <v>4</v>
      </c>
      <c r="K105" s="11">
        <v>48.88</v>
      </c>
      <c r="L105" s="16">
        <f t="shared" ref="L105:L144" si="13">IFERROR(((K105/(J105*I105)/24)),"0")</f>
        <v>244.40000000000089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3</v>
      </c>
      <c r="X105" s="11"/>
      <c r="Y105" s="11"/>
      <c r="Z105" s="11"/>
      <c r="AA105" s="11"/>
      <c r="AB105" s="11"/>
      <c r="AC105" s="11">
        <v>3</v>
      </c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1924</v>
      </c>
      <c r="F106" s="8" t="s">
        <v>42</v>
      </c>
      <c r="G106" s="9">
        <v>0.74791666666666667</v>
      </c>
      <c r="H106" s="9">
        <v>0.75</v>
      </c>
      <c r="I106" s="10">
        <f t="shared" si="12"/>
        <v>2.0833333333333259E-3</v>
      </c>
      <c r="J106" s="11">
        <v>4</v>
      </c>
      <c r="K106" s="11">
        <v>48.3</v>
      </c>
      <c r="L106" s="16">
        <f t="shared" si="13"/>
        <v>241.50000000000082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>
        <v>3</v>
      </c>
      <c r="X106" s="11"/>
      <c r="Y106" s="11"/>
      <c r="Z106" s="11"/>
      <c r="AA106" s="11"/>
      <c r="AB106" s="11">
        <v>3</v>
      </c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1925</v>
      </c>
      <c r="F107" s="8" t="s">
        <v>42</v>
      </c>
      <c r="G107" s="9">
        <v>0.75277777777777777</v>
      </c>
      <c r="H107" s="9">
        <v>0.75486111111111109</v>
      </c>
      <c r="I107" s="10">
        <f t="shared" si="12"/>
        <v>2.0833333333333259E-3</v>
      </c>
      <c r="J107" s="11">
        <v>4</v>
      </c>
      <c r="K107" s="11">
        <v>48.06</v>
      </c>
      <c r="L107" s="16">
        <f t="shared" si="13"/>
        <v>240.30000000000086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>
        <v>3</v>
      </c>
      <c r="X107" s="11"/>
      <c r="Y107" s="11"/>
      <c r="Z107" s="11"/>
      <c r="AA107" s="11"/>
      <c r="AB107" s="11"/>
      <c r="AC107" s="11">
        <v>3</v>
      </c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1926</v>
      </c>
      <c r="F108" s="8" t="s">
        <v>42</v>
      </c>
      <c r="G108" s="9">
        <v>0.75694444444444442</v>
      </c>
      <c r="H108" s="9">
        <v>0.75902777777777775</v>
      </c>
      <c r="I108" s="10">
        <f t="shared" si="12"/>
        <v>2.0833333333333259E-3</v>
      </c>
      <c r="J108" s="11">
        <v>4</v>
      </c>
      <c r="K108" s="11">
        <v>47.86</v>
      </c>
      <c r="L108" s="16">
        <f t="shared" si="13"/>
        <v>239.30000000000086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>
        <v>3</v>
      </c>
      <c r="X108" s="11"/>
      <c r="Y108" s="11"/>
      <c r="Z108" s="11"/>
      <c r="AA108" s="11"/>
      <c r="AB108" s="11">
        <v>3</v>
      </c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1927</v>
      </c>
      <c r="F109" s="8" t="s">
        <v>42</v>
      </c>
      <c r="G109" s="9">
        <v>0.76041666666666663</v>
      </c>
      <c r="H109" s="9">
        <v>0.76249999999999996</v>
      </c>
      <c r="I109" s="10">
        <f t="shared" si="12"/>
        <v>2.0833333333333259E-3</v>
      </c>
      <c r="J109" s="11">
        <v>4</v>
      </c>
      <c r="K109" s="11">
        <v>48.07</v>
      </c>
      <c r="L109" s="16">
        <f t="shared" si="13"/>
        <v>240.35000000000085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>
        <v>3</v>
      </c>
      <c r="X109" s="11"/>
      <c r="Y109" s="11"/>
      <c r="Z109" s="11"/>
      <c r="AA109" s="11"/>
      <c r="AB109" s="11"/>
      <c r="AC109" s="11">
        <v>3</v>
      </c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1928</v>
      </c>
      <c r="F110" s="8" t="s">
        <v>42</v>
      </c>
      <c r="G110" s="9">
        <v>0.40347222222222223</v>
      </c>
      <c r="H110" s="9">
        <v>0.41805555555555557</v>
      </c>
      <c r="I110" s="10">
        <f t="shared" si="12"/>
        <v>1.4583333333333337E-2</v>
      </c>
      <c r="J110" s="11">
        <v>4</v>
      </c>
      <c r="K110" s="11">
        <v>136.6</v>
      </c>
      <c r="L110" s="16">
        <f t="shared" si="13"/>
        <v>97.571428571428541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>
        <v>2</v>
      </c>
      <c r="W110" s="12"/>
      <c r="X110" s="11"/>
      <c r="Y110" s="11"/>
      <c r="Z110" s="11"/>
      <c r="AA110" s="11"/>
      <c r="AB110" s="11"/>
      <c r="AC110" s="11"/>
      <c r="AD110" s="11">
        <v>21</v>
      </c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1929</v>
      </c>
      <c r="F111" s="8" t="s">
        <v>42</v>
      </c>
      <c r="G111" s="9">
        <v>0.42430555555555555</v>
      </c>
      <c r="H111" s="9">
        <v>0.43611111111111112</v>
      </c>
      <c r="I111" s="10">
        <f t="shared" si="12"/>
        <v>1.1805555555555569E-2</v>
      </c>
      <c r="J111" s="11">
        <v>4</v>
      </c>
      <c r="K111" s="11">
        <v>139.21</v>
      </c>
      <c r="L111" s="16">
        <f t="shared" si="13"/>
        <v>122.83235294117634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>
        <v>2</v>
      </c>
      <c r="W111" s="12"/>
      <c r="X111" s="11"/>
      <c r="Y111" s="11"/>
      <c r="Z111" s="11"/>
      <c r="AA111" s="11"/>
      <c r="AB111" s="11"/>
      <c r="AC111" s="11"/>
      <c r="AD111" s="11">
        <v>17</v>
      </c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1930</v>
      </c>
      <c r="F112" s="8" t="s">
        <v>42</v>
      </c>
      <c r="G112" s="9">
        <v>0.44166666666666665</v>
      </c>
      <c r="H112" s="9">
        <v>0.45347222222222222</v>
      </c>
      <c r="I112" s="10">
        <f t="shared" si="12"/>
        <v>1.1805555555555569E-2</v>
      </c>
      <c r="J112" s="11">
        <v>4</v>
      </c>
      <c r="K112" s="11">
        <v>138.02000000000001</v>
      </c>
      <c r="L112" s="16">
        <f t="shared" si="13"/>
        <v>121.78235294117634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>
        <v>2</v>
      </c>
      <c r="W112" s="12"/>
      <c r="X112" s="11"/>
      <c r="Y112" s="11"/>
      <c r="Z112" s="11"/>
      <c r="AA112" s="11"/>
      <c r="AB112" s="11"/>
      <c r="AC112" s="11"/>
      <c r="AD112" s="11">
        <v>17</v>
      </c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9" t="s">
        <v>1931</v>
      </c>
      <c r="F113" s="8" t="s">
        <v>42</v>
      </c>
      <c r="G113" s="9">
        <v>0.46319444444444446</v>
      </c>
      <c r="H113" s="9">
        <v>0.47499999999999998</v>
      </c>
      <c r="I113" s="10">
        <f t="shared" si="12"/>
        <v>1.1805555555555514E-2</v>
      </c>
      <c r="J113" s="11">
        <v>4</v>
      </c>
      <c r="K113" s="11">
        <v>138.18</v>
      </c>
      <c r="L113" s="16">
        <f t="shared" si="13"/>
        <v>121.92352941176516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>
        <v>2</v>
      </c>
      <c r="W113" s="12"/>
      <c r="X113" s="11"/>
      <c r="Y113" s="11"/>
      <c r="Z113" s="11"/>
      <c r="AA113" s="11"/>
      <c r="AB113" s="11"/>
      <c r="AC113" s="11"/>
      <c r="AD113" s="11">
        <v>17</v>
      </c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 t="s">
        <v>1932</v>
      </c>
      <c r="F114" s="8" t="s">
        <v>42</v>
      </c>
      <c r="G114" s="9">
        <v>0.65347222222222223</v>
      </c>
      <c r="H114" s="9">
        <v>0.67013888888888884</v>
      </c>
      <c r="I114" s="10">
        <f t="shared" si="12"/>
        <v>1.6666666666666607E-2</v>
      </c>
      <c r="J114" s="11">
        <v>4</v>
      </c>
      <c r="K114" s="11">
        <v>138.25</v>
      </c>
      <c r="L114" s="16">
        <f t="shared" si="13"/>
        <v>86.406250000000298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>
        <v>2</v>
      </c>
      <c r="W114" s="12"/>
      <c r="X114" s="11"/>
      <c r="Y114" s="11"/>
      <c r="Z114" s="11"/>
      <c r="AA114" s="11"/>
      <c r="AB114" s="11"/>
      <c r="AC114" s="11"/>
      <c r="AD114" s="11">
        <v>24</v>
      </c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9" t="s">
        <v>1933</v>
      </c>
      <c r="F115" s="8" t="s">
        <v>42</v>
      </c>
      <c r="G115" s="9">
        <v>0.67777777777777781</v>
      </c>
      <c r="H115" s="9">
        <v>0.69236111111111109</v>
      </c>
      <c r="I115" s="10">
        <f t="shared" si="12"/>
        <v>1.4583333333333282E-2</v>
      </c>
      <c r="J115" s="11">
        <v>4</v>
      </c>
      <c r="K115" s="11">
        <v>138.28</v>
      </c>
      <c r="L115" s="16">
        <f t="shared" si="13"/>
        <v>98.771428571428928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>
        <v>2</v>
      </c>
      <c r="W115" s="12"/>
      <c r="X115" s="11"/>
      <c r="Y115" s="11"/>
      <c r="Z115" s="11"/>
      <c r="AA115" s="11"/>
      <c r="AB115" s="11"/>
      <c r="AC115" s="11"/>
      <c r="AD115" s="11">
        <v>21</v>
      </c>
      <c r="AE115" s="11"/>
      <c r="AF115" s="11"/>
      <c r="AG115" s="11"/>
      <c r="AH115" s="11"/>
      <c r="AI115" s="11"/>
      <c r="AJ115" s="11"/>
      <c r="AK115" s="11"/>
      <c r="AL115" s="14"/>
    </row>
    <row r="116" spans="2:38" ht="25.05" customHeight="1">
      <c r="B116" s="13"/>
      <c r="C116" s="29"/>
      <c r="D116" s="30"/>
      <c r="E116" s="19" t="s">
        <v>1934</v>
      </c>
      <c r="F116" s="8" t="s">
        <v>42</v>
      </c>
      <c r="G116" s="9">
        <v>0.69861111111111107</v>
      </c>
      <c r="H116" s="9">
        <v>0.71319444444444446</v>
      </c>
      <c r="I116" s="10">
        <f t="shared" si="12"/>
        <v>1.4583333333333393E-2</v>
      </c>
      <c r="J116" s="11">
        <v>4</v>
      </c>
      <c r="K116" s="11">
        <v>138.72</v>
      </c>
      <c r="L116" s="16">
        <f t="shared" si="13"/>
        <v>99.085714285713891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>
        <v>2</v>
      </c>
      <c r="W116" s="12"/>
      <c r="X116" s="11"/>
      <c r="Y116" s="11"/>
      <c r="Z116" s="11"/>
      <c r="AA116" s="11"/>
      <c r="AB116" s="11"/>
      <c r="AC116" s="11"/>
      <c r="AD116" s="11">
        <v>21</v>
      </c>
      <c r="AE116" s="11"/>
      <c r="AF116" s="11"/>
      <c r="AG116" s="11"/>
      <c r="AH116" s="11"/>
      <c r="AI116" s="11"/>
      <c r="AJ116" s="11"/>
      <c r="AK116" s="11"/>
      <c r="AL116" s="14"/>
    </row>
    <row r="117" spans="2:38" ht="25.05" customHeight="1">
      <c r="B117" s="13"/>
      <c r="C117" s="29"/>
      <c r="D117" s="30"/>
      <c r="E117" s="19" t="s">
        <v>1935</v>
      </c>
      <c r="F117" s="8" t="s">
        <v>42</v>
      </c>
      <c r="G117" s="9">
        <v>0.71736111111111112</v>
      </c>
      <c r="H117" s="9">
        <v>0.73124999999999996</v>
      </c>
      <c r="I117" s="10">
        <f t="shared" si="12"/>
        <v>1.388888888888884E-2</v>
      </c>
      <c r="J117" s="11">
        <v>4</v>
      </c>
      <c r="K117" s="11">
        <v>139.44</v>
      </c>
      <c r="L117" s="16">
        <f t="shared" si="13"/>
        <v>104.58000000000037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>
        <v>2</v>
      </c>
      <c r="W117" s="12"/>
      <c r="X117" s="11"/>
      <c r="Y117" s="11"/>
      <c r="Z117" s="11"/>
      <c r="AA117" s="11"/>
      <c r="AB117" s="11"/>
      <c r="AC117" s="11"/>
      <c r="AD117" s="11">
        <v>20</v>
      </c>
      <c r="AE117" s="11"/>
      <c r="AF117" s="11"/>
      <c r="AG117" s="11"/>
      <c r="AH117" s="11"/>
      <c r="AI117" s="11"/>
      <c r="AJ117" s="11"/>
      <c r="AK117" s="11"/>
      <c r="AL117" s="14"/>
    </row>
    <row r="118" spans="2:38" ht="25.05" customHeight="1">
      <c r="B118" s="13"/>
      <c r="C118" s="29"/>
      <c r="D118" s="30"/>
      <c r="E118" s="19" t="s">
        <v>1936</v>
      </c>
      <c r="F118" s="8" t="s">
        <v>42</v>
      </c>
      <c r="G118" s="9">
        <v>0.73541666666666672</v>
      </c>
      <c r="H118" s="9">
        <v>0.74861111111111112</v>
      </c>
      <c r="I118" s="10">
        <f t="shared" si="12"/>
        <v>1.3194444444444398E-2</v>
      </c>
      <c r="J118" s="11">
        <v>4</v>
      </c>
      <c r="K118" s="11">
        <v>138.28</v>
      </c>
      <c r="L118" s="16">
        <f t="shared" si="13"/>
        <v>109.16842105263197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>
        <v>2</v>
      </c>
      <c r="W118" s="12"/>
      <c r="X118" s="11"/>
      <c r="Y118" s="11"/>
      <c r="Z118" s="11"/>
      <c r="AA118" s="11"/>
      <c r="AB118" s="11"/>
      <c r="AC118" s="11"/>
      <c r="AD118" s="11">
        <v>19</v>
      </c>
      <c r="AE118" s="11"/>
      <c r="AF118" s="11"/>
      <c r="AG118" s="11"/>
      <c r="AH118" s="11"/>
      <c r="AI118" s="11"/>
      <c r="AJ118" s="11"/>
      <c r="AK118" s="11"/>
      <c r="AL118" s="14"/>
    </row>
    <row r="119" spans="2:38" ht="25.05" customHeight="1">
      <c r="B119" s="13"/>
      <c r="C119" s="29"/>
      <c r="D119" s="30"/>
      <c r="E119" s="19" t="s">
        <v>1937</v>
      </c>
      <c r="F119" s="8" t="s">
        <v>42</v>
      </c>
      <c r="G119" s="9">
        <v>0.76041666666666663</v>
      </c>
      <c r="H119" s="9">
        <v>0.77361111111111114</v>
      </c>
      <c r="I119" s="10">
        <f t="shared" si="12"/>
        <v>1.3194444444444509E-2</v>
      </c>
      <c r="J119" s="11">
        <v>4</v>
      </c>
      <c r="K119" s="11">
        <v>138.28</v>
      </c>
      <c r="L119" s="16">
        <f t="shared" si="13"/>
        <v>109.16842105263105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>
        <v>2</v>
      </c>
      <c r="W119" s="12"/>
      <c r="X119" s="11"/>
      <c r="Y119" s="11"/>
      <c r="Z119" s="11"/>
      <c r="AA119" s="11"/>
      <c r="AB119" s="11"/>
      <c r="AC119" s="11"/>
      <c r="AD119" s="11">
        <v>19</v>
      </c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/>
      <c r="E120" s="19"/>
      <c r="F120" s="8"/>
      <c r="G120" s="9"/>
      <c r="H120" s="9"/>
      <c r="I120" s="10"/>
      <c r="J120" s="11"/>
      <c r="K120" s="11"/>
      <c r="L120" s="16"/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 t="s">
        <v>1813</v>
      </c>
      <c r="E121" s="19" t="s">
        <v>1255</v>
      </c>
      <c r="F121" s="8" t="s">
        <v>42</v>
      </c>
      <c r="G121" s="9">
        <v>0.3611111111111111</v>
      </c>
      <c r="H121" s="9">
        <v>0.38263888888888886</v>
      </c>
      <c r="I121" s="10">
        <f t="shared" si="12"/>
        <v>2.1527777777777757E-2</v>
      </c>
      <c r="J121" s="11">
        <v>4</v>
      </c>
      <c r="K121" s="11">
        <v>79.58</v>
      </c>
      <c r="L121" s="16">
        <f t="shared" si="13"/>
        <v>38.506451612903263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/>
      <c r="X121" s="11"/>
      <c r="Y121" s="11"/>
      <c r="Z121" s="11"/>
      <c r="AA121" s="11"/>
      <c r="AB121" s="11"/>
      <c r="AC121" s="11"/>
      <c r="AD121" s="11"/>
      <c r="AE121" s="11"/>
      <c r="AF121" s="11"/>
      <c r="AG121" s="11">
        <v>7.75</v>
      </c>
      <c r="AH121" s="11">
        <v>7.75</v>
      </c>
      <c r="AI121" s="11">
        <v>7.75</v>
      </c>
      <c r="AJ121" s="11">
        <v>7.75</v>
      </c>
      <c r="AK121" s="11"/>
      <c r="AL121" s="14"/>
    </row>
    <row r="122" spans="2:38" ht="25.05" customHeight="1">
      <c r="B122" s="13"/>
      <c r="C122" s="29"/>
      <c r="D122" s="30"/>
      <c r="E122" s="19" t="s">
        <v>1256</v>
      </c>
      <c r="F122" s="8" t="s">
        <v>42</v>
      </c>
      <c r="G122" s="9">
        <v>0.38333333333333336</v>
      </c>
      <c r="H122" s="9">
        <v>0.40555555555555556</v>
      </c>
      <c r="I122" s="10">
        <f t="shared" si="12"/>
        <v>2.2222222222222199E-2</v>
      </c>
      <c r="J122" s="11">
        <v>4</v>
      </c>
      <c r="K122" s="11">
        <v>79.92</v>
      </c>
      <c r="L122" s="16">
        <f t="shared" si="13"/>
        <v>37.462500000000041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>
        <v>3</v>
      </c>
      <c r="W122" s="12"/>
      <c r="X122" s="11"/>
      <c r="Y122" s="11"/>
      <c r="Z122" s="11"/>
      <c r="AA122" s="11"/>
      <c r="AB122" s="11"/>
      <c r="AC122" s="11"/>
      <c r="AD122" s="11"/>
      <c r="AE122" s="11"/>
      <c r="AF122" s="11"/>
      <c r="AG122" s="11">
        <v>8</v>
      </c>
      <c r="AH122" s="11">
        <v>8</v>
      </c>
      <c r="AI122" s="11">
        <v>8</v>
      </c>
      <c r="AJ122" s="11">
        <v>8</v>
      </c>
      <c r="AK122" s="11"/>
      <c r="AL122" s="14"/>
    </row>
    <row r="123" spans="2:38" ht="25.05" customHeight="1">
      <c r="B123" s="13"/>
      <c r="C123" s="29"/>
      <c r="D123" s="30"/>
      <c r="E123" s="19" t="s">
        <v>1938</v>
      </c>
      <c r="F123" s="8" t="s">
        <v>42</v>
      </c>
      <c r="G123" s="9">
        <v>0.42083333333333334</v>
      </c>
      <c r="H123" s="9">
        <v>0.44236111111111109</v>
      </c>
      <c r="I123" s="10">
        <f t="shared" si="12"/>
        <v>2.1527777777777757E-2</v>
      </c>
      <c r="J123" s="11">
        <v>4</v>
      </c>
      <c r="K123" s="11">
        <v>80.180000000000007</v>
      </c>
      <c r="L123" s="16">
        <f t="shared" si="13"/>
        <v>38.79677419354843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>
        <v>3</v>
      </c>
      <c r="W123" s="12"/>
      <c r="X123" s="11"/>
      <c r="Y123" s="11"/>
      <c r="Z123" s="11"/>
      <c r="AA123" s="11"/>
      <c r="AB123" s="11"/>
      <c r="AC123" s="11"/>
      <c r="AD123" s="11"/>
      <c r="AE123" s="11"/>
      <c r="AF123" s="11"/>
      <c r="AG123" s="11">
        <v>7.75</v>
      </c>
      <c r="AH123" s="11">
        <v>7.75</v>
      </c>
      <c r="AI123" s="11">
        <v>7.75</v>
      </c>
      <c r="AJ123" s="11">
        <v>7.75</v>
      </c>
      <c r="AK123" s="11"/>
      <c r="AL123" s="14"/>
    </row>
    <row r="124" spans="2:38" ht="25.05" customHeight="1">
      <c r="B124" s="13"/>
      <c r="C124" s="29"/>
      <c r="D124" s="30"/>
      <c r="E124" s="19" t="s">
        <v>1939</v>
      </c>
      <c r="F124" s="8" t="s">
        <v>42</v>
      </c>
      <c r="G124" s="9">
        <v>0.44374999999999998</v>
      </c>
      <c r="H124" s="9">
        <v>0.46388888888888891</v>
      </c>
      <c r="I124" s="10">
        <f t="shared" si="12"/>
        <v>2.0138888888888928E-2</v>
      </c>
      <c r="J124" s="11">
        <v>4</v>
      </c>
      <c r="K124" s="11">
        <v>78.64</v>
      </c>
      <c r="L124" s="16">
        <f t="shared" si="13"/>
        <v>40.675862068965436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/>
      <c r="W124" s="12">
        <v>3</v>
      </c>
      <c r="X124" s="11"/>
      <c r="Y124" s="11"/>
      <c r="Z124" s="11"/>
      <c r="AA124" s="11"/>
      <c r="AB124" s="11"/>
      <c r="AC124" s="11"/>
      <c r="AD124" s="11"/>
      <c r="AE124" s="11"/>
      <c r="AF124" s="11"/>
      <c r="AG124" s="11">
        <v>7.25</v>
      </c>
      <c r="AH124" s="11">
        <v>7.25</v>
      </c>
      <c r="AI124" s="11">
        <v>7.25</v>
      </c>
      <c r="AJ124" s="11">
        <v>7.25</v>
      </c>
      <c r="AK124" s="11"/>
      <c r="AL124" s="14"/>
    </row>
    <row r="125" spans="2:38" ht="25.05" customHeight="1">
      <c r="B125" s="13"/>
      <c r="C125" s="29"/>
      <c r="D125" s="30"/>
      <c r="E125" s="19" t="s">
        <v>1940</v>
      </c>
      <c r="F125" s="8" t="s">
        <v>42</v>
      </c>
      <c r="G125" s="9">
        <v>0.46805555555555556</v>
      </c>
      <c r="H125" s="9">
        <v>0.48888888888888887</v>
      </c>
      <c r="I125" s="10">
        <f t="shared" si="12"/>
        <v>2.0833333333333315E-2</v>
      </c>
      <c r="J125" s="11">
        <v>4</v>
      </c>
      <c r="K125" s="11">
        <v>78.069999999999993</v>
      </c>
      <c r="L125" s="16">
        <f t="shared" si="13"/>
        <v>39.035000000000032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>
        <v>3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>
        <v>7.5</v>
      </c>
      <c r="AH125" s="11">
        <v>7.5</v>
      </c>
      <c r="AI125" s="11">
        <v>7.5</v>
      </c>
      <c r="AJ125" s="11">
        <v>7.5</v>
      </c>
      <c r="AK125" s="11"/>
      <c r="AL125" s="14"/>
    </row>
    <row r="126" spans="2:38" ht="25.05" customHeight="1">
      <c r="B126" s="13"/>
      <c r="C126" s="29"/>
      <c r="D126" s="30"/>
      <c r="E126" s="19" t="s">
        <v>1941</v>
      </c>
      <c r="F126" s="8" t="s">
        <v>42</v>
      </c>
      <c r="G126" s="9">
        <v>0.58680555555555558</v>
      </c>
      <c r="H126" s="9">
        <v>0.61041666666666672</v>
      </c>
      <c r="I126" s="10">
        <f t="shared" si="12"/>
        <v>2.3611111111111138E-2</v>
      </c>
      <c r="J126" s="11">
        <v>4</v>
      </c>
      <c r="K126" s="11">
        <v>79.48</v>
      </c>
      <c r="L126" s="16">
        <f t="shared" si="13"/>
        <v>35.064705882352904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>
        <v>3</v>
      </c>
      <c r="W126" s="12"/>
      <c r="X126" s="11"/>
      <c r="Y126" s="11"/>
      <c r="Z126" s="11"/>
      <c r="AA126" s="11"/>
      <c r="AB126" s="11"/>
      <c r="AC126" s="11"/>
      <c r="AD126" s="11"/>
      <c r="AE126" s="11"/>
      <c r="AF126" s="11"/>
      <c r="AG126" s="11">
        <v>8.5</v>
      </c>
      <c r="AH126" s="11">
        <v>8.5</v>
      </c>
      <c r="AI126" s="11">
        <v>8.5</v>
      </c>
      <c r="AJ126" s="11">
        <v>8.5</v>
      </c>
      <c r="AK126" s="11"/>
      <c r="AL126" s="14"/>
    </row>
    <row r="127" spans="2:38" ht="25.05" customHeight="1">
      <c r="B127" s="13"/>
      <c r="C127" s="29"/>
      <c r="D127" s="30"/>
      <c r="E127" s="19" t="s">
        <v>1942</v>
      </c>
      <c r="F127" s="8" t="s">
        <v>42</v>
      </c>
      <c r="G127" s="9">
        <v>0.6118055555555556</v>
      </c>
      <c r="H127" s="9">
        <v>0.63263888888888886</v>
      </c>
      <c r="I127" s="10">
        <f t="shared" si="12"/>
        <v>2.0833333333333259E-2</v>
      </c>
      <c r="J127" s="11">
        <v>4</v>
      </c>
      <c r="K127" s="11">
        <v>79.88</v>
      </c>
      <c r="L127" s="16">
        <f t="shared" si="13"/>
        <v>39.94000000000014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/>
      <c r="W127" s="12">
        <v>3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>
        <v>7.5</v>
      </c>
      <c r="AH127" s="11">
        <v>7.5</v>
      </c>
      <c r="AI127" s="11">
        <v>7.5</v>
      </c>
      <c r="AJ127" s="11">
        <v>7.5</v>
      </c>
      <c r="AK127" s="11"/>
      <c r="AL127" s="14"/>
    </row>
    <row r="128" spans="2:38" ht="25.05" customHeight="1">
      <c r="B128" s="13"/>
      <c r="C128" s="29"/>
      <c r="D128" s="30"/>
      <c r="E128" s="19" t="s">
        <v>1943</v>
      </c>
      <c r="F128" s="8" t="s">
        <v>42</v>
      </c>
      <c r="G128" s="9">
        <v>0.63472222222222219</v>
      </c>
      <c r="H128" s="9">
        <v>0.65486111111111112</v>
      </c>
      <c r="I128" s="10">
        <f t="shared" si="12"/>
        <v>2.0138888888888928E-2</v>
      </c>
      <c r="J128" s="11">
        <v>4</v>
      </c>
      <c r="K128" s="11">
        <v>78.22</v>
      </c>
      <c r="L128" s="16">
        <f t="shared" si="13"/>
        <v>40.458620689655092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>
        <v>3</v>
      </c>
      <c r="W128" s="12"/>
      <c r="X128" s="11"/>
      <c r="Y128" s="11"/>
      <c r="Z128" s="11"/>
      <c r="AA128" s="11"/>
      <c r="AB128" s="11"/>
      <c r="AC128" s="11"/>
      <c r="AD128" s="11"/>
      <c r="AE128" s="11"/>
      <c r="AF128" s="11"/>
      <c r="AG128" s="11">
        <v>7.25</v>
      </c>
      <c r="AH128" s="11">
        <v>7.25</v>
      </c>
      <c r="AI128" s="11">
        <v>7.25</v>
      </c>
      <c r="AJ128" s="11">
        <v>7.25</v>
      </c>
      <c r="AK128" s="11"/>
      <c r="AL128" s="14"/>
    </row>
    <row r="129" spans="2:38" ht="25.05" customHeight="1">
      <c r="B129" s="13"/>
      <c r="C129" s="29"/>
      <c r="D129" s="30"/>
      <c r="E129" s="19" t="s">
        <v>1944</v>
      </c>
      <c r="F129" s="8" t="s">
        <v>42</v>
      </c>
      <c r="G129" s="9">
        <v>0.65625</v>
      </c>
      <c r="H129" s="9">
        <v>0.67708333333333337</v>
      </c>
      <c r="I129" s="10">
        <f t="shared" si="12"/>
        <v>2.083333333333337E-2</v>
      </c>
      <c r="J129" s="11">
        <v>4</v>
      </c>
      <c r="K129" s="11">
        <v>82.28</v>
      </c>
      <c r="L129" s="16">
        <f t="shared" si="13"/>
        <v>41.13999999999993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/>
      <c r="W129" s="12">
        <v>3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>
        <v>7.5</v>
      </c>
      <c r="AH129" s="11">
        <v>7.5</v>
      </c>
      <c r="AI129" s="11">
        <v>7.5</v>
      </c>
      <c r="AJ129" s="11">
        <v>7.5</v>
      </c>
      <c r="AK129" s="11"/>
      <c r="AL129" s="14"/>
    </row>
    <row r="130" spans="2:38" ht="25.05" customHeight="1">
      <c r="B130" s="13"/>
      <c r="C130" s="29"/>
      <c r="D130" s="30"/>
      <c r="E130" s="19" t="s">
        <v>1945</v>
      </c>
      <c r="F130" s="8" t="s">
        <v>42</v>
      </c>
      <c r="G130" s="9">
        <v>0.67847222222222225</v>
      </c>
      <c r="H130" s="9">
        <v>0.69722222222222219</v>
      </c>
      <c r="I130" s="10">
        <f t="shared" si="12"/>
        <v>1.8749999999999933E-2</v>
      </c>
      <c r="J130" s="11">
        <v>4</v>
      </c>
      <c r="K130" s="11">
        <v>75.17</v>
      </c>
      <c r="L130" s="16">
        <f t="shared" si="13"/>
        <v>41.761111111111262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>
        <v>3</v>
      </c>
      <c r="W130" s="12"/>
      <c r="X130" s="11"/>
      <c r="Y130" s="11"/>
      <c r="Z130" s="11"/>
      <c r="AA130" s="11"/>
      <c r="AB130" s="11"/>
      <c r="AC130" s="11"/>
      <c r="AD130" s="11"/>
      <c r="AE130" s="11"/>
      <c r="AF130" s="11"/>
      <c r="AG130" s="11">
        <v>6.75</v>
      </c>
      <c r="AH130" s="11">
        <v>6.75</v>
      </c>
      <c r="AI130" s="11">
        <v>6.75</v>
      </c>
      <c r="AJ130" s="11">
        <v>6.75</v>
      </c>
      <c r="AK130" s="11"/>
      <c r="AL130" s="14"/>
    </row>
    <row r="131" spans="2:38" ht="25.05" customHeight="1">
      <c r="B131" s="13"/>
      <c r="C131" s="29"/>
      <c r="D131" s="30"/>
      <c r="E131" s="19"/>
      <c r="F131" s="8"/>
      <c r="G131" s="9"/>
      <c r="H131" s="9"/>
      <c r="I131" s="10"/>
      <c r="J131" s="11"/>
      <c r="K131" s="11"/>
      <c r="L131" s="16"/>
      <c r="M131" s="11"/>
      <c r="N131" s="11"/>
      <c r="O131" s="11"/>
      <c r="P131" s="11"/>
      <c r="Q131" s="11"/>
      <c r="R131" s="12"/>
      <c r="S131" s="12"/>
      <c r="T131" s="11"/>
      <c r="U131" s="11"/>
      <c r="V131" s="12"/>
      <c r="W131" s="12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spans="2:38" ht="25.05" customHeight="1">
      <c r="B132" s="13"/>
      <c r="C132" s="29"/>
      <c r="D132" s="30" t="s">
        <v>1946</v>
      </c>
      <c r="E132" s="19" t="s">
        <v>1947</v>
      </c>
      <c r="F132" s="8" t="s">
        <v>42</v>
      </c>
      <c r="G132" s="9">
        <v>0.45</v>
      </c>
      <c r="H132" s="9">
        <v>0.48125000000000001</v>
      </c>
      <c r="I132" s="10">
        <f t="shared" si="12"/>
        <v>3.125E-2</v>
      </c>
      <c r="J132" s="11">
        <v>3</v>
      </c>
      <c r="K132" s="11" t="s">
        <v>42</v>
      </c>
      <c r="L132" s="16" t="str">
        <f t="shared" si="13"/>
        <v>0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/>
      <c r="W132" s="12"/>
      <c r="X132" s="11"/>
      <c r="Y132" s="11">
        <v>45</v>
      </c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spans="2:38" ht="25.05" customHeight="1">
      <c r="B133" s="13"/>
      <c r="C133" s="29"/>
      <c r="D133" s="30"/>
      <c r="E133" s="19" t="s">
        <v>1948</v>
      </c>
      <c r="F133" s="8" t="s">
        <v>42</v>
      </c>
      <c r="G133" s="9">
        <v>0.49444444444444446</v>
      </c>
      <c r="H133" s="9">
        <v>0.50138888888888888</v>
      </c>
      <c r="I133" s="10">
        <f t="shared" si="12"/>
        <v>6.9444444444444198E-3</v>
      </c>
      <c r="J133" s="11">
        <v>3</v>
      </c>
      <c r="K133" s="11" t="s">
        <v>42</v>
      </c>
      <c r="L133" s="16" t="str">
        <f t="shared" si="13"/>
        <v>0</v>
      </c>
      <c r="M133" s="11"/>
      <c r="N133" s="11"/>
      <c r="O133" s="11"/>
      <c r="P133" s="11"/>
      <c r="Q133" s="11"/>
      <c r="R133" s="12"/>
      <c r="S133" s="12"/>
      <c r="T133" s="11"/>
      <c r="U133" s="11"/>
      <c r="V133" s="12">
        <v>10</v>
      </c>
      <c r="W133" s="12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4"/>
    </row>
    <row r="134" spans="2:38" ht="25.05" customHeight="1">
      <c r="B134" s="13"/>
      <c r="C134" s="29"/>
      <c r="D134" s="30"/>
      <c r="E134" s="19" t="s">
        <v>1949</v>
      </c>
      <c r="F134" s="8" t="s">
        <v>42</v>
      </c>
      <c r="G134" s="9">
        <v>0.59722222222222221</v>
      </c>
      <c r="H134" s="9">
        <v>0.60347222222222219</v>
      </c>
      <c r="I134" s="10">
        <f t="shared" si="12"/>
        <v>6.2499999999999778E-3</v>
      </c>
      <c r="J134" s="11">
        <v>3</v>
      </c>
      <c r="K134" s="11">
        <v>73.63</v>
      </c>
      <c r="L134" s="16">
        <f t="shared" si="13"/>
        <v>163.6222222222228</v>
      </c>
      <c r="M134" s="11"/>
      <c r="N134" s="11"/>
      <c r="O134" s="11"/>
      <c r="P134" s="11"/>
      <c r="Q134" s="11"/>
      <c r="R134" s="12"/>
      <c r="S134" s="12"/>
      <c r="T134" s="11"/>
      <c r="U134" s="11"/>
      <c r="V134" s="12">
        <v>2</v>
      </c>
      <c r="W134" s="12"/>
      <c r="X134" s="11"/>
      <c r="Y134" s="11"/>
      <c r="Z134" s="11"/>
      <c r="AA134" s="11"/>
      <c r="AB134" s="11"/>
      <c r="AC134" s="11">
        <v>9</v>
      </c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spans="2:38" ht="25.05" customHeight="1">
      <c r="B135" s="13"/>
      <c r="C135" s="29"/>
      <c r="D135" s="30"/>
      <c r="E135" s="19" t="s">
        <v>1950</v>
      </c>
      <c r="F135" s="8" t="s">
        <v>42</v>
      </c>
      <c r="G135" s="9">
        <v>0.57291666666666663</v>
      </c>
      <c r="H135" s="9">
        <v>0.58125000000000004</v>
      </c>
      <c r="I135" s="10">
        <f t="shared" si="12"/>
        <v>8.3333333333334147E-3</v>
      </c>
      <c r="J135" s="11">
        <v>3</v>
      </c>
      <c r="K135" s="11">
        <v>28.64</v>
      </c>
      <c r="L135" s="16">
        <f t="shared" si="13"/>
        <v>47.733333333332865</v>
      </c>
      <c r="M135" s="11"/>
      <c r="N135" s="11"/>
      <c r="O135" s="11"/>
      <c r="P135" s="11"/>
      <c r="Q135" s="11"/>
      <c r="R135" s="12"/>
      <c r="S135" s="12"/>
      <c r="T135" s="11"/>
      <c r="U135" s="11"/>
      <c r="V135" s="12">
        <v>2</v>
      </c>
      <c r="W135" s="12"/>
      <c r="X135" s="11"/>
      <c r="Y135" s="11"/>
      <c r="Z135" s="11"/>
      <c r="AA135" s="11"/>
      <c r="AB135" s="11"/>
      <c r="AC135" s="11">
        <v>12</v>
      </c>
      <c r="AD135" s="11"/>
      <c r="AE135" s="11"/>
      <c r="AF135" s="11"/>
      <c r="AG135" s="11"/>
      <c r="AH135" s="11"/>
      <c r="AI135" s="11"/>
      <c r="AJ135" s="11"/>
      <c r="AK135" s="11"/>
      <c r="AL135" s="14"/>
    </row>
    <row r="136" spans="2:38" ht="25.05" customHeight="1">
      <c r="B136" s="13"/>
      <c r="C136" s="29"/>
      <c r="D136" s="30"/>
      <c r="E136" s="19" t="s">
        <v>1951</v>
      </c>
      <c r="F136" s="8" t="s">
        <v>42</v>
      </c>
      <c r="G136" s="9">
        <v>0.58750000000000002</v>
      </c>
      <c r="H136" s="9">
        <v>0.59097222222222223</v>
      </c>
      <c r="I136" s="10">
        <f t="shared" si="12"/>
        <v>3.4722222222222099E-3</v>
      </c>
      <c r="J136" s="11">
        <v>3</v>
      </c>
      <c r="K136" s="11">
        <v>37.1</v>
      </c>
      <c r="L136" s="16">
        <f t="shared" si="13"/>
        <v>148.40000000000052</v>
      </c>
      <c r="M136" s="11"/>
      <c r="N136" s="11"/>
      <c r="O136" s="11"/>
      <c r="P136" s="11"/>
      <c r="Q136" s="11"/>
      <c r="R136" s="12"/>
      <c r="S136" s="12"/>
      <c r="T136" s="11"/>
      <c r="U136" s="11"/>
      <c r="V136" s="12">
        <v>2</v>
      </c>
      <c r="W136" s="12"/>
      <c r="X136" s="11"/>
      <c r="Y136" s="11"/>
      <c r="Z136" s="11"/>
      <c r="AA136" s="11"/>
      <c r="AB136" s="11"/>
      <c r="AC136" s="11">
        <v>15</v>
      </c>
      <c r="AD136" s="11"/>
      <c r="AE136" s="11"/>
      <c r="AF136" s="11"/>
      <c r="AG136" s="11"/>
      <c r="AH136" s="11"/>
      <c r="AI136" s="11"/>
      <c r="AJ136" s="11"/>
      <c r="AK136" s="11"/>
      <c r="AL136" s="14"/>
    </row>
    <row r="137" spans="2:38" ht="25.05" customHeight="1">
      <c r="B137" s="13"/>
      <c r="C137" s="29"/>
      <c r="D137" s="30"/>
      <c r="E137" s="19" t="s">
        <v>1952</v>
      </c>
      <c r="F137" s="8" t="s">
        <v>42</v>
      </c>
      <c r="G137" s="9">
        <v>0.62291666666666667</v>
      </c>
      <c r="H137" s="9">
        <v>0.64027777777777772</v>
      </c>
      <c r="I137" s="10">
        <f t="shared" si="12"/>
        <v>1.7361111111111049E-2</v>
      </c>
      <c r="J137" s="11">
        <v>3</v>
      </c>
      <c r="K137" s="11">
        <v>24</v>
      </c>
      <c r="L137" s="16">
        <f t="shared" si="13"/>
        <v>19.20000000000007</v>
      </c>
      <c r="M137" s="11"/>
      <c r="N137" s="11"/>
      <c r="O137" s="11"/>
      <c r="P137" s="11"/>
      <c r="Q137" s="11"/>
      <c r="R137" s="12"/>
      <c r="S137" s="12"/>
      <c r="T137" s="11"/>
      <c r="U137" s="11"/>
      <c r="V137" s="12">
        <v>7</v>
      </c>
      <c r="W137" s="12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4"/>
    </row>
    <row r="138" spans="2:38" ht="25.05" customHeight="1">
      <c r="B138" s="13"/>
      <c r="C138" s="29"/>
      <c r="D138" s="30"/>
      <c r="E138" s="19" t="s">
        <v>1953</v>
      </c>
      <c r="F138" s="8" t="s">
        <v>42</v>
      </c>
      <c r="G138" s="9">
        <v>0.6430555555555556</v>
      </c>
      <c r="H138" s="9">
        <v>0.6430555555555556</v>
      </c>
      <c r="I138" s="10">
        <f t="shared" si="12"/>
        <v>0</v>
      </c>
      <c r="J138" s="11">
        <v>3</v>
      </c>
      <c r="K138" s="11">
        <v>3.68</v>
      </c>
      <c r="L138" s="16" t="str">
        <f t="shared" si="13"/>
        <v>0</v>
      </c>
      <c r="M138" s="11"/>
      <c r="N138" s="11"/>
      <c r="O138" s="11"/>
      <c r="P138" s="11"/>
      <c r="Q138" s="11"/>
      <c r="R138" s="12"/>
      <c r="S138" s="12"/>
      <c r="T138" s="11"/>
      <c r="U138" s="11"/>
      <c r="V138" s="12">
        <v>2</v>
      </c>
      <c r="W138" s="12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4"/>
    </row>
    <row r="139" spans="2:38" ht="25.05" customHeight="1">
      <c r="B139" s="13"/>
      <c r="C139" s="29"/>
      <c r="D139" s="30"/>
      <c r="E139" s="19"/>
      <c r="F139" s="8"/>
      <c r="G139" s="9"/>
      <c r="H139" s="9"/>
      <c r="I139" s="10"/>
      <c r="J139" s="11"/>
      <c r="K139" s="11"/>
      <c r="L139" s="16"/>
      <c r="M139" s="11"/>
      <c r="N139" s="11"/>
      <c r="O139" s="11"/>
      <c r="P139" s="11"/>
      <c r="Q139" s="11"/>
      <c r="R139" s="12"/>
      <c r="S139" s="12"/>
      <c r="T139" s="11"/>
      <c r="U139" s="11"/>
      <c r="V139" s="12"/>
      <c r="W139" s="12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4"/>
    </row>
    <row r="140" spans="2:38" ht="25.05" customHeight="1">
      <c r="B140" s="13"/>
      <c r="C140" s="29"/>
      <c r="D140" s="30" t="s">
        <v>1432</v>
      </c>
      <c r="E140" s="19" t="s">
        <v>664</v>
      </c>
      <c r="F140" s="8" t="s">
        <v>42</v>
      </c>
      <c r="G140" s="9">
        <v>0.56041666666666667</v>
      </c>
      <c r="H140" s="9">
        <v>0.58125000000000004</v>
      </c>
      <c r="I140" s="10">
        <f t="shared" si="12"/>
        <v>2.083333333333337E-2</v>
      </c>
      <c r="J140" s="11">
        <v>3</v>
      </c>
      <c r="K140" s="11">
        <f>0.03*3200</f>
        <v>96</v>
      </c>
      <c r="L140" s="16">
        <f t="shared" si="13"/>
        <v>63.999999999999886</v>
      </c>
      <c r="M140" s="11"/>
      <c r="N140" s="11"/>
      <c r="O140" s="11"/>
      <c r="P140" s="11"/>
      <c r="Q140" s="11"/>
      <c r="R140" s="12"/>
      <c r="S140" s="12"/>
      <c r="T140" s="11"/>
      <c r="U140" s="11"/>
      <c r="V140" s="12"/>
      <c r="W140" s="12">
        <v>10</v>
      </c>
      <c r="X140" s="11">
        <v>15</v>
      </c>
      <c r="Y140" s="11"/>
      <c r="Z140" s="11">
        <v>15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4"/>
    </row>
    <row r="141" spans="2:38" ht="25.05" customHeight="1">
      <c r="B141" s="13"/>
      <c r="C141" s="29"/>
      <c r="D141" s="30"/>
      <c r="E141" s="19" t="s">
        <v>665</v>
      </c>
      <c r="F141" s="8" t="s">
        <v>42</v>
      </c>
      <c r="G141" s="9">
        <v>0.58263888888888893</v>
      </c>
      <c r="H141" s="9">
        <v>0.60069444444444442</v>
      </c>
      <c r="I141" s="10">
        <f t="shared" si="12"/>
        <v>1.8055555555555491E-2</v>
      </c>
      <c r="J141" s="11">
        <v>3</v>
      </c>
      <c r="K141" s="11">
        <f t="shared" ref="K141:K144" si="14">0.03*3200</f>
        <v>96</v>
      </c>
      <c r="L141" s="16">
        <f t="shared" si="13"/>
        <v>73.84615384615411</v>
      </c>
      <c r="M141" s="11"/>
      <c r="N141" s="11"/>
      <c r="O141" s="11"/>
      <c r="P141" s="11"/>
      <c r="Q141" s="11"/>
      <c r="R141" s="12"/>
      <c r="S141" s="12"/>
      <c r="T141" s="11"/>
      <c r="U141" s="11"/>
      <c r="V141" s="12"/>
      <c r="W141" s="12">
        <v>10</v>
      </c>
      <c r="X141" s="11">
        <v>13</v>
      </c>
      <c r="Y141" s="11"/>
      <c r="Z141" s="11">
        <v>13</v>
      </c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4"/>
    </row>
    <row r="142" spans="2:38" ht="25.05" customHeight="1">
      <c r="B142" s="13"/>
      <c r="C142" s="29"/>
      <c r="D142" s="30"/>
      <c r="E142" s="19" t="s">
        <v>666</v>
      </c>
      <c r="F142" s="8" t="s">
        <v>42</v>
      </c>
      <c r="G142" s="9">
        <v>0.59652777777777777</v>
      </c>
      <c r="H142" s="9">
        <v>0.61388888888888893</v>
      </c>
      <c r="I142" s="10">
        <f t="shared" si="12"/>
        <v>1.736111111111116E-2</v>
      </c>
      <c r="J142" s="11">
        <v>3</v>
      </c>
      <c r="K142" s="11">
        <f t="shared" si="14"/>
        <v>96</v>
      </c>
      <c r="L142" s="16">
        <f t="shared" si="13"/>
        <v>76.799999999999784</v>
      </c>
      <c r="M142" s="11"/>
      <c r="N142" s="11"/>
      <c r="O142" s="11"/>
      <c r="P142" s="11"/>
      <c r="Q142" s="11"/>
      <c r="R142" s="12"/>
      <c r="S142" s="12"/>
      <c r="T142" s="11"/>
      <c r="U142" s="11"/>
      <c r="V142" s="12"/>
      <c r="W142" s="12">
        <v>10</v>
      </c>
      <c r="X142" s="11">
        <v>12.5</v>
      </c>
      <c r="Y142" s="11"/>
      <c r="Z142" s="11">
        <v>12.5</v>
      </c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4"/>
    </row>
    <row r="143" spans="2:38" ht="25.05" customHeight="1">
      <c r="B143" s="13"/>
      <c r="C143" s="29"/>
      <c r="D143" s="30"/>
      <c r="E143" s="19" t="s">
        <v>667</v>
      </c>
      <c r="F143" s="8" t="s">
        <v>42</v>
      </c>
      <c r="G143" s="9">
        <v>0.61111111111111116</v>
      </c>
      <c r="H143" s="9">
        <v>0.63263888888888886</v>
      </c>
      <c r="I143" s="10">
        <f t="shared" si="12"/>
        <v>2.1527777777777701E-2</v>
      </c>
      <c r="J143" s="11">
        <v>3</v>
      </c>
      <c r="K143" s="11">
        <f t="shared" si="14"/>
        <v>96</v>
      </c>
      <c r="L143" s="16">
        <f t="shared" si="13"/>
        <v>61.935483870967964</v>
      </c>
      <c r="M143" s="11"/>
      <c r="N143" s="11"/>
      <c r="O143" s="11"/>
      <c r="P143" s="11"/>
      <c r="Q143" s="11"/>
      <c r="R143" s="12"/>
      <c r="S143" s="12"/>
      <c r="T143" s="11"/>
      <c r="U143" s="11"/>
      <c r="V143" s="12"/>
      <c r="W143" s="12">
        <v>10</v>
      </c>
      <c r="X143" s="11">
        <v>15.5</v>
      </c>
      <c r="Y143" s="11"/>
      <c r="Z143" s="11">
        <v>15.5</v>
      </c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4"/>
    </row>
    <row r="144" spans="2:38" ht="25.05" customHeight="1">
      <c r="B144" s="13"/>
      <c r="C144" s="29"/>
      <c r="D144" s="30"/>
      <c r="E144" s="19" t="s">
        <v>668</v>
      </c>
      <c r="F144" s="8" t="s">
        <v>42</v>
      </c>
      <c r="G144" s="9">
        <v>0.62916666666666665</v>
      </c>
      <c r="H144" s="9">
        <v>0.64861111111111114</v>
      </c>
      <c r="I144" s="10">
        <f t="shared" si="12"/>
        <v>1.9444444444444486E-2</v>
      </c>
      <c r="J144" s="11">
        <v>3</v>
      </c>
      <c r="K144" s="11">
        <f t="shared" si="14"/>
        <v>96</v>
      </c>
      <c r="L144" s="16">
        <f t="shared" si="13"/>
        <v>68.571428571428427</v>
      </c>
      <c r="M144" s="11"/>
      <c r="N144" s="11"/>
      <c r="O144" s="11"/>
      <c r="P144" s="11"/>
      <c r="Q144" s="11"/>
      <c r="R144" s="12"/>
      <c r="S144" s="12"/>
      <c r="T144" s="11"/>
      <c r="U144" s="11"/>
      <c r="V144" s="12"/>
      <c r="W144" s="12">
        <v>10</v>
      </c>
      <c r="X144" s="11">
        <v>14</v>
      </c>
      <c r="Y144" s="11"/>
      <c r="Z144" s="11">
        <v>14</v>
      </c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4"/>
    </row>
    <row r="145" spans="1:38" ht="25.05" customHeight="1">
      <c r="B145" s="13"/>
      <c r="C145" s="29"/>
      <c r="D145" s="30"/>
      <c r="E145" s="19"/>
      <c r="F145" s="19"/>
      <c r="G145" s="19"/>
      <c r="H145" s="19"/>
      <c r="I145" s="19"/>
      <c r="J145" s="19"/>
      <c r="K145" s="19"/>
      <c r="L145" s="19"/>
      <c r="M145" s="11"/>
      <c r="N145" s="11"/>
      <c r="O145" s="11"/>
      <c r="P145" s="11"/>
      <c r="Q145" s="11"/>
      <c r="R145" s="12"/>
      <c r="S145" s="12"/>
      <c r="T145" s="11"/>
      <c r="U145" s="11"/>
      <c r="V145" s="12"/>
      <c r="W145" s="12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4"/>
    </row>
    <row r="146" spans="1:38" s="28" customFormat="1" ht="25.5" customHeight="1" thickBot="1">
      <c r="A146" s="2"/>
      <c r="B146" s="32"/>
      <c r="C146" s="33"/>
      <c r="D146" s="34"/>
      <c r="E146" s="35"/>
      <c r="F146" s="35"/>
      <c r="G146" s="36"/>
      <c r="H146" s="36"/>
      <c r="I146" s="37"/>
      <c r="J146" s="38"/>
      <c r="K146" s="38">
        <f t="shared" ref="K146:AL146" si="15">SUM(K33:K145)</f>
        <v>6329.3300000000027</v>
      </c>
      <c r="L146" s="39">
        <f t="shared" si="15"/>
        <v>78298.94519138099</v>
      </c>
      <c r="M146" s="38">
        <f t="shared" si="15"/>
        <v>0</v>
      </c>
      <c r="N146" s="38">
        <f t="shared" si="15"/>
        <v>0</v>
      </c>
      <c r="O146" s="38">
        <f t="shared" si="15"/>
        <v>0</v>
      </c>
      <c r="P146" s="38">
        <f t="shared" si="15"/>
        <v>0</v>
      </c>
      <c r="Q146" s="38">
        <f t="shared" si="15"/>
        <v>0</v>
      </c>
      <c r="R146" s="38">
        <f t="shared" si="15"/>
        <v>0</v>
      </c>
      <c r="S146" s="38">
        <f t="shared" si="15"/>
        <v>0</v>
      </c>
      <c r="T146" s="38">
        <f t="shared" si="15"/>
        <v>0</v>
      </c>
      <c r="U146" s="38">
        <f t="shared" si="15"/>
        <v>0</v>
      </c>
      <c r="V146" s="38">
        <f t="shared" si="15"/>
        <v>103</v>
      </c>
      <c r="W146" s="38">
        <f t="shared" si="15"/>
        <v>211</v>
      </c>
      <c r="X146" s="38">
        <f t="shared" si="15"/>
        <v>70</v>
      </c>
      <c r="Y146" s="38">
        <f t="shared" si="15"/>
        <v>45</v>
      </c>
      <c r="Z146" s="38">
        <f t="shared" si="15"/>
        <v>70</v>
      </c>
      <c r="AA146" s="38">
        <f t="shared" si="15"/>
        <v>0</v>
      </c>
      <c r="AB146" s="38">
        <f t="shared" si="15"/>
        <v>107</v>
      </c>
      <c r="AC146" s="38">
        <f t="shared" si="15"/>
        <v>98</v>
      </c>
      <c r="AD146" s="38">
        <f t="shared" si="15"/>
        <v>247</v>
      </c>
      <c r="AE146" s="38">
        <f t="shared" si="15"/>
        <v>0</v>
      </c>
      <c r="AF146" s="38">
        <f t="shared" si="15"/>
        <v>0</v>
      </c>
      <c r="AG146" s="38">
        <f t="shared" si="15"/>
        <v>75.75</v>
      </c>
      <c r="AH146" s="38">
        <f t="shared" si="15"/>
        <v>75.75</v>
      </c>
      <c r="AI146" s="38">
        <f t="shared" si="15"/>
        <v>75.75</v>
      </c>
      <c r="AJ146" s="38">
        <f t="shared" si="15"/>
        <v>75.75</v>
      </c>
      <c r="AK146" s="38">
        <f t="shared" si="15"/>
        <v>0</v>
      </c>
      <c r="AL146" s="38">
        <f t="shared" si="15"/>
        <v>0</v>
      </c>
    </row>
    <row r="147" spans="1:38" ht="38.1" customHeight="1" thickBot="1">
      <c r="B147" s="40" t="s">
        <v>45</v>
      </c>
      <c r="C147" s="41"/>
      <c r="D147" s="41"/>
      <c r="E147" s="41"/>
      <c r="F147" s="41"/>
      <c r="G147" s="41"/>
      <c r="H147" s="41"/>
      <c r="I147" s="41"/>
      <c r="J147" s="41"/>
      <c r="K147" s="42">
        <f>K23+K32+K146</f>
        <v>10019.590000000004</v>
      </c>
      <c r="L147" s="42">
        <f>L23+L32+L146</f>
        <v>79592.3690009048</v>
      </c>
      <c r="M147" s="43">
        <f t="shared" ref="M147:AL147" si="16">(M23+M32+M146)/(480-15-30)</f>
        <v>0.39310344827586208</v>
      </c>
      <c r="N147" s="43">
        <f t="shared" si="16"/>
        <v>0</v>
      </c>
      <c r="O147" s="43">
        <f t="shared" si="16"/>
        <v>0</v>
      </c>
      <c r="P147" s="43">
        <f t="shared" si="16"/>
        <v>0</v>
      </c>
      <c r="Q147" s="43">
        <f t="shared" si="16"/>
        <v>0.13793103448275862</v>
      </c>
      <c r="R147" s="43">
        <f t="shared" si="16"/>
        <v>0.20689655172413793</v>
      </c>
      <c r="S147" s="43">
        <f t="shared" si="16"/>
        <v>1.1494252873563218</v>
      </c>
      <c r="T147" s="43">
        <f t="shared" si="16"/>
        <v>0.41379310344827586</v>
      </c>
      <c r="U147" s="43">
        <f t="shared" si="16"/>
        <v>0</v>
      </c>
      <c r="V147" s="43">
        <f t="shared" si="16"/>
        <v>0.23678160919540231</v>
      </c>
      <c r="W147" s="43">
        <f t="shared" si="16"/>
        <v>0.48505747126436782</v>
      </c>
      <c r="X147" s="43">
        <f t="shared" si="16"/>
        <v>0.16091954022988506</v>
      </c>
      <c r="Y147" s="43">
        <f t="shared" si="16"/>
        <v>0.10344827586206896</v>
      </c>
      <c r="Z147" s="43">
        <f t="shared" si="16"/>
        <v>0.16091954022988506</v>
      </c>
      <c r="AA147" s="43">
        <f t="shared" si="16"/>
        <v>0</v>
      </c>
      <c r="AB147" s="43">
        <f t="shared" si="16"/>
        <v>0.24597701149425288</v>
      </c>
      <c r="AC147" s="43">
        <f t="shared" si="16"/>
        <v>0.22528735632183908</v>
      </c>
      <c r="AD147" s="43">
        <f t="shared" si="16"/>
        <v>0.56781609195402294</v>
      </c>
      <c r="AE147" s="43">
        <f t="shared" si="16"/>
        <v>0</v>
      </c>
      <c r="AF147" s="43">
        <f t="shared" si="16"/>
        <v>0</v>
      </c>
      <c r="AG147" s="43">
        <f t="shared" si="16"/>
        <v>0.17413793103448275</v>
      </c>
      <c r="AH147" s="43">
        <f t="shared" si="16"/>
        <v>0.17413793103448275</v>
      </c>
      <c r="AI147" s="43">
        <f t="shared" si="16"/>
        <v>0.17413793103448275</v>
      </c>
      <c r="AJ147" s="43">
        <f t="shared" si="16"/>
        <v>0.17413793103448275</v>
      </c>
      <c r="AK147" s="43">
        <f t="shared" si="16"/>
        <v>0</v>
      </c>
      <c r="AL147" s="43">
        <f t="shared" si="16"/>
        <v>0</v>
      </c>
    </row>
    <row r="148" spans="1:38" ht="25.05" customHeight="1">
      <c r="B148" s="44"/>
      <c r="C148" s="44"/>
      <c r="D148" s="44"/>
      <c r="E148" s="45"/>
      <c r="F148" s="45"/>
      <c r="G148" s="45"/>
      <c r="H148" s="45"/>
      <c r="I148" s="46"/>
      <c r="J148" s="46"/>
      <c r="K148" s="45"/>
      <c r="L148" s="47"/>
      <c r="M148" s="47"/>
      <c r="N148" s="47"/>
      <c r="O148" s="47"/>
      <c r="P148" s="47"/>
      <c r="Q148" s="45"/>
      <c r="R148" s="45"/>
      <c r="S148" s="45"/>
      <c r="T148" s="45"/>
      <c r="U148" s="45"/>
      <c r="V148" s="45"/>
      <c r="W148" s="45"/>
      <c r="X148" s="45"/>
      <c r="Y148" s="45"/>
      <c r="Z148" s="45"/>
      <c r="AA148" s="45"/>
      <c r="AB148" s="45"/>
      <c r="AC148" s="45"/>
      <c r="AD148" s="45"/>
      <c r="AE148" s="45"/>
      <c r="AF148" s="45"/>
      <c r="AG148" s="45"/>
      <c r="AH148" s="45"/>
      <c r="AI148" s="45"/>
      <c r="AJ148" s="45"/>
    </row>
    <row r="149" spans="1:38" ht="25.05" customHeight="1">
      <c r="B149" s="44"/>
      <c r="C149" s="44"/>
      <c r="D149" s="44"/>
      <c r="E149" s="45"/>
      <c r="F149" s="45"/>
      <c r="G149" s="45"/>
      <c r="H149" s="45"/>
      <c r="I149" s="48" t="s">
        <v>46</v>
      </c>
      <c r="J149" s="46"/>
      <c r="K149" s="45"/>
      <c r="L149" s="47"/>
      <c r="M149" s="47"/>
      <c r="N149" s="47"/>
      <c r="O149" s="47"/>
      <c r="P149" s="47"/>
      <c r="Q149" s="45"/>
      <c r="R149" s="45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  <c r="AI149" s="45"/>
      <c r="AJ149" s="45"/>
    </row>
    <row r="150" spans="1:38" ht="25.05" customHeight="1">
      <c r="B150" s="44"/>
      <c r="C150" s="44"/>
      <c r="D150" s="44"/>
      <c r="E150" s="45"/>
      <c r="F150" s="45"/>
      <c r="G150" s="45"/>
      <c r="H150" s="45"/>
      <c r="I150" s="49" t="s">
        <v>47</v>
      </c>
      <c r="J150" s="9">
        <v>0</v>
      </c>
      <c r="K150" s="11">
        <v>6</v>
      </c>
      <c r="L150" s="11" t="s">
        <v>48</v>
      </c>
      <c r="M150" s="47"/>
      <c r="N150" s="14">
        <v>2</v>
      </c>
      <c r="O150" s="14"/>
      <c r="P150" s="14"/>
      <c r="Q150" s="50" t="s">
        <v>49</v>
      </c>
      <c r="R150" s="51"/>
      <c r="S150" s="45"/>
      <c r="T150" s="45"/>
      <c r="U150" s="45"/>
      <c r="V150" s="45"/>
      <c r="W150" s="45"/>
      <c r="X150" s="45"/>
      <c r="Y150" s="45"/>
      <c r="Z150" s="45"/>
      <c r="AA150" s="45"/>
      <c r="AC150" s="45"/>
      <c r="AD150" s="45"/>
      <c r="AE150" s="45"/>
      <c r="AF150" s="45"/>
      <c r="AG150" s="45"/>
      <c r="AH150" s="45"/>
    </row>
    <row r="151" spans="1:38" ht="25.05" customHeight="1">
      <c r="B151" s="44"/>
      <c r="C151" s="44"/>
      <c r="D151" s="44"/>
      <c r="E151" s="45"/>
      <c r="F151" s="45"/>
      <c r="G151" s="45"/>
      <c r="H151" s="45"/>
      <c r="I151" s="49" t="s">
        <v>50</v>
      </c>
      <c r="J151" s="9">
        <v>0</v>
      </c>
      <c r="K151" s="11">
        <v>0</v>
      </c>
      <c r="L151" s="11" t="s">
        <v>48</v>
      </c>
      <c r="M151" s="47"/>
      <c r="N151" s="14">
        <v>0</v>
      </c>
      <c r="O151" s="14"/>
      <c r="P151" s="14"/>
      <c r="Q151" s="50" t="s">
        <v>51</v>
      </c>
      <c r="R151" s="51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</row>
    <row r="152" spans="1:38" ht="25.05" customHeight="1">
      <c r="B152" s="44"/>
      <c r="C152" s="44"/>
      <c r="D152" s="44"/>
      <c r="E152" s="45"/>
      <c r="F152" s="45"/>
      <c r="G152" s="45"/>
      <c r="H152" s="45"/>
      <c r="I152" s="49" t="s">
        <v>52</v>
      </c>
      <c r="J152" s="9">
        <v>0</v>
      </c>
      <c r="K152" s="11">
        <v>12</v>
      </c>
      <c r="L152" s="11" t="s">
        <v>48</v>
      </c>
      <c r="M152" s="47"/>
      <c r="N152" s="14">
        <v>0</v>
      </c>
      <c r="O152" s="14"/>
      <c r="P152" s="14"/>
      <c r="Q152" s="50" t="s">
        <v>53</v>
      </c>
      <c r="R152" s="51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</row>
    <row r="153" spans="1:38" ht="25.05" customHeight="1">
      <c r="B153" s="44"/>
      <c r="C153" s="44"/>
      <c r="D153" s="44"/>
      <c r="E153" s="45"/>
      <c r="F153" s="45"/>
      <c r="G153" s="45"/>
      <c r="H153" s="45"/>
      <c r="I153" s="52" t="s">
        <v>54</v>
      </c>
      <c r="J153" s="53">
        <v>0</v>
      </c>
      <c r="K153" s="11">
        <v>2</v>
      </c>
      <c r="L153" s="54" t="s">
        <v>48</v>
      </c>
      <c r="M153" s="47"/>
      <c r="N153" s="14">
        <v>3</v>
      </c>
      <c r="O153" s="14"/>
      <c r="P153" s="14"/>
      <c r="Q153" s="50" t="s">
        <v>55</v>
      </c>
      <c r="R153" s="51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</row>
    <row r="154" spans="1:38" ht="25.05" customHeight="1">
      <c r="B154" s="44"/>
      <c r="C154" s="44"/>
      <c r="D154" s="44"/>
      <c r="E154" s="45"/>
      <c r="F154" s="45"/>
      <c r="G154" s="45"/>
      <c r="H154" s="45"/>
      <c r="I154" s="49" t="s">
        <v>56</v>
      </c>
      <c r="J154" s="9">
        <v>0</v>
      </c>
      <c r="K154" s="11">
        <v>20</v>
      </c>
      <c r="L154" s="11" t="s">
        <v>48</v>
      </c>
      <c r="M154" s="47"/>
      <c r="N154"/>
      <c r="O154"/>
      <c r="P154"/>
      <c r="Q154"/>
      <c r="S154" s="45"/>
      <c r="T154" s="45"/>
      <c r="U154" s="45"/>
      <c r="V154" s="45"/>
      <c r="W154" s="45"/>
      <c r="X154" s="45"/>
      <c r="Y154" s="45"/>
      <c r="Z154" s="45"/>
      <c r="AA154" s="45"/>
      <c r="AB154" s="45"/>
      <c r="AC154" s="45"/>
      <c r="AD154" s="45"/>
      <c r="AE154" s="45"/>
      <c r="AF154" s="45"/>
      <c r="AG154" s="45"/>
      <c r="AH154" s="45"/>
    </row>
    <row r="155" spans="1:38" ht="25.05" customHeight="1">
      <c r="B155" s="44"/>
      <c r="C155" s="44"/>
      <c r="D155" s="44"/>
      <c r="E155" s="45"/>
      <c r="F155" s="45"/>
      <c r="G155" s="45"/>
      <c r="H155" s="45"/>
      <c r="M155" s="47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  <c r="AA155" s="45"/>
      <c r="AB155" s="45"/>
      <c r="AC155" s="45"/>
      <c r="AD155" s="45"/>
      <c r="AE155" s="45"/>
      <c r="AF155" s="45"/>
      <c r="AG155" s="45"/>
      <c r="AH155" s="45"/>
    </row>
    <row r="156" spans="1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FA4D-76BD-4483-9B85-16796FEB9281}">
  <sheetPr>
    <pageSetUpPr fitToPage="1"/>
  </sheetPr>
  <dimension ref="A1:AL167"/>
  <sheetViews>
    <sheetView zoomScale="70" zoomScaleNormal="70" workbookViewId="0">
      <pane xSplit="12" ySplit="3" topLeftCell="M113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80.44140625" style="2" customWidth="1"/>
    <col min="5" max="5" width="56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1954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8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30" t="s">
        <v>1669</v>
      </c>
      <c r="E5" s="15" t="s">
        <v>1670</v>
      </c>
      <c r="F5" s="130" t="s">
        <v>99</v>
      </c>
      <c r="G5" s="9">
        <v>0.29166666666666669</v>
      </c>
      <c r="H5" s="9">
        <v>0.3125</v>
      </c>
      <c r="I5" s="10">
        <f t="shared" si="0"/>
        <v>2.0833333333333315E-2</v>
      </c>
      <c r="J5" s="11">
        <v>1</v>
      </c>
      <c r="K5" s="11">
        <v>26.4</v>
      </c>
      <c r="L5" s="16">
        <f t="shared" ref="L5:L28" si="1">IFERROR(((K5/(J5*I5)/24)),"0")</f>
        <v>52.80000000000004</v>
      </c>
      <c r="M5" s="11"/>
      <c r="N5" s="11"/>
      <c r="O5" s="11"/>
      <c r="P5" s="11"/>
      <c r="Q5" s="11"/>
      <c r="R5" s="12">
        <v>30</v>
      </c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1955</v>
      </c>
      <c r="F6" s="130" t="s">
        <v>99</v>
      </c>
      <c r="G6" s="9">
        <v>0.29166666666666669</v>
      </c>
      <c r="H6" s="9">
        <v>0.3611111111111111</v>
      </c>
      <c r="I6" s="10">
        <f t="shared" si="0"/>
        <v>6.944444444444442E-2</v>
      </c>
      <c r="J6" s="11">
        <v>5</v>
      </c>
      <c r="K6" s="11">
        <v>39.6</v>
      </c>
      <c r="L6" s="16">
        <f t="shared" si="1"/>
        <v>4.7520000000000016</v>
      </c>
      <c r="M6" s="11"/>
      <c r="N6" s="11"/>
      <c r="O6" s="11"/>
      <c r="P6" s="11"/>
      <c r="Q6" s="11"/>
      <c r="R6" s="12"/>
      <c r="S6" s="12">
        <v>100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114"/>
      <c r="E7" s="15" t="s">
        <v>1956</v>
      </c>
      <c r="F7" s="130" t="s">
        <v>99</v>
      </c>
      <c r="G7" s="9">
        <v>0.29166666666666669</v>
      </c>
      <c r="H7" s="9">
        <v>0.3611111111111111</v>
      </c>
      <c r="I7" s="10">
        <f t="shared" si="0"/>
        <v>6.944444444444442E-2</v>
      </c>
      <c r="J7" s="11">
        <v>5</v>
      </c>
      <c r="K7" s="11">
        <v>39.6</v>
      </c>
      <c r="L7" s="16">
        <f t="shared" si="1"/>
        <v>4.7520000000000016</v>
      </c>
      <c r="M7" s="11"/>
      <c r="N7" s="11"/>
      <c r="O7" s="11"/>
      <c r="P7" s="11"/>
      <c r="Q7" s="11"/>
      <c r="R7" s="12"/>
      <c r="S7" s="12">
        <v>100</v>
      </c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0" t="s">
        <v>1813</v>
      </c>
      <c r="E8" s="15" t="s">
        <v>1814</v>
      </c>
      <c r="F8" s="8" t="s">
        <v>1434</v>
      </c>
      <c r="G8" s="9">
        <v>0.29166666666666669</v>
      </c>
      <c r="H8" s="9">
        <v>0.30902777777777779</v>
      </c>
      <c r="I8" s="10">
        <f t="shared" si="0"/>
        <v>1.7361111111111105E-2</v>
      </c>
      <c r="J8" s="11">
        <v>1</v>
      </c>
      <c r="K8" s="11">
        <v>96</v>
      </c>
      <c r="L8" s="16">
        <f t="shared" si="1"/>
        <v>230.40000000000009</v>
      </c>
      <c r="M8" s="11">
        <v>25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1815</v>
      </c>
      <c r="F9" s="8" t="s">
        <v>87</v>
      </c>
      <c r="G9" s="9">
        <v>0.3888888888888889</v>
      </c>
      <c r="H9" s="9">
        <v>0.40277777777777779</v>
      </c>
      <c r="I9" s="10">
        <f t="shared" si="0"/>
        <v>1.3888888888888895E-2</v>
      </c>
      <c r="J9" s="11">
        <v>1</v>
      </c>
      <c r="K9" s="11">
        <v>9.6</v>
      </c>
      <c r="L9" s="16">
        <f t="shared" si="1"/>
        <v>28.799999999999986</v>
      </c>
      <c r="M9" s="11">
        <v>20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1816</v>
      </c>
      <c r="F10" s="8" t="s">
        <v>99</v>
      </c>
      <c r="G10" s="9">
        <v>0.3125</v>
      </c>
      <c r="H10" s="9">
        <v>0.3298611111111111</v>
      </c>
      <c r="I10" s="10">
        <f t="shared" si="0"/>
        <v>1.7361111111111105E-2</v>
      </c>
      <c r="J10" s="11">
        <v>1</v>
      </c>
      <c r="K10" s="11">
        <v>18.96</v>
      </c>
      <c r="L10" s="16">
        <f t="shared" si="1"/>
        <v>45.504000000000019</v>
      </c>
      <c r="M10" s="11"/>
      <c r="N10" s="11"/>
      <c r="O10" s="11"/>
      <c r="P10" s="11"/>
      <c r="Q10" s="11"/>
      <c r="R10" s="12">
        <v>25</v>
      </c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114"/>
      <c r="E11" s="15" t="s">
        <v>86</v>
      </c>
      <c r="F11" s="8" t="s">
        <v>1434</v>
      </c>
      <c r="G11" s="9">
        <v>0.31388888888888888</v>
      </c>
      <c r="H11" s="9">
        <v>0.31944444444444442</v>
      </c>
      <c r="I11" s="10">
        <f t="shared" si="0"/>
        <v>5.5555555555555358E-3</v>
      </c>
      <c r="J11" s="11">
        <v>1</v>
      </c>
      <c r="K11" s="11">
        <v>6</v>
      </c>
      <c r="L11" s="16">
        <f t="shared" si="1"/>
        <v>45.000000000000163</v>
      </c>
      <c r="M11" s="11"/>
      <c r="N11" s="11"/>
      <c r="O11" s="11"/>
      <c r="P11" s="11"/>
      <c r="Q11" s="11"/>
      <c r="R11" s="12">
        <v>8</v>
      </c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90</v>
      </c>
      <c r="F12" s="8" t="s">
        <v>1957</v>
      </c>
      <c r="G12" s="9">
        <v>0.32291666666666669</v>
      </c>
      <c r="H12" s="9">
        <v>0.375</v>
      </c>
      <c r="I12" s="10">
        <f t="shared" si="0"/>
        <v>5.2083333333333315E-2</v>
      </c>
      <c r="J12" s="11">
        <v>1</v>
      </c>
      <c r="K12" s="11">
        <v>204</v>
      </c>
      <c r="L12" s="16">
        <f t="shared" si="1"/>
        <v>163.20000000000007</v>
      </c>
      <c r="M12" s="11">
        <v>75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93</v>
      </c>
      <c r="F13" s="8" t="s">
        <v>42</v>
      </c>
      <c r="G13" s="9">
        <v>0.2986111111111111</v>
      </c>
      <c r="H13" s="9">
        <v>0.33333333333333331</v>
      </c>
      <c r="I13" s="10">
        <f t="shared" si="0"/>
        <v>3.472222222222221E-2</v>
      </c>
      <c r="J13" s="11">
        <v>1</v>
      </c>
      <c r="K13" s="11">
        <f>4.03*50</f>
        <v>201.5</v>
      </c>
      <c r="L13" s="16">
        <f t="shared" si="1"/>
        <v>241.80000000000007</v>
      </c>
      <c r="M13" s="11"/>
      <c r="N13" s="11"/>
      <c r="O13" s="11"/>
      <c r="P13" s="11"/>
      <c r="Q13" s="11">
        <v>50</v>
      </c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1958</v>
      </c>
      <c r="F14" s="8" t="s">
        <v>42</v>
      </c>
      <c r="G14" s="9">
        <v>0.36805555555555558</v>
      </c>
      <c r="H14" s="9">
        <v>0.38194444444444442</v>
      </c>
      <c r="I14" s="10">
        <f t="shared" si="0"/>
        <v>1.388888888888884E-2</v>
      </c>
      <c r="J14" s="11">
        <v>2</v>
      </c>
      <c r="K14" s="11">
        <v>111</v>
      </c>
      <c r="L14" s="16">
        <f t="shared" si="1"/>
        <v>166.5000000000006</v>
      </c>
      <c r="M14" s="11"/>
      <c r="N14" s="11"/>
      <c r="O14" s="11"/>
      <c r="P14" s="11"/>
      <c r="Q14" s="11"/>
      <c r="R14" s="12"/>
      <c r="S14" s="12">
        <v>20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30"/>
      <c r="E15" s="15" t="s">
        <v>630</v>
      </c>
      <c r="F15" s="8" t="s">
        <v>42</v>
      </c>
      <c r="G15" s="9">
        <v>0.375</v>
      </c>
      <c r="H15" s="9">
        <v>0.3923611111111111</v>
      </c>
      <c r="I15" s="10">
        <f t="shared" si="0"/>
        <v>1.7361111111111105E-2</v>
      </c>
      <c r="J15" s="11">
        <v>2</v>
      </c>
      <c r="K15" s="11">
        <v>179</v>
      </c>
      <c r="L15" s="16">
        <f t="shared" si="1"/>
        <v>214.80000000000007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30" t="s">
        <v>1669</v>
      </c>
      <c r="E16" s="15" t="s">
        <v>1674</v>
      </c>
      <c r="F16" s="8" t="s">
        <v>1959</v>
      </c>
      <c r="G16" s="9">
        <v>0.3125</v>
      </c>
      <c r="H16" s="9">
        <v>0.3263888888888889</v>
      </c>
      <c r="I16" s="10">
        <f t="shared" si="0"/>
        <v>1.3888888888888895E-2</v>
      </c>
      <c r="J16" s="11">
        <v>1</v>
      </c>
      <c r="K16" s="11">
        <v>21.54</v>
      </c>
      <c r="L16" s="16">
        <f t="shared" si="1"/>
        <v>64.619999999999962</v>
      </c>
      <c r="M16" s="11"/>
      <c r="N16" s="11"/>
      <c r="O16" s="11">
        <v>20</v>
      </c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30" t="s">
        <v>1813</v>
      </c>
      <c r="E17" s="15" t="s">
        <v>624</v>
      </c>
      <c r="F17" s="8" t="s">
        <v>42</v>
      </c>
      <c r="G17" s="9">
        <v>0.375</v>
      </c>
      <c r="H17" s="9">
        <v>0.3888888888888889</v>
      </c>
      <c r="I17" s="10">
        <f t="shared" si="0"/>
        <v>1.3888888888888895E-2</v>
      </c>
      <c r="J17" s="11">
        <v>3</v>
      </c>
      <c r="K17" s="11">
        <v>6</v>
      </c>
      <c r="L17" s="16">
        <f t="shared" si="1"/>
        <v>5.9999999999999973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30"/>
      <c r="E18" s="15" t="s">
        <v>624</v>
      </c>
      <c r="F18" s="130" t="s">
        <v>42</v>
      </c>
      <c r="G18" s="9">
        <v>0.39583333333333331</v>
      </c>
      <c r="H18" s="9">
        <v>0.40972222222222221</v>
      </c>
      <c r="I18" s="10">
        <f t="shared" si="0"/>
        <v>1.3888888888888895E-2</v>
      </c>
      <c r="J18" s="11">
        <v>8</v>
      </c>
      <c r="K18" s="11">
        <v>13.5</v>
      </c>
      <c r="L18" s="16">
        <f t="shared" si="1"/>
        <v>5.0624999999999973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90</v>
      </c>
      <c r="F19" s="8" t="s">
        <v>1957</v>
      </c>
      <c r="G19" s="9">
        <v>0.39583333333333331</v>
      </c>
      <c r="H19" s="9">
        <v>0.43055555555555558</v>
      </c>
      <c r="I19" s="10">
        <f t="shared" si="0"/>
        <v>3.4722222222222265E-2</v>
      </c>
      <c r="J19" s="11">
        <v>2</v>
      </c>
      <c r="K19" s="11">
        <v>204</v>
      </c>
      <c r="L19" s="16">
        <f t="shared" si="1"/>
        <v>122.39999999999985</v>
      </c>
      <c r="M19" s="11">
        <v>50</v>
      </c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93</v>
      </c>
      <c r="F20" s="8" t="s">
        <v>42</v>
      </c>
      <c r="G20" s="9">
        <v>0.3888888888888889</v>
      </c>
      <c r="H20" s="9">
        <v>0.4236111111111111</v>
      </c>
      <c r="I20" s="10">
        <f t="shared" si="0"/>
        <v>3.472222222222221E-2</v>
      </c>
      <c r="J20" s="11">
        <v>2</v>
      </c>
      <c r="K20" s="11">
        <f>4.03*52</f>
        <v>209.56</v>
      </c>
      <c r="L20" s="16">
        <f t="shared" si="1"/>
        <v>125.73600000000005</v>
      </c>
      <c r="M20" s="11"/>
      <c r="N20" s="11"/>
      <c r="O20" s="11"/>
      <c r="P20" s="11"/>
      <c r="Q20" s="11">
        <v>50</v>
      </c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96</v>
      </c>
      <c r="F21" s="8" t="s">
        <v>42</v>
      </c>
      <c r="G21" s="9">
        <v>0.41666666666666669</v>
      </c>
      <c r="H21" s="9">
        <v>0.4375</v>
      </c>
      <c r="I21" s="10">
        <f t="shared" si="0"/>
        <v>2.0833333333333315E-2</v>
      </c>
      <c r="J21" s="11">
        <v>13</v>
      </c>
      <c r="K21" s="11" t="s">
        <v>42</v>
      </c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104</v>
      </c>
      <c r="F22" s="8" t="s">
        <v>42</v>
      </c>
      <c r="G22" s="9">
        <v>0.4375</v>
      </c>
      <c r="H22" s="9">
        <v>0.47916666666666669</v>
      </c>
      <c r="I22" s="10">
        <f t="shared" si="0"/>
        <v>4.1666666666666685E-2</v>
      </c>
      <c r="J22" s="11">
        <v>15</v>
      </c>
      <c r="K22" s="11" t="s">
        <v>42</v>
      </c>
      <c r="L22" s="16" t="str">
        <f t="shared" si="1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 t="s">
        <v>1960</v>
      </c>
      <c r="E23" s="15" t="s">
        <v>1536</v>
      </c>
      <c r="F23" s="130" t="s">
        <v>310</v>
      </c>
      <c r="G23" s="9">
        <v>0.47916666666666669</v>
      </c>
      <c r="H23" s="9">
        <v>0.56944444444444442</v>
      </c>
      <c r="I23" s="10">
        <f t="shared" si="0"/>
        <v>9.0277777777777735E-2</v>
      </c>
      <c r="J23" s="11">
        <v>12</v>
      </c>
      <c r="K23" s="11">
        <v>545</v>
      </c>
      <c r="L23" s="16">
        <f t="shared" si="1"/>
        <v>20.961538461538471</v>
      </c>
      <c r="M23" s="11"/>
      <c r="N23" s="11"/>
      <c r="O23" s="11">
        <v>130</v>
      </c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 t="s">
        <v>100</v>
      </c>
      <c r="F24" s="8" t="s">
        <v>42</v>
      </c>
      <c r="G24" s="9">
        <v>0.57638888888888884</v>
      </c>
      <c r="H24" s="9">
        <v>0.625</v>
      </c>
      <c r="I24" s="10">
        <f t="shared" si="0"/>
        <v>4.861111111111116E-2</v>
      </c>
      <c r="J24" s="11">
        <v>6</v>
      </c>
      <c r="K24" s="11">
        <v>330</v>
      </c>
      <c r="L24" s="16">
        <f t="shared" si="1"/>
        <v>47.142857142857089</v>
      </c>
      <c r="M24" s="11"/>
      <c r="N24" s="11"/>
      <c r="O24" s="11"/>
      <c r="P24" s="11"/>
      <c r="Q24" s="11"/>
      <c r="R24" s="12"/>
      <c r="S24" s="12">
        <v>70</v>
      </c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 t="s">
        <v>1961</v>
      </c>
      <c r="E25" s="15" t="s">
        <v>1962</v>
      </c>
      <c r="F25" s="8" t="s">
        <v>42</v>
      </c>
      <c r="G25" s="9">
        <v>0.57638888888888884</v>
      </c>
      <c r="H25" s="9">
        <v>0.61111111111111116</v>
      </c>
      <c r="I25" s="10">
        <f t="shared" ref="I25:I27" si="2">H25-G25</f>
        <v>3.4722222222222321E-2</v>
      </c>
      <c r="J25" s="11">
        <v>6</v>
      </c>
      <c r="K25" s="11">
        <v>121</v>
      </c>
      <c r="L25" s="16">
        <f t="shared" ref="L25:L27" si="3">IFERROR(((K25/(J25*I25)/24)),"0")</f>
        <v>24.199999999999932</v>
      </c>
      <c r="M25" s="11"/>
      <c r="N25" s="11"/>
      <c r="O25" s="11"/>
      <c r="P25" s="11"/>
      <c r="Q25" s="11"/>
      <c r="R25" s="12"/>
      <c r="S25" s="12">
        <v>50</v>
      </c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15" t="s">
        <v>1963</v>
      </c>
      <c r="F26" s="8" t="s">
        <v>42</v>
      </c>
      <c r="G26" s="9">
        <v>0.625</v>
      </c>
      <c r="H26" s="9">
        <v>0.64583333333333337</v>
      </c>
      <c r="I26" s="10">
        <f t="shared" si="2"/>
        <v>2.083333333333337E-2</v>
      </c>
      <c r="J26" s="11">
        <v>8</v>
      </c>
      <c r="K26" s="11">
        <v>88</v>
      </c>
      <c r="L26" s="16">
        <f t="shared" si="3"/>
        <v>21.999999999999961</v>
      </c>
      <c r="M26" s="11"/>
      <c r="N26" s="11"/>
      <c r="O26" s="11"/>
      <c r="P26" s="11"/>
      <c r="Q26" s="11"/>
      <c r="R26" s="12"/>
      <c r="S26" s="12">
        <v>30</v>
      </c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15" t="s">
        <v>96</v>
      </c>
      <c r="F27" s="8"/>
      <c r="G27" s="9">
        <v>0.64583333333333337</v>
      </c>
      <c r="H27" s="9">
        <v>0.66666666666666663</v>
      </c>
      <c r="I27" s="10">
        <f t="shared" si="2"/>
        <v>2.0833333333333259E-2</v>
      </c>
      <c r="J27" s="11">
        <v>13</v>
      </c>
      <c r="K27" s="11" t="s">
        <v>42</v>
      </c>
      <c r="L27" s="16" t="str">
        <f t="shared" si="3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/>
      <c r="E28" s="15"/>
      <c r="F28" s="8"/>
      <c r="G28" s="9"/>
      <c r="H28" s="9"/>
      <c r="I28" s="10">
        <f t="shared" si="0"/>
        <v>0</v>
      </c>
      <c r="J28" s="11"/>
      <c r="K28" s="11"/>
      <c r="L28" s="16" t="str">
        <f t="shared" si="1"/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s="28" customFormat="1" ht="25.05" customHeight="1">
      <c r="A29" s="2"/>
      <c r="B29" s="21"/>
      <c r="C29" s="22"/>
      <c r="D29" s="23"/>
      <c r="E29" s="24"/>
      <c r="F29" s="24"/>
      <c r="G29" s="25"/>
      <c r="H29" s="25"/>
      <c r="I29" s="26"/>
      <c r="J29" s="27"/>
      <c r="K29" s="27">
        <f t="shared" ref="K29:AL29" si="4">SUM(K4:K27)</f>
        <v>2470.2599999999998</v>
      </c>
      <c r="L29" s="39">
        <f t="shared" si="4"/>
        <v>1636.4308956043965</v>
      </c>
      <c r="M29" s="27">
        <f t="shared" si="4"/>
        <v>170</v>
      </c>
      <c r="N29" s="27">
        <f t="shared" si="4"/>
        <v>0</v>
      </c>
      <c r="O29" s="27">
        <f t="shared" si="4"/>
        <v>150</v>
      </c>
      <c r="P29" s="27">
        <f t="shared" si="4"/>
        <v>0</v>
      </c>
      <c r="Q29" s="27">
        <f t="shared" si="4"/>
        <v>100</v>
      </c>
      <c r="R29" s="27">
        <f t="shared" si="4"/>
        <v>63</v>
      </c>
      <c r="S29" s="27">
        <f t="shared" si="4"/>
        <v>370</v>
      </c>
      <c r="T29" s="27">
        <f t="shared" si="4"/>
        <v>0</v>
      </c>
      <c r="U29" s="27">
        <f t="shared" si="4"/>
        <v>0</v>
      </c>
      <c r="V29" s="27">
        <f t="shared" si="4"/>
        <v>0</v>
      </c>
      <c r="W29" s="27">
        <f t="shared" si="4"/>
        <v>0</v>
      </c>
      <c r="X29" s="27">
        <f t="shared" si="4"/>
        <v>0</v>
      </c>
      <c r="Y29" s="27">
        <f t="shared" si="4"/>
        <v>0</v>
      </c>
      <c r="Z29" s="27">
        <f t="shared" si="4"/>
        <v>0</v>
      </c>
      <c r="AA29" s="27">
        <f t="shared" si="4"/>
        <v>0</v>
      </c>
      <c r="AB29" s="27">
        <f t="shared" si="4"/>
        <v>0</v>
      </c>
      <c r="AC29" s="27">
        <f t="shared" si="4"/>
        <v>0</v>
      </c>
      <c r="AD29" s="27">
        <f t="shared" si="4"/>
        <v>0</v>
      </c>
      <c r="AE29" s="27">
        <f t="shared" si="4"/>
        <v>0</v>
      </c>
      <c r="AF29" s="27">
        <f t="shared" si="4"/>
        <v>0</v>
      </c>
      <c r="AG29" s="27">
        <f t="shared" si="4"/>
        <v>0</v>
      </c>
      <c r="AH29" s="27">
        <f t="shared" si="4"/>
        <v>0</v>
      </c>
      <c r="AI29" s="27">
        <f t="shared" si="4"/>
        <v>0</v>
      </c>
      <c r="AJ29" s="27">
        <f t="shared" si="4"/>
        <v>0</v>
      </c>
      <c r="AK29" s="27">
        <f t="shared" si="4"/>
        <v>0</v>
      </c>
      <c r="AL29" s="27">
        <f t="shared" si="4"/>
        <v>0</v>
      </c>
    </row>
    <row r="30" spans="1:38" ht="25.05" customHeight="1">
      <c r="B30" s="5" t="s">
        <v>1954</v>
      </c>
      <c r="C30" s="14" t="s">
        <v>43</v>
      </c>
      <c r="D30" s="6"/>
      <c r="E30" s="7" t="s">
        <v>41</v>
      </c>
      <c r="F30" s="8" t="s">
        <v>42</v>
      </c>
      <c r="G30" s="9">
        <v>0.29166666666666669</v>
      </c>
      <c r="H30" s="9">
        <v>0.33333333333333331</v>
      </c>
      <c r="I30" s="10">
        <f t="shared" ref="I30:I32" si="5">H30-G30</f>
        <v>4.166666666666663E-2</v>
      </c>
      <c r="J30" s="11">
        <v>3</v>
      </c>
      <c r="K30" s="62" t="s">
        <v>42</v>
      </c>
      <c r="L30" s="64" t="s">
        <v>42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4"/>
      <c r="D31" s="6" t="s">
        <v>1813</v>
      </c>
      <c r="E31" s="19" t="s">
        <v>1964</v>
      </c>
      <c r="F31" s="8" t="s">
        <v>42</v>
      </c>
      <c r="G31" s="9">
        <v>0.33333333333333331</v>
      </c>
      <c r="H31" s="9">
        <v>0.5</v>
      </c>
      <c r="I31" s="10">
        <f t="shared" si="5"/>
        <v>0.16666666666666669</v>
      </c>
      <c r="J31" s="11">
        <v>12</v>
      </c>
      <c r="K31" s="11">
        <f>88*6</f>
        <v>528</v>
      </c>
      <c r="L31" s="16">
        <f t="shared" ref="L31:L32" si="6">IFERROR(((K31/(J31*I31)/24)),"0")</f>
        <v>11</v>
      </c>
      <c r="M31" s="11"/>
      <c r="N31" s="11"/>
      <c r="O31" s="11"/>
      <c r="P31" s="11"/>
      <c r="Q31" s="11"/>
      <c r="R31" s="12"/>
      <c r="S31" s="12"/>
      <c r="T31" s="11">
        <v>240</v>
      </c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5.05" customHeight="1">
      <c r="B32" s="13"/>
      <c r="C32" s="14"/>
      <c r="D32" s="6"/>
      <c r="E32" s="15" t="s">
        <v>104</v>
      </c>
      <c r="F32" s="8" t="s">
        <v>42</v>
      </c>
      <c r="G32" s="9">
        <v>0.5</v>
      </c>
      <c r="H32" s="9">
        <v>0.54166666666666663</v>
      </c>
      <c r="I32" s="10">
        <f t="shared" si="5"/>
        <v>4.166666666666663E-2</v>
      </c>
      <c r="J32" s="11">
        <v>12</v>
      </c>
      <c r="K32" s="62" t="s">
        <v>42</v>
      </c>
      <c r="L32" s="16" t="str">
        <f t="shared" si="6"/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25.05" customHeight="1">
      <c r="B33" s="13"/>
      <c r="C33" s="14"/>
      <c r="D33" s="6" t="s">
        <v>1813</v>
      </c>
      <c r="E33" s="19" t="s">
        <v>1965</v>
      </c>
      <c r="F33" s="8" t="s">
        <v>42</v>
      </c>
      <c r="G33" s="9">
        <v>0.54166666666666663</v>
      </c>
      <c r="H33" s="9">
        <v>0.66666666666666663</v>
      </c>
      <c r="I33" s="10">
        <f t="shared" ref="I33:I35" si="7">H33-G33</f>
        <v>0.125</v>
      </c>
      <c r="J33" s="11">
        <v>12</v>
      </c>
      <c r="K33" s="62">
        <f>88*4</f>
        <v>352</v>
      </c>
      <c r="L33" s="16">
        <f t="shared" ref="L33:L35" si="8">IFERROR(((K33/(J33*I33)/24)),"0")</f>
        <v>9.7777777777777768</v>
      </c>
      <c r="M33" s="11"/>
      <c r="N33" s="11"/>
      <c r="O33" s="11"/>
      <c r="P33" s="11"/>
      <c r="Q33" s="11"/>
      <c r="R33" s="12"/>
      <c r="S33" s="12"/>
      <c r="T33" s="11">
        <v>180</v>
      </c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ht="25.05" customHeight="1">
      <c r="B34" s="13"/>
      <c r="C34" s="14"/>
      <c r="D34" s="6"/>
      <c r="E34" s="15" t="s">
        <v>96</v>
      </c>
      <c r="F34" s="8" t="s">
        <v>42</v>
      </c>
      <c r="G34" s="9">
        <v>0.66666666666666663</v>
      </c>
      <c r="H34" s="9">
        <v>0.70833333333333337</v>
      </c>
      <c r="I34" s="10">
        <f t="shared" si="7"/>
        <v>4.1666666666666741E-2</v>
      </c>
      <c r="J34" s="11">
        <v>12</v>
      </c>
      <c r="K34" s="62" t="s">
        <v>42</v>
      </c>
      <c r="L34" s="16" t="str">
        <f t="shared" si="8"/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25.05" customHeight="1">
      <c r="B35" s="13"/>
      <c r="C35" s="14"/>
      <c r="D35" s="18"/>
      <c r="E35" s="6"/>
      <c r="F35" s="8" t="s">
        <v>42</v>
      </c>
      <c r="G35" s="9"/>
      <c r="H35" s="9"/>
      <c r="I35" s="10">
        <f t="shared" si="7"/>
        <v>0</v>
      </c>
      <c r="J35" s="11"/>
      <c r="K35" s="62"/>
      <c r="L35" s="16" t="str">
        <f t="shared" si="8"/>
        <v>0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s="28" customFormat="1" ht="25.05" customHeight="1">
      <c r="A36" s="2"/>
      <c r="B36" s="21"/>
      <c r="C36" s="22"/>
      <c r="D36" s="23"/>
      <c r="E36" s="24"/>
      <c r="F36" s="22"/>
      <c r="G36" s="25"/>
      <c r="H36" s="25"/>
      <c r="I36" s="26"/>
      <c r="J36" s="27"/>
      <c r="K36" s="27">
        <f t="shared" ref="K36:AL36" si="9">SUM(K30:K35)</f>
        <v>880</v>
      </c>
      <c r="L36" s="27">
        <f t="shared" si="9"/>
        <v>20.777777777777779</v>
      </c>
      <c r="M36" s="27">
        <f t="shared" si="9"/>
        <v>0</v>
      </c>
      <c r="N36" s="27">
        <f t="shared" si="9"/>
        <v>0</v>
      </c>
      <c r="O36" s="27">
        <f t="shared" si="9"/>
        <v>0</v>
      </c>
      <c r="P36" s="27">
        <f t="shared" si="9"/>
        <v>0</v>
      </c>
      <c r="Q36" s="27">
        <f t="shared" si="9"/>
        <v>0</v>
      </c>
      <c r="R36" s="27">
        <f t="shared" si="9"/>
        <v>0</v>
      </c>
      <c r="S36" s="27">
        <f t="shared" si="9"/>
        <v>0</v>
      </c>
      <c r="T36" s="27">
        <f t="shared" si="9"/>
        <v>420</v>
      </c>
      <c r="U36" s="27">
        <f t="shared" si="9"/>
        <v>0</v>
      </c>
      <c r="V36" s="27">
        <f t="shared" si="9"/>
        <v>0</v>
      </c>
      <c r="W36" s="27">
        <f t="shared" si="9"/>
        <v>0</v>
      </c>
      <c r="X36" s="27">
        <f t="shared" si="9"/>
        <v>0</v>
      </c>
      <c r="Y36" s="27">
        <f t="shared" si="9"/>
        <v>0</v>
      </c>
      <c r="Z36" s="27">
        <f t="shared" si="9"/>
        <v>0</v>
      </c>
      <c r="AA36" s="27">
        <f t="shared" si="9"/>
        <v>0</v>
      </c>
      <c r="AB36" s="27">
        <f t="shared" si="9"/>
        <v>0</v>
      </c>
      <c r="AC36" s="27">
        <f t="shared" si="9"/>
        <v>0</v>
      </c>
      <c r="AD36" s="27">
        <f t="shared" si="9"/>
        <v>0</v>
      </c>
      <c r="AE36" s="27">
        <f t="shared" si="9"/>
        <v>0</v>
      </c>
      <c r="AF36" s="27">
        <f t="shared" si="9"/>
        <v>0</v>
      </c>
      <c r="AG36" s="27">
        <f t="shared" si="9"/>
        <v>0</v>
      </c>
      <c r="AH36" s="27">
        <f t="shared" si="9"/>
        <v>0</v>
      </c>
      <c r="AI36" s="27">
        <f t="shared" si="9"/>
        <v>0</v>
      </c>
      <c r="AJ36" s="27">
        <f t="shared" si="9"/>
        <v>0</v>
      </c>
      <c r="AK36" s="27">
        <f t="shared" si="9"/>
        <v>0</v>
      </c>
      <c r="AL36" s="27">
        <f t="shared" si="9"/>
        <v>0</v>
      </c>
    </row>
    <row r="37" spans="1:38" ht="25.05" customHeight="1">
      <c r="B37" s="5" t="s">
        <v>1954</v>
      </c>
      <c r="C37" s="29" t="s">
        <v>44</v>
      </c>
      <c r="D37" s="30"/>
      <c r="E37" s="7" t="s">
        <v>41</v>
      </c>
      <c r="F37" s="8" t="s">
        <v>42</v>
      </c>
      <c r="G37" s="9">
        <v>0.29166666666666669</v>
      </c>
      <c r="H37" s="9">
        <v>0.2986111111111111</v>
      </c>
      <c r="I37" s="10">
        <f t="shared" ref="I37:I39" si="10">H37-G37</f>
        <v>6.9444444444444198E-3</v>
      </c>
      <c r="J37" s="11">
        <v>4</v>
      </c>
      <c r="K37" s="62" t="s">
        <v>42</v>
      </c>
      <c r="L37" s="64" t="s">
        <v>42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 t="s">
        <v>712</v>
      </c>
      <c r="E38" s="19" t="s">
        <v>324</v>
      </c>
      <c r="F38" s="8" t="s">
        <v>42</v>
      </c>
      <c r="G38" s="9">
        <v>0.34375</v>
      </c>
      <c r="H38" s="9">
        <v>0.34583333333333333</v>
      </c>
      <c r="I38" s="10">
        <f t="shared" si="10"/>
        <v>2.0833333333333259E-3</v>
      </c>
      <c r="J38" s="11">
        <v>4</v>
      </c>
      <c r="K38" s="11">
        <v>38.880000000000003</v>
      </c>
      <c r="L38" s="16">
        <f t="shared" ref="L38:L39" si="11">IFERROR(((K38/(J38*I38)/24)),"0")</f>
        <v>194.40000000000069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3</v>
      </c>
      <c r="W38" s="12"/>
      <c r="X38" s="11"/>
      <c r="Y38" s="11"/>
      <c r="Z38" s="11"/>
      <c r="AA38" s="11"/>
      <c r="AB38" s="11">
        <v>3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 t="s">
        <v>325</v>
      </c>
      <c r="F39" s="8" t="s">
        <v>42</v>
      </c>
      <c r="G39" s="9">
        <v>0.34791666666666665</v>
      </c>
      <c r="H39" s="9">
        <v>0.35</v>
      </c>
      <c r="I39" s="10">
        <f t="shared" si="10"/>
        <v>2.0833333333333259E-3</v>
      </c>
      <c r="J39" s="11">
        <v>4</v>
      </c>
      <c r="K39" s="11">
        <v>37.68</v>
      </c>
      <c r="L39" s="16">
        <f t="shared" si="11"/>
        <v>188.40000000000066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3</v>
      </c>
      <c r="W39" s="12"/>
      <c r="X39" s="11"/>
      <c r="Y39" s="11"/>
      <c r="Z39" s="11"/>
      <c r="AA39" s="11"/>
      <c r="AB39" s="11"/>
      <c r="AC39" s="11">
        <v>3</v>
      </c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 t="s">
        <v>327</v>
      </c>
      <c r="F40" s="8" t="s">
        <v>42</v>
      </c>
      <c r="G40" s="9">
        <v>0.35208333333333336</v>
      </c>
      <c r="H40" s="9">
        <v>0.35416666666666669</v>
      </c>
      <c r="I40" s="10">
        <f t="shared" ref="I40:I104" si="12">H40-G40</f>
        <v>2.0833333333333259E-3</v>
      </c>
      <c r="J40" s="11">
        <v>4</v>
      </c>
      <c r="K40" s="11">
        <v>44.36</v>
      </c>
      <c r="L40" s="16">
        <f t="shared" ref="L40:L104" si="13">IFERROR(((K40/(J40*I40)/24)),"0")</f>
        <v>221.80000000000078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3</v>
      </c>
      <c r="W40" s="12"/>
      <c r="X40" s="11"/>
      <c r="Y40" s="11"/>
      <c r="Z40" s="11"/>
      <c r="AA40" s="11"/>
      <c r="AB40" s="11">
        <v>3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328</v>
      </c>
      <c r="F41" s="8" t="s">
        <v>42</v>
      </c>
      <c r="G41" s="9">
        <v>0.35555555555555557</v>
      </c>
      <c r="H41" s="9">
        <v>0.3576388888888889</v>
      </c>
      <c r="I41" s="10">
        <f t="shared" si="12"/>
        <v>2.0833333333333259E-3</v>
      </c>
      <c r="J41" s="11">
        <v>4</v>
      </c>
      <c r="K41" s="11">
        <v>37.65</v>
      </c>
      <c r="L41" s="16">
        <f t="shared" si="13"/>
        <v>188.25000000000065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3</v>
      </c>
      <c r="W41" s="12"/>
      <c r="X41" s="11"/>
      <c r="Y41" s="11"/>
      <c r="Z41" s="11"/>
      <c r="AA41" s="11"/>
      <c r="AB41" s="11"/>
      <c r="AC41" s="11">
        <v>3</v>
      </c>
      <c r="AD41" s="11"/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330</v>
      </c>
      <c r="F42" s="8" t="s">
        <v>42</v>
      </c>
      <c r="G42" s="9">
        <v>0.3611111111111111</v>
      </c>
      <c r="H42" s="9">
        <v>0.36319444444444443</v>
      </c>
      <c r="I42" s="10">
        <f t="shared" si="12"/>
        <v>2.0833333333333259E-3</v>
      </c>
      <c r="J42" s="11">
        <v>4</v>
      </c>
      <c r="K42" s="11">
        <v>34.090000000000003</v>
      </c>
      <c r="L42" s="16">
        <f t="shared" si="13"/>
        <v>170.45000000000061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3</v>
      </c>
      <c r="W42" s="12"/>
      <c r="X42" s="11"/>
      <c r="Y42" s="11"/>
      <c r="Z42" s="11"/>
      <c r="AA42" s="11"/>
      <c r="AB42" s="11">
        <v>3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 t="s">
        <v>331</v>
      </c>
      <c r="F43" s="8" t="s">
        <v>42</v>
      </c>
      <c r="G43" s="9">
        <v>0.36388888888888887</v>
      </c>
      <c r="H43" s="9">
        <v>0.3659722222222222</v>
      </c>
      <c r="I43" s="10">
        <f t="shared" si="12"/>
        <v>2.0833333333333259E-3</v>
      </c>
      <c r="J43" s="11">
        <v>4</v>
      </c>
      <c r="K43" s="11">
        <v>33.17</v>
      </c>
      <c r="L43" s="16">
        <f t="shared" si="13"/>
        <v>165.85000000000059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3</v>
      </c>
      <c r="W43" s="12"/>
      <c r="X43" s="11"/>
      <c r="Y43" s="11"/>
      <c r="Z43" s="11"/>
      <c r="AA43" s="11"/>
      <c r="AB43" s="11"/>
      <c r="AC43" s="11">
        <v>3</v>
      </c>
      <c r="AD43" s="11"/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333</v>
      </c>
      <c r="F44" s="8" t="s">
        <v>42</v>
      </c>
      <c r="G44" s="9">
        <v>0.36805555555555558</v>
      </c>
      <c r="H44" s="9">
        <v>0.37013888888888891</v>
      </c>
      <c r="I44" s="10">
        <f t="shared" si="12"/>
        <v>2.0833333333333259E-3</v>
      </c>
      <c r="J44" s="11">
        <v>4</v>
      </c>
      <c r="K44" s="11">
        <v>37.75</v>
      </c>
      <c r="L44" s="16">
        <f t="shared" si="13"/>
        <v>188.75000000000068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3</v>
      </c>
      <c r="W44" s="12"/>
      <c r="X44" s="11"/>
      <c r="Y44" s="11"/>
      <c r="Z44" s="11"/>
      <c r="AA44" s="11"/>
      <c r="AB44" s="11">
        <v>3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334</v>
      </c>
      <c r="F45" s="8" t="s">
        <v>42</v>
      </c>
      <c r="G45" s="9">
        <v>0.37222222222222223</v>
      </c>
      <c r="H45" s="9">
        <v>0.37430555555555556</v>
      </c>
      <c r="I45" s="10">
        <f t="shared" si="12"/>
        <v>2.0833333333333259E-3</v>
      </c>
      <c r="J45" s="11">
        <v>4</v>
      </c>
      <c r="K45" s="11">
        <v>37.840000000000003</v>
      </c>
      <c r="L45" s="16">
        <f t="shared" si="13"/>
        <v>189.2000000000007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3</v>
      </c>
      <c r="W45" s="12"/>
      <c r="X45" s="11"/>
      <c r="Y45" s="11"/>
      <c r="Z45" s="11"/>
      <c r="AA45" s="11"/>
      <c r="AB45" s="11"/>
      <c r="AC45" s="11">
        <v>3</v>
      </c>
      <c r="AD45" s="11"/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336</v>
      </c>
      <c r="F46" s="8" t="s">
        <v>42</v>
      </c>
      <c r="G46" s="9">
        <v>0.37569444444444444</v>
      </c>
      <c r="H46" s="9">
        <v>0.37777777777777777</v>
      </c>
      <c r="I46" s="10">
        <f t="shared" si="12"/>
        <v>2.0833333333333259E-3</v>
      </c>
      <c r="J46" s="11">
        <v>4</v>
      </c>
      <c r="K46" s="11">
        <v>38.93</v>
      </c>
      <c r="L46" s="16">
        <f t="shared" si="13"/>
        <v>194.65000000000069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3</v>
      </c>
      <c r="W46" s="12"/>
      <c r="X46" s="11"/>
      <c r="Y46" s="11"/>
      <c r="Z46" s="11"/>
      <c r="AA46" s="11"/>
      <c r="AB46" s="11">
        <v>3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 t="s">
        <v>337</v>
      </c>
      <c r="F47" s="8" t="s">
        <v>42</v>
      </c>
      <c r="G47" s="9">
        <v>0.38055555555555554</v>
      </c>
      <c r="H47" s="9">
        <v>0.38263888888888886</v>
      </c>
      <c r="I47" s="10">
        <f t="shared" si="12"/>
        <v>2.0833333333333259E-3</v>
      </c>
      <c r="J47" s="11">
        <v>4</v>
      </c>
      <c r="K47" s="11">
        <v>37.78</v>
      </c>
      <c r="L47" s="16">
        <f t="shared" si="13"/>
        <v>188.90000000000066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3</v>
      </c>
      <c r="W47" s="12"/>
      <c r="X47" s="11"/>
      <c r="Y47" s="11"/>
      <c r="Z47" s="11"/>
      <c r="AA47" s="11"/>
      <c r="AB47" s="11"/>
      <c r="AC47" s="11">
        <v>3</v>
      </c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 t="s">
        <v>339</v>
      </c>
      <c r="F48" s="8" t="s">
        <v>42</v>
      </c>
      <c r="G48" s="9">
        <v>0.38472222222222224</v>
      </c>
      <c r="H48" s="9">
        <v>0.38750000000000001</v>
      </c>
      <c r="I48" s="10">
        <f t="shared" si="12"/>
        <v>2.7777777777777679E-3</v>
      </c>
      <c r="J48" s="11">
        <v>4</v>
      </c>
      <c r="K48" s="11">
        <v>37.590000000000003</v>
      </c>
      <c r="L48" s="16">
        <f t="shared" si="13"/>
        <v>140.96250000000052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3</v>
      </c>
      <c r="W48" s="12"/>
      <c r="X48" s="11"/>
      <c r="Y48" s="11"/>
      <c r="Z48" s="11"/>
      <c r="AA48" s="11"/>
      <c r="AB48" s="11">
        <v>3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340</v>
      </c>
      <c r="F49" s="8" t="s">
        <v>42</v>
      </c>
      <c r="G49" s="9">
        <v>0.3888888888888889</v>
      </c>
      <c r="H49" s="9">
        <v>0.39166666666666666</v>
      </c>
      <c r="I49" s="10">
        <f t="shared" si="12"/>
        <v>2.7777777777777679E-3</v>
      </c>
      <c r="J49" s="11">
        <v>4</v>
      </c>
      <c r="K49" s="11">
        <v>37.71</v>
      </c>
      <c r="L49" s="16">
        <f t="shared" si="13"/>
        <v>141.41250000000051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3</v>
      </c>
      <c r="W49" s="12"/>
      <c r="X49" s="11"/>
      <c r="Y49" s="11"/>
      <c r="Z49" s="11"/>
      <c r="AA49" s="11"/>
      <c r="AB49" s="11"/>
      <c r="AC49" s="11">
        <v>3</v>
      </c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342</v>
      </c>
      <c r="F50" s="8" t="s">
        <v>42</v>
      </c>
      <c r="G50" s="9">
        <v>0.39374999999999999</v>
      </c>
      <c r="H50" s="9">
        <v>0.39583333333333331</v>
      </c>
      <c r="I50" s="10">
        <f t="shared" si="12"/>
        <v>2.0833333333333259E-3</v>
      </c>
      <c r="J50" s="11">
        <v>4</v>
      </c>
      <c r="K50" s="11">
        <v>37.340000000000003</v>
      </c>
      <c r="L50" s="16">
        <f t="shared" si="13"/>
        <v>186.7000000000007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3</v>
      </c>
      <c r="W50" s="12"/>
      <c r="X50" s="11"/>
      <c r="Y50" s="11"/>
      <c r="Z50" s="11"/>
      <c r="AA50" s="11"/>
      <c r="AB50" s="11">
        <v>3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343</v>
      </c>
      <c r="F51" s="8" t="s">
        <v>42</v>
      </c>
      <c r="G51" s="9">
        <v>0.3972222222222222</v>
      </c>
      <c r="H51" s="9">
        <v>0.39930555555555558</v>
      </c>
      <c r="I51" s="10">
        <f t="shared" si="12"/>
        <v>2.0833333333333814E-3</v>
      </c>
      <c r="J51" s="11">
        <v>4</v>
      </c>
      <c r="K51" s="11">
        <v>37.520000000000003</v>
      </c>
      <c r="L51" s="16">
        <f t="shared" si="13"/>
        <v>187.59999999999567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3</v>
      </c>
      <c r="X51" s="11"/>
      <c r="Y51" s="11"/>
      <c r="Z51" s="11"/>
      <c r="AA51" s="11"/>
      <c r="AB51" s="11"/>
      <c r="AC51" s="11">
        <v>3</v>
      </c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345</v>
      </c>
      <c r="F52" s="8" t="s">
        <v>42</v>
      </c>
      <c r="G52" s="9">
        <v>0.40347222222222223</v>
      </c>
      <c r="H52" s="9">
        <v>0.40555555555555556</v>
      </c>
      <c r="I52" s="10">
        <f t="shared" si="12"/>
        <v>2.0833333333333259E-3</v>
      </c>
      <c r="J52" s="11">
        <v>4</v>
      </c>
      <c r="K52" s="11">
        <v>38.090000000000003</v>
      </c>
      <c r="L52" s="16">
        <f t="shared" si="13"/>
        <v>190.4500000000007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3</v>
      </c>
      <c r="X52" s="11"/>
      <c r="Y52" s="11"/>
      <c r="Z52" s="11"/>
      <c r="AA52" s="11"/>
      <c r="AB52" s="11">
        <v>3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346</v>
      </c>
      <c r="F53" s="8" t="s">
        <v>42</v>
      </c>
      <c r="G53" s="9">
        <v>0.40694444444444444</v>
      </c>
      <c r="H53" s="9">
        <v>0.40902777777777777</v>
      </c>
      <c r="I53" s="10">
        <f t="shared" si="12"/>
        <v>2.0833333333333259E-3</v>
      </c>
      <c r="J53" s="11">
        <v>4</v>
      </c>
      <c r="K53" s="11">
        <v>37.93</v>
      </c>
      <c r="L53" s="16">
        <f t="shared" si="13"/>
        <v>189.65000000000066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3</v>
      </c>
      <c r="W53" s="12"/>
      <c r="X53" s="11"/>
      <c r="Y53" s="11"/>
      <c r="Z53" s="11"/>
      <c r="AA53" s="11"/>
      <c r="AB53" s="11"/>
      <c r="AC53" s="11">
        <v>3</v>
      </c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348</v>
      </c>
      <c r="F54" s="8" t="s">
        <v>42</v>
      </c>
      <c r="G54" s="9">
        <v>0.41111111111111109</v>
      </c>
      <c r="H54" s="9">
        <v>0.41319444444444442</v>
      </c>
      <c r="I54" s="10">
        <f t="shared" si="12"/>
        <v>2.0833333333333259E-3</v>
      </c>
      <c r="J54" s="11">
        <v>4</v>
      </c>
      <c r="K54" s="11">
        <v>37.909999999999997</v>
      </c>
      <c r="L54" s="16">
        <f t="shared" si="13"/>
        <v>189.55000000000067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3</v>
      </c>
      <c r="W54" s="12"/>
      <c r="X54" s="11"/>
      <c r="Y54" s="11"/>
      <c r="Z54" s="11"/>
      <c r="AA54" s="11"/>
      <c r="AB54" s="11">
        <v>3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349</v>
      </c>
      <c r="F55" s="8" t="s">
        <v>42</v>
      </c>
      <c r="G55" s="9">
        <v>0.41666666666666669</v>
      </c>
      <c r="H55" s="9">
        <v>0.41875000000000001</v>
      </c>
      <c r="I55" s="10">
        <f t="shared" si="12"/>
        <v>2.0833333333333259E-3</v>
      </c>
      <c r="J55" s="11">
        <v>4</v>
      </c>
      <c r="K55" s="11">
        <v>38.17</v>
      </c>
      <c r="L55" s="16">
        <f t="shared" si="13"/>
        <v>190.8500000000007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3</v>
      </c>
      <c r="W55" s="12"/>
      <c r="X55" s="11"/>
      <c r="Y55" s="11"/>
      <c r="Z55" s="11"/>
      <c r="AA55" s="11"/>
      <c r="AB55" s="11"/>
      <c r="AC55" s="11">
        <v>3</v>
      </c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713</v>
      </c>
      <c r="F56" s="8" t="s">
        <v>42</v>
      </c>
      <c r="G56" s="9">
        <v>0.42152777777777778</v>
      </c>
      <c r="H56" s="9">
        <v>0.4236111111111111</v>
      </c>
      <c r="I56" s="10">
        <f t="shared" si="12"/>
        <v>2.0833333333333259E-3</v>
      </c>
      <c r="J56" s="11">
        <v>4</v>
      </c>
      <c r="K56" s="11">
        <v>37.76</v>
      </c>
      <c r="L56" s="16">
        <f t="shared" si="13"/>
        <v>188.80000000000067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3</v>
      </c>
      <c r="W56" s="12"/>
      <c r="X56" s="11"/>
      <c r="Y56" s="11"/>
      <c r="Z56" s="11"/>
      <c r="AA56" s="11"/>
      <c r="AB56" s="11">
        <v>3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714</v>
      </c>
      <c r="F57" s="8" t="s">
        <v>42</v>
      </c>
      <c r="G57" s="9">
        <v>0.42638888888888887</v>
      </c>
      <c r="H57" s="9">
        <v>0.4284722222222222</v>
      </c>
      <c r="I57" s="10">
        <f t="shared" si="12"/>
        <v>2.0833333333333259E-3</v>
      </c>
      <c r="J57" s="11">
        <v>4</v>
      </c>
      <c r="K57" s="11">
        <v>37.51</v>
      </c>
      <c r="L57" s="16">
        <f t="shared" si="13"/>
        <v>187.55000000000067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3</v>
      </c>
      <c r="W57" s="12"/>
      <c r="X57" s="11"/>
      <c r="Y57" s="11"/>
      <c r="Z57" s="11"/>
      <c r="AA57" s="11"/>
      <c r="AB57" s="11"/>
      <c r="AC57" s="11">
        <v>3</v>
      </c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715</v>
      </c>
      <c r="F58" s="8" t="s">
        <v>42</v>
      </c>
      <c r="G58" s="9">
        <v>0.43125000000000002</v>
      </c>
      <c r="H58" s="9">
        <v>0.43333333333333335</v>
      </c>
      <c r="I58" s="10">
        <f t="shared" si="12"/>
        <v>2.0833333333333259E-3</v>
      </c>
      <c r="J58" s="11">
        <v>4</v>
      </c>
      <c r="K58" s="11">
        <v>37.93</v>
      </c>
      <c r="L58" s="16">
        <f t="shared" si="13"/>
        <v>189.65000000000066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3</v>
      </c>
      <c r="W58" s="12"/>
      <c r="X58" s="11"/>
      <c r="Y58" s="11"/>
      <c r="Z58" s="11"/>
      <c r="AA58" s="11"/>
      <c r="AB58" s="11">
        <v>3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716</v>
      </c>
      <c r="F59" s="8" t="s">
        <v>42</v>
      </c>
      <c r="G59" s="9">
        <v>0.43888888888888888</v>
      </c>
      <c r="H59" s="9">
        <v>0.43958333333333333</v>
      </c>
      <c r="I59" s="10">
        <f t="shared" si="12"/>
        <v>6.9444444444444198E-4</v>
      </c>
      <c r="J59" s="11">
        <v>4</v>
      </c>
      <c r="K59" s="11">
        <v>37.619999999999997</v>
      </c>
      <c r="L59" s="16">
        <f t="shared" si="13"/>
        <v>564.300000000002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3</v>
      </c>
      <c r="W59" s="12"/>
      <c r="X59" s="11"/>
      <c r="Y59" s="11"/>
      <c r="Z59" s="11"/>
      <c r="AA59" s="11"/>
      <c r="AB59" s="11"/>
      <c r="AC59" s="11">
        <v>3</v>
      </c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717</v>
      </c>
      <c r="F60" s="8" t="s">
        <v>42</v>
      </c>
      <c r="G60" s="9">
        <v>0.43958333333333333</v>
      </c>
      <c r="H60" s="9">
        <v>0.44166666666666665</v>
      </c>
      <c r="I60" s="10">
        <f t="shared" si="12"/>
        <v>2.0833333333333259E-3</v>
      </c>
      <c r="J60" s="11">
        <v>4</v>
      </c>
      <c r="K60" s="11">
        <v>40.200000000000003</v>
      </c>
      <c r="L60" s="16">
        <f t="shared" si="13"/>
        <v>201.00000000000071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3</v>
      </c>
      <c r="W60" s="12"/>
      <c r="X60" s="11"/>
      <c r="Y60" s="11"/>
      <c r="Z60" s="11"/>
      <c r="AA60" s="11"/>
      <c r="AB60" s="11">
        <v>3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718</v>
      </c>
      <c r="F61" s="8" t="s">
        <v>42</v>
      </c>
      <c r="G61" s="9">
        <v>0.44513888888888886</v>
      </c>
      <c r="H61" s="9">
        <v>0.44722222222222224</v>
      </c>
      <c r="I61" s="10">
        <f t="shared" si="12"/>
        <v>2.0833333333333814E-3</v>
      </c>
      <c r="J61" s="11">
        <v>4</v>
      </c>
      <c r="K61" s="11">
        <v>38.25</v>
      </c>
      <c r="L61" s="16">
        <f t="shared" si="13"/>
        <v>191.24999999999557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3</v>
      </c>
      <c r="W61" s="12"/>
      <c r="X61" s="11"/>
      <c r="Y61" s="11"/>
      <c r="Z61" s="11"/>
      <c r="AA61" s="11"/>
      <c r="AB61" s="11"/>
      <c r="AC61" s="11">
        <v>3</v>
      </c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719</v>
      </c>
      <c r="F62" s="8" t="s">
        <v>42</v>
      </c>
      <c r="G62" s="9">
        <v>0.45</v>
      </c>
      <c r="H62" s="9">
        <v>0.45208333333333334</v>
      </c>
      <c r="I62" s="10">
        <f t="shared" si="12"/>
        <v>2.0833333333333259E-3</v>
      </c>
      <c r="J62" s="11">
        <v>4</v>
      </c>
      <c r="K62" s="11">
        <v>37.86</v>
      </c>
      <c r="L62" s="16">
        <f t="shared" si="13"/>
        <v>189.30000000000067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3</v>
      </c>
      <c r="W62" s="12"/>
      <c r="X62" s="11"/>
      <c r="Y62" s="11"/>
      <c r="Z62" s="11"/>
      <c r="AA62" s="11"/>
      <c r="AB62" s="11">
        <v>3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720</v>
      </c>
      <c r="F63" s="8" t="s">
        <v>42</v>
      </c>
      <c r="G63" s="9">
        <v>0.4597222222222222</v>
      </c>
      <c r="H63" s="9">
        <v>0.46180555555555558</v>
      </c>
      <c r="I63" s="10">
        <f t="shared" si="12"/>
        <v>2.0833333333333814E-3</v>
      </c>
      <c r="J63" s="11">
        <v>4</v>
      </c>
      <c r="K63" s="11">
        <v>37.43</v>
      </c>
      <c r="L63" s="16">
        <f t="shared" si="13"/>
        <v>187.14999999999569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3</v>
      </c>
      <c r="W63" s="12"/>
      <c r="X63" s="11"/>
      <c r="Y63" s="11"/>
      <c r="Z63" s="11"/>
      <c r="AA63" s="11"/>
      <c r="AB63" s="11">
        <v>3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721</v>
      </c>
      <c r="F64" s="8" t="s">
        <v>42</v>
      </c>
      <c r="G64" s="9">
        <v>0.46458333333333335</v>
      </c>
      <c r="H64" s="9">
        <v>0.46666666666666667</v>
      </c>
      <c r="I64" s="10">
        <f t="shared" si="12"/>
        <v>2.0833333333333259E-3</v>
      </c>
      <c r="J64" s="11">
        <v>4</v>
      </c>
      <c r="K64" s="11">
        <v>37.53</v>
      </c>
      <c r="L64" s="16">
        <f t="shared" si="13"/>
        <v>187.65000000000066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3</v>
      </c>
      <c r="W64" s="12"/>
      <c r="X64" s="11"/>
      <c r="Y64" s="11"/>
      <c r="Z64" s="11"/>
      <c r="AA64" s="11"/>
      <c r="AB64" s="11">
        <v>3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722</v>
      </c>
      <c r="F65" s="8" t="s">
        <v>42</v>
      </c>
      <c r="G65" s="9">
        <v>0.47222222222222221</v>
      </c>
      <c r="H65" s="9">
        <v>0.47430555555555554</v>
      </c>
      <c r="I65" s="10">
        <f t="shared" si="12"/>
        <v>2.0833333333333259E-3</v>
      </c>
      <c r="J65" s="11">
        <v>4</v>
      </c>
      <c r="K65" s="11">
        <v>37.64</v>
      </c>
      <c r="L65" s="16">
        <f t="shared" si="13"/>
        <v>188.2000000000007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3</v>
      </c>
      <c r="W65" s="12"/>
      <c r="X65" s="11"/>
      <c r="Y65" s="11"/>
      <c r="Z65" s="11"/>
      <c r="AA65" s="11"/>
      <c r="AB65" s="11">
        <v>3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1540</v>
      </c>
      <c r="F66" s="8" t="s">
        <v>42</v>
      </c>
      <c r="G66" s="9">
        <v>0.47916666666666669</v>
      </c>
      <c r="H66" s="9">
        <v>0.48125000000000001</v>
      </c>
      <c r="I66" s="10">
        <f t="shared" si="12"/>
        <v>2.0833333333333259E-3</v>
      </c>
      <c r="J66" s="11">
        <v>4</v>
      </c>
      <c r="K66" s="11">
        <v>37.630000000000003</v>
      </c>
      <c r="L66" s="16">
        <f t="shared" si="13"/>
        <v>188.15000000000069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3</v>
      </c>
      <c r="W66" s="12"/>
      <c r="X66" s="11"/>
      <c r="Y66" s="11"/>
      <c r="Z66" s="11"/>
      <c r="AA66" s="11"/>
      <c r="AB66" s="11">
        <v>3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1541</v>
      </c>
      <c r="F67" s="8" t="s">
        <v>42</v>
      </c>
      <c r="G67" s="9">
        <v>0.48680555555555555</v>
      </c>
      <c r="H67" s="9">
        <v>0.48888888888888887</v>
      </c>
      <c r="I67" s="10">
        <f t="shared" si="12"/>
        <v>2.0833333333333259E-3</v>
      </c>
      <c r="J67" s="11">
        <v>4</v>
      </c>
      <c r="K67" s="11">
        <v>37.71</v>
      </c>
      <c r="L67" s="16">
        <f t="shared" si="13"/>
        <v>188.55000000000067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3</v>
      </c>
      <c r="W67" s="12"/>
      <c r="X67" s="11"/>
      <c r="Y67" s="11"/>
      <c r="Z67" s="11"/>
      <c r="AA67" s="11"/>
      <c r="AB67" s="11">
        <v>3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/>
      <c r="F68" s="63"/>
      <c r="G68" s="19"/>
      <c r="H68" s="19"/>
      <c r="I68" s="19"/>
      <c r="J68" s="19"/>
      <c r="K68" s="19"/>
      <c r="L68" s="19"/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 t="s">
        <v>1669</v>
      </c>
      <c r="E69" s="19" t="s">
        <v>1461</v>
      </c>
      <c r="F69" s="8" t="s">
        <v>42</v>
      </c>
      <c r="G69" s="9">
        <v>0.3527777777777778</v>
      </c>
      <c r="H69" s="9">
        <v>0.36458333333333331</v>
      </c>
      <c r="I69" s="10">
        <f t="shared" si="12"/>
        <v>1.1805555555555514E-2</v>
      </c>
      <c r="J69" s="11">
        <v>4</v>
      </c>
      <c r="K69" s="11">
        <v>53.26</v>
      </c>
      <c r="L69" s="16">
        <f t="shared" si="13"/>
        <v>46.994117647058992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2</v>
      </c>
      <c r="X69" s="11"/>
      <c r="Y69" s="11"/>
      <c r="Z69" s="11"/>
      <c r="AA69" s="11"/>
      <c r="AB69" s="11"/>
      <c r="AC69" s="11"/>
      <c r="AD69" s="11">
        <v>17</v>
      </c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1462</v>
      </c>
      <c r="F70" s="8" t="s">
        <v>42</v>
      </c>
      <c r="G70" s="9">
        <v>0.38055555555555554</v>
      </c>
      <c r="H70" s="9">
        <v>0.39097222222222222</v>
      </c>
      <c r="I70" s="10">
        <f t="shared" si="12"/>
        <v>1.0416666666666685E-2</v>
      </c>
      <c r="J70" s="11">
        <v>4</v>
      </c>
      <c r="K70" s="11">
        <v>53.41</v>
      </c>
      <c r="L70" s="16">
        <f t="shared" si="13"/>
        <v>53.409999999999904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2</v>
      </c>
      <c r="X70" s="11"/>
      <c r="Y70" s="11"/>
      <c r="Z70" s="11"/>
      <c r="AA70" s="11"/>
      <c r="AB70" s="11"/>
      <c r="AC70" s="11"/>
      <c r="AD70" s="11">
        <v>15</v>
      </c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1966</v>
      </c>
      <c r="F71" s="8" t="s">
        <v>42</v>
      </c>
      <c r="G71" s="9">
        <v>0.3972222222222222</v>
      </c>
      <c r="H71" s="9">
        <v>0.40555555555555556</v>
      </c>
      <c r="I71" s="10">
        <f t="shared" si="12"/>
        <v>8.3333333333333592E-3</v>
      </c>
      <c r="J71" s="11">
        <v>4</v>
      </c>
      <c r="K71" s="11">
        <v>53.85</v>
      </c>
      <c r="L71" s="16">
        <f t="shared" si="13"/>
        <v>67.312499999999787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/>
      <c r="AB71" s="11"/>
      <c r="AC71" s="11"/>
      <c r="AD71" s="11">
        <v>12</v>
      </c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1967</v>
      </c>
      <c r="F72" s="8" t="s">
        <v>42</v>
      </c>
      <c r="G72" s="9">
        <v>0.56527777777777777</v>
      </c>
      <c r="H72" s="9">
        <v>0.57222222222222219</v>
      </c>
      <c r="I72" s="10">
        <f t="shared" si="12"/>
        <v>6.9444444444444198E-3</v>
      </c>
      <c r="J72" s="11">
        <v>4</v>
      </c>
      <c r="K72" s="11">
        <v>55.27</v>
      </c>
      <c r="L72" s="16">
        <f t="shared" si="13"/>
        <v>82.9050000000003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/>
      <c r="Z72" s="11"/>
      <c r="AA72" s="11"/>
      <c r="AB72" s="11"/>
      <c r="AC72" s="11"/>
      <c r="AD72" s="11">
        <v>10</v>
      </c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1968</v>
      </c>
      <c r="F73" s="8" t="s">
        <v>42</v>
      </c>
      <c r="G73" s="9">
        <v>0.57708333333333328</v>
      </c>
      <c r="H73" s="9">
        <v>0.5854166666666667</v>
      </c>
      <c r="I73" s="10">
        <f t="shared" si="12"/>
        <v>8.3333333333334147E-3</v>
      </c>
      <c r="J73" s="11">
        <v>4</v>
      </c>
      <c r="K73" s="11">
        <v>54.5</v>
      </c>
      <c r="L73" s="16">
        <f t="shared" si="13"/>
        <v>68.124999999999332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/>
      <c r="Y73" s="11"/>
      <c r="Z73" s="11"/>
      <c r="AA73" s="11"/>
      <c r="AB73" s="11"/>
      <c r="AC73" s="11"/>
      <c r="AD73" s="11">
        <v>12</v>
      </c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1969</v>
      </c>
      <c r="F74" s="8" t="s">
        <v>42</v>
      </c>
      <c r="G74" s="9">
        <v>0.59097222222222223</v>
      </c>
      <c r="H74" s="9">
        <v>0.59722222222222221</v>
      </c>
      <c r="I74" s="10">
        <f t="shared" si="12"/>
        <v>6.2499999999999778E-3</v>
      </c>
      <c r="J74" s="11">
        <v>4</v>
      </c>
      <c r="K74" s="11">
        <v>54.49</v>
      </c>
      <c r="L74" s="16">
        <f t="shared" si="13"/>
        <v>90.81666666666699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/>
      <c r="Z74" s="11"/>
      <c r="AA74" s="11"/>
      <c r="AB74" s="11"/>
      <c r="AC74" s="11"/>
      <c r="AD74" s="11">
        <v>9</v>
      </c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1970</v>
      </c>
      <c r="F75" s="8" t="s">
        <v>42</v>
      </c>
      <c r="G75" s="9">
        <v>0.46319444444444446</v>
      </c>
      <c r="H75" s="9">
        <v>0.46736111111111112</v>
      </c>
      <c r="I75" s="10">
        <f t="shared" si="12"/>
        <v>4.1666666666666519E-3</v>
      </c>
      <c r="J75" s="11">
        <v>4</v>
      </c>
      <c r="K75" s="11">
        <v>47.8</v>
      </c>
      <c r="L75" s="16">
        <f t="shared" si="13"/>
        <v>119.50000000000041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2</v>
      </c>
      <c r="W75" s="12"/>
      <c r="X75" s="11"/>
      <c r="Y75" s="11"/>
      <c r="Z75" s="11"/>
      <c r="AA75" s="11"/>
      <c r="AB75" s="11"/>
      <c r="AC75" s="11">
        <v>6</v>
      </c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1971</v>
      </c>
      <c r="F76" s="8" t="s">
        <v>42</v>
      </c>
      <c r="G76" s="9">
        <v>0.47083333333333333</v>
      </c>
      <c r="H76" s="9">
        <v>0.47569444444444442</v>
      </c>
      <c r="I76" s="10">
        <f t="shared" si="12"/>
        <v>4.8611111111110938E-3</v>
      </c>
      <c r="J76" s="11">
        <v>4</v>
      </c>
      <c r="K76" s="11">
        <v>46.17</v>
      </c>
      <c r="L76" s="16">
        <f t="shared" si="13"/>
        <v>98.935714285714639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/>
      <c r="AA76" s="11"/>
      <c r="AB76" s="11"/>
      <c r="AC76" s="11">
        <v>7</v>
      </c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1693</v>
      </c>
      <c r="F77" s="8" t="s">
        <v>42</v>
      </c>
      <c r="G77" s="9">
        <v>0.48541666666666666</v>
      </c>
      <c r="H77" s="9">
        <v>0.48547453703703702</v>
      </c>
      <c r="I77" s="10">
        <f t="shared" si="12"/>
        <v>5.7870370370360913E-5</v>
      </c>
      <c r="J77" s="11">
        <v>4</v>
      </c>
      <c r="K77" s="11">
        <v>3.4</v>
      </c>
      <c r="L77" s="16">
        <f t="shared" si="13"/>
        <v>612.00000000009993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/>
      <c r="AA77" s="11"/>
      <c r="AB77" s="11"/>
      <c r="AC77" s="11">
        <v>1</v>
      </c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1694</v>
      </c>
      <c r="F78" s="8" t="s">
        <v>42</v>
      </c>
      <c r="G78" s="9">
        <v>0.48749999999999999</v>
      </c>
      <c r="H78" s="9">
        <v>0.48755787037037035</v>
      </c>
      <c r="I78" s="10">
        <f t="shared" si="12"/>
        <v>5.7870370370360913E-5</v>
      </c>
      <c r="J78" s="11">
        <v>4</v>
      </c>
      <c r="K78" s="11">
        <v>3.8</v>
      </c>
      <c r="L78" s="16">
        <f t="shared" si="13"/>
        <v>684.00000000011175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/>
      <c r="Z78" s="11"/>
      <c r="AA78" s="11"/>
      <c r="AB78" s="11"/>
      <c r="AC78" s="11">
        <v>1</v>
      </c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1695</v>
      </c>
      <c r="F79" s="8" t="s">
        <v>42</v>
      </c>
      <c r="G79" s="9">
        <v>0.48888888888888887</v>
      </c>
      <c r="H79" s="9">
        <v>0.48894675925925923</v>
      </c>
      <c r="I79" s="10">
        <f t="shared" si="12"/>
        <v>5.7870370370360913E-5</v>
      </c>
      <c r="J79" s="11">
        <v>4</v>
      </c>
      <c r="K79" s="11">
        <v>3.59</v>
      </c>
      <c r="L79" s="16">
        <f t="shared" si="13"/>
        <v>646.20000000010555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/>
      <c r="Z79" s="11"/>
      <c r="AA79" s="11"/>
      <c r="AB79" s="11"/>
      <c r="AC79" s="11">
        <v>1</v>
      </c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1696</v>
      </c>
      <c r="F80" s="8" t="s">
        <v>42</v>
      </c>
      <c r="G80" s="9">
        <v>0.49027777777777776</v>
      </c>
      <c r="H80" s="9">
        <v>0.49033564814814817</v>
      </c>
      <c r="I80" s="10">
        <f t="shared" si="12"/>
        <v>5.7870370370416424E-5</v>
      </c>
      <c r="J80" s="11">
        <v>4</v>
      </c>
      <c r="K80" s="11">
        <v>3.9</v>
      </c>
      <c r="L80" s="16">
        <f t="shared" si="13"/>
        <v>701.99999999944123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/>
      <c r="AB80" s="11"/>
      <c r="AC80" s="11">
        <v>1</v>
      </c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1697</v>
      </c>
      <c r="F81" s="8" t="s">
        <v>42</v>
      </c>
      <c r="G81" s="9">
        <v>0.49166666666666664</v>
      </c>
      <c r="H81" s="9">
        <v>0.49172453703703706</v>
      </c>
      <c r="I81" s="10">
        <f t="shared" si="12"/>
        <v>5.7870370370416424E-5</v>
      </c>
      <c r="J81" s="11">
        <v>4</v>
      </c>
      <c r="K81" s="11">
        <v>4.12</v>
      </c>
      <c r="L81" s="16">
        <f t="shared" si="13"/>
        <v>741.59999999940976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/>
      <c r="Z81" s="11"/>
      <c r="AA81" s="11"/>
      <c r="AB81" s="11"/>
      <c r="AC81" s="11">
        <v>1</v>
      </c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1698</v>
      </c>
      <c r="F82" s="8" t="s">
        <v>42</v>
      </c>
      <c r="G82" s="9">
        <v>0.49305555555555558</v>
      </c>
      <c r="H82" s="9">
        <v>0.49311342592592594</v>
      </c>
      <c r="I82" s="10">
        <f t="shared" si="12"/>
        <v>5.7870370370360913E-5</v>
      </c>
      <c r="J82" s="11">
        <v>4</v>
      </c>
      <c r="K82" s="11">
        <v>4.05</v>
      </c>
      <c r="L82" s="16">
        <f t="shared" si="13"/>
        <v>729.00000000011914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/>
      <c r="AB82" s="11"/>
      <c r="AC82" s="11">
        <v>1</v>
      </c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106</v>
      </c>
      <c r="F83" s="8" t="s">
        <v>42</v>
      </c>
      <c r="G83" s="9">
        <v>0.47499999999999998</v>
      </c>
      <c r="H83" s="9">
        <v>0.47517361111111112</v>
      </c>
      <c r="I83" s="10">
        <f t="shared" si="12"/>
        <v>1.7361111111113825E-4</v>
      </c>
      <c r="J83" s="11">
        <v>4</v>
      </c>
      <c r="K83" s="11">
        <v>60.62</v>
      </c>
      <c r="L83" s="16">
        <f t="shared" si="13"/>
        <v>3637.1999999994314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2</v>
      </c>
      <c r="X83" s="11"/>
      <c r="Y83" s="11"/>
      <c r="Z83" s="11"/>
      <c r="AA83" s="11"/>
      <c r="AB83" s="11"/>
      <c r="AC83" s="11"/>
      <c r="AD83" s="11">
        <v>1</v>
      </c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107</v>
      </c>
      <c r="F84" s="8" t="s">
        <v>42</v>
      </c>
      <c r="G84" s="9">
        <v>0.48194444444444445</v>
      </c>
      <c r="H84" s="9">
        <v>0.48211805555555554</v>
      </c>
      <c r="I84" s="10">
        <f t="shared" si="12"/>
        <v>1.7361111111108274E-4</v>
      </c>
      <c r="J84" s="11">
        <v>4</v>
      </c>
      <c r="K84" s="11">
        <v>61.58</v>
      </c>
      <c r="L84" s="16">
        <f t="shared" si="13"/>
        <v>3694.8000000006036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/>
      <c r="Y84" s="11"/>
      <c r="Z84" s="11"/>
      <c r="AA84" s="11"/>
      <c r="AB84" s="11"/>
      <c r="AC84" s="11"/>
      <c r="AD84" s="11">
        <v>1</v>
      </c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108</v>
      </c>
      <c r="F85" s="8" t="s">
        <v>42</v>
      </c>
      <c r="G85" s="9">
        <v>0.48333333333333334</v>
      </c>
      <c r="H85" s="9">
        <v>0.48350694444444442</v>
      </c>
      <c r="I85" s="10">
        <f t="shared" si="12"/>
        <v>1.7361111111108274E-4</v>
      </c>
      <c r="J85" s="11">
        <v>4</v>
      </c>
      <c r="K85" s="11">
        <v>61.29</v>
      </c>
      <c r="L85" s="16">
        <f t="shared" si="13"/>
        <v>3677.4000000006013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2</v>
      </c>
      <c r="W85" s="12"/>
      <c r="X85" s="11"/>
      <c r="Y85" s="11"/>
      <c r="Z85" s="11"/>
      <c r="AA85" s="11"/>
      <c r="AB85" s="11"/>
      <c r="AC85" s="11"/>
      <c r="AD85" s="11">
        <v>1</v>
      </c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109</v>
      </c>
      <c r="F86" s="8" t="s">
        <v>42</v>
      </c>
      <c r="G86" s="9">
        <v>0.55763888888888891</v>
      </c>
      <c r="H86" s="9">
        <v>0.55781250000000004</v>
      </c>
      <c r="I86" s="10">
        <f t="shared" si="12"/>
        <v>1.7361111111113825E-4</v>
      </c>
      <c r="J86" s="11">
        <v>4</v>
      </c>
      <c r="K86" s="11">
        <v>59.51</v>
      </c>
      <c r="L86" s="16">
        <f t="shared" si="13"/>
        <v>3570.5999999994419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/>
      <c r="Z86" s="11"/>
      <c r="AA86" s="11"/>
      <c r="AB86" s="11"/>
      <c r="AC86" s="11"/>
      <c r="AD86" s="11">
        <v>1</v>
      </c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110</v>
      </c>
      <c r="F87" s="8" t="s">
        <v>42</v>
      </c>
      <c r="G87" s="9">
        <v>0.55833333333333335</v>
      </c>
      <c r="H87" s="9">
        <v>0.55850694444444449</v>
      </c>
      <c r="I87" s="10">
        <f t="shared" si="12"/>
        <v>1.7361111111113825E-4</v>
      </c>
      <c r="J87" s="11">
        <v>4</v>
      </c>
      <c r="K87" s="11">
        <v>58.46</v>
      </c>
      <c r="L87" s="16">
        <f t="shared" si="13"/>
        <v>3507.5999999994515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2</v>
      </c>
      <c r="W87" s="12"/>
      <c r="X87" s="11"/>
      <c r="Y87" s="11"/>
      <c r="Z87" s="11"/>
      <c r="AA87" s="11"/>
      <c r="AB87" s="11"/>
      <c r="AC87" s="11"/>
      <c r="AD87" s="11">
        <v>1</v>
      </c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111</v>
      </c>
      <c r="F88" s="8" t="s">
        <v>42</v>
      </c>
      <c r="G88" s="9">
        <v>0.56597222222222221</v>
      </c>
      <c r="H88" s="9">
        <v>0.56614583333333335</v>
      </c>
      <c r="I88" s="10">
        <f t="shared" si="12"/>
        <v>1.7361111111113825E-4</v>
      </c>
      <c r="J88" s="11">
        <v>4</v>
      </c>
      <c r="K88" s="11">
        <v>59.37</v>
      </c>
      <c r="L88" s="16">
        <f t="shared" si="13"/>
        <v>3562.1999999994428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2</v>
      </c>
      <c r="W88" s="12"/>
      <c r="X88" s="11"/>
      <c r="Y88" s="11"/>
      <c r="Z88" s="11"/>
      <c r="AA88" s="11"/>
      <c r="AB88" s="11"/>
      <c r="AC88" s="11"/>
      <c r="AD88" s="11">
        <v>1</v>
      </c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16" t="s">
        <v>1972</v>
      </c>
      <c r="F89" s="8" t="s">
        <v>42</v>
      </c>
      <c r="G89" s="9">
        <v>0.42499999999999999</v>
      </c>
      <c r="H89" s="9">
        <v>0.45624999999999999</v>
      </c>
      <c r="I89" s="10">
        <f t="shared" si="12"/>
        <v>3.125E-2</v>
      </c>
      <c r="J89" s="11">
        <v>4</v>
      </c>
      <c r="K89" s="11">
        <v>85</v>
      </c>
      <c r="L89" s="16">
        <f t="shared" si="13"/>
        <v>28.333333333333332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2</v>
      </c>
      <c r="W89" s="12"/>
      <c r="X89" s="11"/>
      <c r="Y89" s="11">
        <v>45</v>
      </c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16" t="s">
        <v>1973</v>
      </c>
      <c r="F90" s="8" t="s">
        <v>42</v>
      </c>
      <c r="G90" s="9">
        <v>0.43125000000000002</v>
      </c>
      <c r="H90" s="9">
        <v>0.46250000000000002</v>
      </c>
      <c r="I90" s="10">
        <f t="shared" si="12"/>
        <v>3.125E-2</v>
      </c>
      <c r="J90" s="11">
        <v>4</v>
      </c>
      <c r="K90" s="11">
        <v>42.5</v>
      </c>
      <c r="L90" s="16">
        <f t="shared" si="13"/>
        <v>14.166666666666666</v>
      </c>
      <c r="M90" s="11"/>
      <c r="N90" s="11"/>
      <c r="O90" s="11"/>
      <c r="P90" s="11"/>
      <c r="Q90" s="11"/>
      <c r="R90" s="12"/>
      <c r="S90" s="12"/>
      <c r="T90" s="11"/>
      <c r="U90" s="11"/>
      <c r="V90" s="12">
        <v>2</v>
      </c>
      <c r="W90" s="12"/>
      <c r="X90" s="11"/>
      <c r="Y90" s="11"/>
      <c r="Z90" s="11"/>
      <c r="AA90" s="11">
        <v>45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16" t="s">
        <v>1974</v>
      </c>
      <c r="F91" s="8" t="s">
        <v>42</v>
      </c>
      <c r="G91" s="9">
        <v>0.43125000000000002</v>
      </c>
      <c r="H91" s="9">
        <v>0.46250000000000002</v>
      </c>
      <c r="I91" s="10">
        <f t="shared" si="12"/>
        <v>3.125E-2</v>
      </c>
      <c r="J91" s="11">
        <v>4</v>
      </c>
      <c r="K91" s="11">
        <v>42.5</v>
      </c>
      <c r="L91" s="16">
        <f t="shared" si="13"/>
        <v>14.166666666666666</v>
      </c>
      <c r="M91" s="11"/>
      <c r="N91" s="11"/>
      <c r="O91" s="11"/>
      <c r="P91" s="11"/>
      <c r="Q91" s="11"/>
      <c r="R91" s="12"/>
      <c r="S91" s="12"/>
      <c r="T91" s="11"/>
      <c r="U91" s="11"/>
      <c r="V91" s="12">
        <v>2</v>
      </c>
      <c r="W91" s="12"/>
      <c r="X91" s="11"/>
      <c r="Y91" s="11"/>
      <c r="Z91" s="11"/>
      <c r="AA91" s="11">
        <v>45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16" t="s">
        <v>1975</v>
      </c>
      <c r="F92" s="8" t="s">
        <v>42</v>
      </c>
      <c r="G92" s="9">
        <v>0.44722222222222224</v>
      </c>
      <c r="H92" s="9">
        <v>0.47847222222222224</v>
      </c>
      <c r="I92" s="10">
        <f t="shared" si="12"/>
        <v>3.125E-2</v>
      </c>
      <c r="J92" s="11">
        <v>4</v>
      </c>
      <c r="K92" s="11">
        <v>85</v>
      </c>
      <c r="L92" s="16">
        <f t="shared" si="13"/>
        <v>28.333333333333332</v>
      </c>
      <c r="M92" s="11"/>
      <c r="N92" s="11"/>
      <c r="O92" s="11"/>
      <c r="P92" s="11"/>
      <c r="Q92" s="11"/>
      <c r="R92" s="12"/>
      <c r="S92" s="12"/>
      <c r="T92" s="11"/>
      <c r="U92" s="11"/>
      <c r="V92" s="12">
        <v>2</v>
      </c>
      <c r="W92" s="12"/>
      <c r="X92" s="11">
        <v>45</v>
      </c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16" t="s">
        <v>1976</v>
      </c>
      <c r="F93" s="8" t="s">
        <v>42</v>
      </c>
      <c r="G93" s="9">
        <v>0.47430555555555554</v>
      </c>
      <c r="H93" s="9">
        <v>0.50208333333333333</v>
      </c>
      <c r="I93" s="10">
        <f t="shared" si="12"/>
        <v>2.777777777777779E-2</v>
      </c>
      <c r="J93" s="11">
        <v>4</v>
      </c>
      <c r="K93" s="11">
        <v>85</v>
      </c>
      <c r="L93" s="16">
        <f t="shared" si="13"/>
        <v>31.874999999999986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2</v>
      </c>
      <c r="W93" s="12"/>
      <c r="X93" s="11"/>
      <c r="Y93" s="11">
        <v>45</v>
      </c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16" t="s">
        <v>1977</v>
      </c>
      <c r="F94" s="8" t="s">
        <v>42</v>
      </c>
      <c r="G94" s="9">
        <v>0.48958333333333331</v>
      </c>
      <c r="H94" s="9">
        <v>0.52083333333333337</v>
      </c>
      <c r="I94" s="10">
        <f t="shared" si="12"/>
        <v>3.1250000000000056E-2</v>
      </c>
      <c r="J94" s="11">
        <v>4</v>
      </c>
      <c r="K94" s="11">
        <v>42.5</v>
      </c>
      <c r="L94" s="16">
        <f t="shared" si="13"/>
        <v>14.166666666666641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2</v>
      </c>
      <c r="W94" s="12"/>
      <c r="X94" s="11"/>
      <c r="Y94" s="11"/>
      <c r="Z94" s="11"/>
      <c r="AA94" s="11">
        <v>45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16" t="s">
        <v>1978</v>
      </c>
      <c r="F95" s="8" t="s">
        <v>42</v>
      </c>
      <c r="G95" s="9">
        <v>0.48958333333333331</v>
      </c>
      <c r="H95" s="9">
        <v>0.52083333333333337</v>
      </c>
      <c r="I95" s="10">
        <f t="shared" si="12"/>
        <v>3.1250000000000056E-2</v>
      </c>
      <c r="J95" s="11">
        <v>4</v>
      </c>
      <c r="K95" s="11">
        <v>42.5</v>
      </c>
      <c r="L95" s="16">
        <f t="shared" si="13"/>
        <v>14.166666666666641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2</v>
      </c>
      <c r="W95" s="12"/>
      <c r="X95" s="11"/>
      <c r="Y95" s="11"/>
      <c r="Z95" s="11"/>
      <c r="AA95" s="11">
        <v>45</v>
      </c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16" t="s">
        <v>1979</v>
      </c>
      <c r="F96" s="8" t="s">
        <v>42</v>
      </c>
      <c r="G96" s="9">
        <v>0.49444444444444446</v>
      </c>
      <c r="H96" s="9">
        <v>0.52569444444444446</v>
      </c>
      <c r="I96" s="10">
        <f t="shared" si="12"/>
        <v>3.125E-2</v>
      </c>
      <c r="J96" s="11">
        <v>4</v>
      </c>
      <c r="K96" s="11">
        <v>85</v>
      </c>
      <c r="L96" s="16">
        <f t="shared" si="13"/>
        <v>28.333333333333332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2</v>
      </c>
      <c r="X96" s="11">
        <v>45</v>
      </c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16" t="s">
        <v>1980</v>
      </c>
      <c r="F97" s="8" t="s">
        <v>42</v>
      </c>
      <c r="G97" s="9">
        <v>0.51944444444444449</v>
      </c>
      <c r="H97" s="9">
        <v>0.55069444444444449</v>
      </c>
      <c r="I97" s="10">
        <f t="shared" si="12"/>
        <v>3.125E-2</v>
      </c>
      <c r="J97" s="11">
        <v>4</v>
      </c>
      <c r="K97" s="11">
        <v>85</v>
      </c>
      <c r="L97" s="16">
        <f t="shared" si="13"/>
        <v>28.333333333333332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2</v>
      </c>
      <c r="X97" s="11"/>
      <c r="Y97" s="11"/>
      <c r="Z97" s="11"/>
      <c r="AA97" s="11">
        <v>45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16" t="s">
        <v>1981</v>
      </c>
      <c r="F98" s="8" t="s">
        <v>42</v>
      </c>
      <c r="G98" s="9">
        <v>0.52986111111111112</v>
      </c>
      <c r="H98" s="9">
        <v>0.56111111111111112</v>
      </c>
      <c r="I98" s="10">
        <f t="shared" si="12"/>
        <v>3.125E-2</v>
      </c>
      <c r="J98" s="11">
        <v>4</v>
      </c>
      <c r="K98" s="11">
        <v>42.5</v>
      </c>
      <c r="L98" s="16">
        <f t="shared" si="13"/>
        <v>14.166666666666666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2</v>
      </c>
      <c r="X98" s="11"/>
      <c r="Y98" s="11">
        <v>45</v>
      </c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16" t="s">
        <v>1982</v>
      </c>
      <c r="F99" s="8" t="s">
        <v>42</v>
      </c>
      <c r="G99" s="9">
        <v>0.52986111111111112</v>
      </c>
      <c r="H99" s="9">
        <v>0.56111111111111112</v>
      </c>
      <c r="I99" s="10">
        <f t="shared" si="12"/>
        <v>3.125E-2</v>
      </c>
      <c r="J99" s="11">
        <v>4</v>
      </c>
      <c r="K99" s="11">
        <v>42.5</v>
      </c>
      <c r="L99" s="16">
        <f t="shared" si="13"/>
        <v>14.166666666666666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>
        <v>2</v>
      </c>
      <c r="X99" s="11"/>
      <c r="Y99" s="11">
        <v>45</v>
      </c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16" t="s">
        <v>1983</v>
      </c>
      <c r="F100" s="8" t="s">
        <v>42</v>
      </c>
      <c r="G100" s="9">
        <v>0.54166666666666663</v>
      </c>
      <c r="H100" s="9">
        <v>0.57291666666666663</v>
      </c>
      <c r="I100" s="10">
        <f t="shared" si="12"/>
        <v>3.125E-2</v>
      </c>
      <c r="J100" s="11">
        <v>4</v>
      </c>
      <c r="K100" s="11">
        <v>80.75</v>
      </c>
      <c r="L100" s="16">
        <f t="shared" si="13"/>
        <v>26.916666666666668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>
        <v>2</v>
      </c>
      <c r="X100" s="11">
        <v>45</v>
      </c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16" t="s">
        <v>1984</v>
      </c>
      <c r="F101" s="8" t="s">
        <v>42</v>
      </c>
      <c r="G101" s="9">
        <v>0.56805555555555554</v>
      </c>
      <c r="H101" s="9">
        <v>0.59930555555555554</v>
      </c>
      <c r="I101" s="10">
        <f>H101-G101</f>
        <v>3.125E-2</v>
      </c>
      <c r="J101" s="11">
        <v>4</v>
      </c>
      <c r="K101" s="11">
        <v>4.25</v>
      </c>
      <c r="L101" s="16">
        <f>IFERROR(((K101/(J101*I101)/24)),"0")</f>
        <v>1.4166666666666667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>
        <v>2</v>
      </c>
      <c r="X101" s="11"/>
      <c r="Y101" s="11"/>
      <c r="Z101" s="11"/>
      <c r="AA101" s="11">
        <v>45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/>
      <c r="F102" s="63"/>
      <c r="G102" s="19"/>
      <c r="H102" s="19"/>
      <c r="I102" s="19"/>
      <c r="J102" s="19"/>
      <c r="K102" s="19"/>
      <c r="L102" s="19"/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 t="s">
        <v>1813</v>
      </c>
      <c r="E103" s="19" t="s">
        <v>1553</v>
      </c>
      <c r="F103" s="8" t="s">
        <v>42</v>
      </c>
      <c r="G103" s="9">
        <v>0.61736111111111114</v>
      </c>
      <c r="H103" s="9">
        <v>0.625</v>
      </c>
      <c r="I103" s="10">
        <f t="shared" si="12"/>
        <v>7.6388888888888618E-3</v>
      </c>
      <c r="J103" s="11">
        <v>4</v>
      </c>
      <c r="K103" s="11">
        <v>84.55</v>
      </c>
      <c r="L103" s="16">
        <f t="shared" si="13"/>
        <v>115.29545454545496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>
        <v>1</v>
      </c>
      <c r="W103" s="12"/>
      <c r="X103" s="11"/>
      <c r="Y103" s="11"/>
      <c r="Z103" s="11"/>
      <c r="AA103" s="11"/>
      <c r="AB103" s="11"/>
      <c r="AC103" s="11"/>
      <c r="AD103" s="11">
        <v>11</v>
      </c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1554</v>
      </c>
      <c r="F104" s="8" t="s">
        <v>42</v>
      </c>
      <c r="G104" s="9">
        <v>0.62847222222222221</v>
      </c>
      <c r="H104" s="9">
        <v>0.63541666666666663</v>
      </c>
      <c r="I104" s="10">
        <f t="shared" si="12"/>
        <v>6.9444444444444198E-3</v>
      </c>
      <c r="J104" s="11">
        <v>4</v>
      </c>
      <c r="K104" s="11">
        <v>85.58</v>
      </c>
      <c r="L104" s="16">
        <f t="shared" si="13"/>
        <v>128.37000000000046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>
        <v>1</v>
      </c>
      <c r="W104" s="12"/>
      <c r="X104" s="11"/>
      <c r="Y104" s="11"/>
      <c r="Z104" s="11"/>
      <c r="AA104" s="11"/>
      <c r="AB104" s="11"/>
      <c r="AC104" s="11"/>
      <c r="AD104" s="11">
        <v>10</v>
      </c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1555</v>
      </c>
      <c r="F105" s="8" t="s">
        <v>42</v>
      </c>
      <c r="G105" s="9">
        <v>0.63958333333333328</v>
      </c>
      <c r="H105" s="9">
        <v>0.64513888888888893</v>
      </c>
      <c r="I105" s="10">
        <f t="shared" ref="I105:I156" si="14">H105-G105</f>
        <v>5.5555555555556468E-3</v>
      </c>
      <c r="J105" s="11">
        <v>4</v>
      </c>
      <c r="K105" s="11">
        <v>84.72</v>
      </c>
      <c r="L105" s="16">
        <f t="shared" ref="L105:L156" si="15">IFERROR(((K105/(J105*I105)/24)),"0")</f>
        <v>158.84999999999738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>
        <v>1</v>
      </c>
      <c r="W105" s="12"/>
      <c r="X105" s="11"/>
      <c r="Y105" s="11"/>
      <c r="Z105" s="11"/>
      <c r="AA105" s="11"/>
      <c r="AB105" s="11"/>
      <c r="AC105" s="11"/>
      <c r="AD105" s="11">
        <v>8</v>
      </c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1556</v>
      </c>
      <c r="F106" s="8" t="s">
        <v>42</v>
      </c>
      <c r="G106" s="9">
        <v>0.65277777777777779</v>
      </c>
      <c r="H106" s="9">
        <v>0.65833333333333333</v>
      </c>
      <c r="I106" s="10">
        <f t="shared" si="14"/>
        <v>5.5555555555555358E-3</v>
      </c>
      <c r="J106" s="11">
        <v>4</v>
      </c>
      <c r="K106" s="11">
        <v>84.57</v>
      </c>
      <c r="L106" s="16">
        <f t="shared" si="15"/>
        <v>158.56875000000056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1</v>
      </c>
      <c r="W106" s="12"/>
      <c r="X106" s="11"/>
      <c r="Y106" s="11"/>
      <c r="Z106" s="11"/>
      <c r="AA106" s="11"/>
      <c r="AB106" s="11"/>
      <c r="AC106" s="11"/>
      <c r="AD106" s="11">
        <v>8</v>
      </c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1557</v>
      </c>
      <c r="F107" s="8" t="s">
        <v>42</v>
      </c>
      <c r="G107" s="9">
        <v>0.66527777777777775</v>
      </c>
      <c r="H107" s="9">
        <v>0.67083333333333328</v>
      </c>
      <c r="I107" s="10">
        <f t="shared" si="14"/>
        <v>5.5555555555555358E-3</v>
      </c>
      <c r="J107" s="11">
        <v>4</v>
      </c>
      <c r="K107" s="11">
        <v>84.46</v>
      </c>
      <c r="L107" s="16">
        <f t="shared" si="15"/>
        <v>158.36250000000055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>
        <v>1</v>
      </c>
      <c r="W107" s="12"/>
      <c r="X107" s="11"/>
      <c r="Y107" s="11"/>
      <c r="Z107" s="11"/>
      <c r="AA107" s="11"/>
      <c r="AB107" s="11"/>
      <c r="AC107" s="11"/>
      <c r="AD107" s="11">
        <v>8</v>
      </c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1558</v>
      </c>
      <c r="F108" s="8" t="s">
        <v>42</v>
      </c>
      <c r="G108" s="9">
        <v>0.67500000000000004</v>
      </c>
      <c r="H108" s="9">
        <v>0.68055555555555558</v>
      </c>
      <c r="I108" s="10">
        <f t="shared" si="14"/>
        <v>5.5555555555555358E-3</v>
      </c>
      <c r="J108" s="11">
        <v>4</v>
      </c>
      <c r="K108" s="11">
        <v>85.58</v>
      </c>
      <c r="L108" s="16">
        <f t="shared" si="15"/>
        <v>160.46250000000057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>
        <v>1</v>
      </c>
      <c r="W108" s="12"/>
      <c r="X108" s="11"/>
      <c r="Y108" s="11"/>
      <c r="Z108" s="11"/>
      <c r="AA108" s="11"/>
      <c r="AB108" s="11"/>
      <c r="AC108" s="11"/>
      <c r="AD108" s="11">
        <v>8</v>
      </c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1559</v>
      </c>
      <c r="F109" s="8" t="s">
        <v>42</v>
      </c>
      <c r="G109" s="9">
        <v>0.68472222222222223</v>
      </c>
      <c r="H109" s="9">
        <v>0.69166666666666665</v>
      </c>
      <c r="I109" s="10">
        <f t="shared" si="14"/>
        <v>6.9444444444444198E-3</v>
      </c>
      <c r="J109" s="11">
        <v>4</v>
      </c>
      <c r="K109" s="11">
        <v>84.19</v>
      </c>
      <c r="L109" s="16">
        <f t="shared" si="15"/>
        <v>126.28500000000044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>
        <v>1</v>
      </c>
      <c r="W109" s="12"/>
      <c r="X109" s="11"/>
      <c r="Y109" s="11"/>
      <c r="Z109" s="11"/>
      <c r="AA109" s="11"/>
      <c r="AB109" s="11"/>
      <c r="AC109" s="11"/>
      <c r="AD109" s="11">
        <v>10</v>
      </c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1560</v>
      </c>
      <c r="F110" s="8" t="s">
        <v>42</v>
      </c>
      <c r="G110" s="9">
        <v>0.68611111111111112</v>
      </c>
      <c r="H110" s="9">
        <v>0.69722222222222219</v>
      </c>
      <c r="I110" s="10">
        <f t="shared" si="14"/>
        <v>1.1111111111111072E-2</v>
      </c>
      <c r="J110" s="11">
        <v>4</v>
      </c>
      <c r="K110" s="11">
        <v>82.74</v>
      </c>
      <c r="L110" s="16">
        <f t="shared" si="15"/>
        <v>77.568750000000264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>
        <v>1</v>
      </c>
      <c r="W110" s="12"/>
      <c r="X110" s="11"/>
      <c r="Y110" s="11"/>
      <c r="Z110" s="11"/>
      <c r="AA110" s="11"/>
      <c r="AB110" s="11">
        <v>16</v>
      </c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1561</v>
      </c>
      <c r="F111" s="8" t="s">
        <v>42</v>
      </c>
      <c r="G111" s="9">
        <v>0.69930555555555551</v>
      </c>
      <c r="H111" s="9">
        <v>0.7055555555555556</v>
      </c>
      <c r="I111" s="10">
        <f t="shared" si="14"/>
        <v>6.2500000000000888E-3</v>
      </c>
      <c r="J111" s="11">
        <v>4</v>
      </c>
      <c r="K111" s="11">
        <v>85.11</v>
      </c>
      <c r="L111" s="16">
        <f t="shared" si="15"/>
        <v>141.84999999999798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>
        <v>1</v>
      </c>
      <c r="W111" s="12"/>
      <c r="X111" s="11"/>
      <c r="Y111" s="11"/>
      <c r="Z111" s="11"/>
      <c r="AA111" s="11"/>
      <c r="AB111" s="11"/>
      <c r="AC111" s="11"/>
      <c r="AD111" s="11">
        <v>9</v>
      </c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1562</v>
      </c>
      <c r="F112" s="8" t="s">
        <v>42</v>
      </c>
      <c r="G112" s="9">
        <v>0.72430555555555554</v>
      </c>
      <c r="H112" s="9">
        <v>0.73333333333333328</v>
      </c>
      <c r="I112" s="10">
        <f t="shared" si="14"/>
        <v>9.0277777777777457E-3</v>
      </c>
      <c r="J112" s="11">
        <v>4</v>
      </c>
      <c r="K112" s="11">
        <v>84.51</v>
      </c>
      <c r="L112" s="16">
        <f t="shared" si="15"/>
        <v>97.511538461538805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>
        <v>1</v>
      </c>
      <c r="W112" s="12"/>
      <c r="X112" s="11"/>
      <c r="Y112" s="11"/>
      <c r="Z112" s="11"/>
      <c r="AA112" s="11"/>
      <c r="AB112" s="11">
        <v>13</v>
      </c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9" t="s">
        <v>1563</v>
      </c>
      <c r="F113" s="8" t="s">
        <v>42</v>
      </c>
      <c r="G113" s="9">
        <v>0.73055555555555551</v>
      </c>
      <c r="H113" s="9">
        <v>0.73611111111111116</v>
      </c>
      <c r="I113" s="10">
        <f t="shared" si="14"/>
        <v>5.5555555555556468E-3</v>
      </c>
      <c r="J113" s="11">
        <v>4</v>
      </c>
      <c r="K113" s="11">
        <v>84.36</v>
      </c>
      <c r="L113" s="16">
        <f t="shared" si="15"/>
        <v>158.1749999999974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>
        <v>1</v>
      </c>
      <c r="W113" s="12"/>
      <c r="X113" s="11"/>
      <c r="Y113" s="11"/>
      <c r="Z113" s="11"/>
      <c r="AA113" s="11"/>
      <c r="AB113" s="11"/>
      <c r="AC113" s="11"/>
      <c r="AD113" s="11">
        <v>8</v>
      </c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 t="s">
        <v>1564</v>
      </c>
      <c r="F114" s="8" t="s">
        <v>42</v>
      </c>
      <c r="G114" s="9">
        <v>0.73750000000000004</v>
      </c>
      <c r="H114" s="9">
        <v>0.74652777777777779</v>
      </c>
      <c r="I114" s="10">
        <f t="shared" si="14"/>
        <v>9.0277777777777457E-3</v>
      </c>
      <c r="J114" s="11">
        <v>4</v>
      </c>
      <c r="K114" s="11">
        <v>84.87</v>
      </c>
      <c r="L114" s="16">
        <f t="shared" si="15"/>
        <v>97.926923076923444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>
        <v>1</v>
      </c>
      <c r="W114" s="12"/>
      <c r="X114" s="11"/>
      <c r="Y114" s="11"/>
      <c r="Z114" s="11"/>
      <c r="AA114" s="11"/>
      <c r="AB114" s="11">
        <v>13</v>
      </c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9" t="s">
        <v>1985</v>
      </c>
      <c r="F115" s="8" t="s">
        <v>42</v>
      </c>
      <c r="G115" s="9">
        <v>0.35416666666666669</v>
      </c>
      <c r="H115" s="9">
        <v>0.38333333333333336</v>
      </c>
      <c r="I115" s="10">
        <f t="shared" si="14"/>
        <v>2.9166666666666674E-2</v>
      </c>
      <c r="J115" s="11">
        <v>4</v>
      </c>
      <c r="K115" s="11">
        <v>80.34</v>
      </c>
      <c r="L115" s="16">
        <f t="shared" si="15"/>
        <v>28.692857142857136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>
        <v>2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>
        <v>10.5</v>
      </c>
      <c r="AH115" s="11">
        <v>10.5</v>
      </c>
      <c r="AI115" s="11">
        <v>10.5</v>
      </c>
      <c r="AJ115" s="11">
        <v>10.5</v>
      </c>
      <c r="AK115" s="11"/>
      <c r="AL115" s="14"/>
    </row>
    <row r="116" spans="2:38" ht="25.05" customHeight="1">
      <c r="B116" s="13"/>
      <c r="C116" s="29"/>
      <c r="D116" s="30"/>
      <c r="E116" s="19" t="s">
        <v>1986</v>
      </c>
      <c r="F116" s="8" t="s">
        <v>42</v>
      </c>
      <c r="G116" s="9">
        <v>0.3840277777777778</v>
      </c>
      <c r="H116" s="9">
        <v>0.41249999999999998</v>
      </c>
      <c r="I116" s="10">
        <f t="shared" si="14"/>
        <v>2.8472222222222177E-2</v>
      </c>
      <c r="J116" s="11">
        <v>4</v>
      </c>
      <c r="K116" s="11">
        <v>79.94</v>
      </c>
      <c r="L116" s="16">
        <f t="shared" si="15"/>
        <v>29.24634146341468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2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>
        <v>10.25</v>
      </c>
      <c r="AH116" s="11">
        <v>10.25</v>
      </c>
      <c r="AI116" s="11">
        <v>10.25</v>
      </c>
      <c r="AJ116" s="11">
        <v>10.25</v>
      </c>
      <c r="AK116" s="11"/>
      <c r="AL116" s="14"/>
    </row>
    <row r="117" spans="2:38" ht="25.05" customHeight="1">
      <c r="B117" s="13"/>
      <c r="C117" s="29"/>
      <c r="D117" s="30"/>
      <c r="E117" s="19" t="s">
        <v>1987</v>
      </c>
      <c r="F117" s="8" t="s">
        <v>42</v>
      </c>
      <c r="G117" s="9">
        <v>0.41319444444444442</v>
      </c>
      <c r="H117" s="9">
        <v>0.43888888888888888</v>
      </c>
      <c r="I117" s="10">
        <f t="shared" si="14"/>
        <v>2.5694444444444464E-2</v>
      </c>
      <c r="J117" s="11">
        <v>4</v>
      </c>
      <c r="K117" s="11">
        <v>79.260000000000005</v>
      </c>
      <c r="L117" s="16">
        <f t="shared" si="15"/>
        <v>32.13243243243241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>
        <v>2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>
        <v>9.25</v>
      </c>
      <c r="AH117" s="11">
        <v>9.25</v>
      </c>
      <c r="AI117" s="11">
        <v>9.25</v>
      </c>
      <c r="AJ117" s="11">
        <v>9.25</v>
      </c>
      <c r="AK117" s="11"/>
      <c r="AL117" s="14"/>
    </row>
    <row r="118" spans="2:38" ht="25.05" customHeight="1">
      <c r="B118" s="13"/>
      <c r="C118" s="29"/>
      <c r="D118" s="30"/>
      <c r="E118" s="19" t="s">
        <v>1988</v>
      </c>
      <c r="F118" s="8" t="s">
        <v>42</v>
      </c>
      <c r="G118" s="9">
        <v>0.57152777777777775</v>
      </c>
      <c r="H118" s="9">
        <v>0.59722222222222221</v>
      </c>
      <c r="I118" s="10">
        <f t="shared" si="14"/>
        <v>2.5694444444444464E-2</v>
      </c>
      <c r="J118" s="11">
        <v>4</v>
      </c>
      <c r="K118" s="11">
        <v>79.319999999999993</v>
      </c>
      <c r="L118" s="16">
        <f t="shared" si="15"/>
        <v>32.156756756756728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>
        <v>2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>
        <v>9.25</v>
      </c>
      <c r="AH118" s="11">
        <v>9.25</v>
      </c>
      <c r="AI118" s="11">
        <v>9.25</v>
      </c>
      <c r="AJ118" s="11">
        <v>9.25</v>
      </c>
      <c r="AK118" s="11"/>
      <c r="AL118" s="14"/>
    </row>
    <row r="119" spans="2:38" ht="25.05" customHeight="1">
      <c r="B119" s="13"/>
      <c r="C119" s="29"/>
      <c r="D119" s="30"/>
      <c r="E119" s="19" t="s">
        <v>166</v>
      </c>
      <c r="F119" s="8" t="s">
        <v>42</v>
      </c>
      <c r="G119" s="9">
        <v>0.4375</v>
      </c>
      <c r="H119" s="9">
        <v>0.4513888888888889</v>
      </c>
      <c r="I119" s="10">
        <f t="shared" si="14"/>
        <v>1.3888888888888895E-2</v>
      </c>
      <c r="J119" s="11">
        <v>4</v>
      </c>
      <c r="K119" s="11">
        <v>151.30000000000001</v>
      </c>
      <c r="L119" s="16">
        <f t="shared" si="15"/>
        <v>113.47499999999997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>
        <v>2</v>
      </c>
      <c r="W119" s="12"/>
      <c r="X119" s="11"/>
      <c r="Y119" s="11"/>
      <c r="Z119" s="11"/>
      <c r="AA119" s="11"/>
      <c r="AB119" s="11"/>
      <c r="AC119" s="11"/>
      <c r="AD119" s="11">
        <v>20</v>
      </c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/>
      <c r="E120" s="19" t="s">
        <v>167</v>
      </c>
      <c r="F120" s="8" t="s">
        <v>42</v>
      </c>
      <c r="G120" s="9">
        <v>0.5805555555555556</v>
      </c>
      <c r="H120" s="9">
        <v>0.59722222222222221</v>
      </c>
      <c r="I120" s="10">
        <f t="shared" si="14"/>
        <v>1.6666666666666607E-2</v>
      </c>
      <c r="J120" s="11">
        <v>4</v>
      </c>
      <c r="K120" s="11">
        <v>149.9</v>
      </c>
      <c r="L120" s="16">
        <f t="shared" si="15"/>
        <v>93.687500000000341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>
        <v>2</v>
      </c>
      <c r="W120" s="12"/>
      <c r="X120" s="11"/>
      <c r="Y120" s="11"/>
      <c r="Z120" s="11"/>
      <c r="AA120" s="11"/>
      <c r="AB120" s="11">
        <v>24</v>
      </c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 t="s">
        <v>168</v>
      </c>
      <c r="F121" s="8" t="s">
        <v>42</v>
      </c>
      <c r="G121" s="9">
        <v>0.60902777777777772</v>
      </c>
      <c r="H121" s="9">
        <v>0.62986111111111109</v>
      </c>
      <c r="I121" s="10">
        <f t="shared" si="14"/>
        <v>2.083333333333337E-2</v>
      </c>
      <c r="J121" s="11">
        <v>4</v>
      </c>
      <c r="K121" s="11">
        <v>151.30000000000001</v>
      </c>
      <c r="L121" s="16">
        <f t="shared" si="15"/>
        <v>75.649999999999878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>
        <v>2</v>
      </c>
      <c r="W121" s="12"/>
      <c r="X121" s="11"/>
      <c r="Y121" s="11"/>
      <c r="Z121" s="11"/>
      <c r="AA121" s="11"/>
      <c r="AB121" s="11">
        <v>30</v>
      </c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30"/>
      <c r="E122" s="19" t="s">
        <v>1835</v>
      </c>
      <c r="F122" s="8" t="s">
        <v>42</v>
      </c>
      <c r="G122" s="9">
        <v>0.36736111111111114</v>
      </c>
      <c r="H122" s="9">
        <v>0.37916666666666665</v>
      </c>
      <c r="I122" s="10">
        <f t="shared" si="14"/>
        <v>1.1805555555555514E-2</v>
      </c>
      <c r="J122" s="11">
        <v>4</v>
      </c>
      <c r="K122" s="11">
        <v>89.37</v>
      </c>
      <c r="L122" s="16">
        <f t="shared" si="15"/>
        <v>78.855882352941464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>
        <v>2</v>
      </c>
      <c r="W122" s="12"/>
      <c r="X122" s="11"/>
      <c r="Y122" s="11"/>
      <c r="Z122" s="11"/>
      <c r="AA122" s="11"/>
      <c r="AB122" s="11"/>
      <c r="AC122" s="11"/>
      <c r="AD122" s="11"/>
      <c r="AE122" s="11">
        <v>17</v>
      </c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/>
      <c r="E123" s="19" t="s">
        <v>1836</v>
      </c>
      <c r="F123" s="8" t="s">
        <v>42</v>
      </c>
      <c r="G123" s="9">
        <v>0.41041666666666665</v>
      </c>
      <c r="H123" s="9">
        <v>0.42152777777777778</v>
      </c>
      <c r="I123" s="10">
        <f t="shared" ref="I123:I139" si="16">H123-G123</f>
        <v>1.1111111111111127E-2</v>
      </c>
      <c r="J123" s="11">
        <v>4</v>
      </c>
      <c r="K123" s="11">
        <v>90</v>
      </c>
      <c r="L123" s="16">
        <f t="shared" ref="L123:L139" si="17">IFERROR(((K123/(J123*I123)/24)),"0")</f>
        <v>84.374999999999872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>
        <v>2</v>
      </c>
      <c r="W123" s="12"/>
      <c r="X123" s="11"/>
      <c r="Y123" s="11"/>
      <c r="Z123" s="11"/>
      <c r="AA123" s="11"/>
      <c r="AB123" s="11"/>
      <c r="AC123" s="11"/>
      <c r="AD123" s="11"/>
      <c r="AE123" s="11">
        <v>16</v>
      </c>
      <c r="AF123" s="11"/>
      <c r="AG123" s="11"/>
      <c r="AH123" s="11"/>
      <c r="AI123" s="11"/>
      <c r="AJ123" s="11"/>
      <c r="AK123" s="11"/>
      <c r="AL123" s="14"/>
    </row>
    <row r="124" spans="2:38" ht="25.05" customHeight="1">
      <c r="B124" s="13"/>
      <c r="C124" s="29"/>
      <c r="D124" s="30"/>
      <c r="E124" s="19" t="s">
        <v>1989</v>
      </c>
      <c r="F124" s="8" t="s">
        <v>42</v>
      </c>
      <c r="G124" s="9">
        <v>0.64097222222222228</v>
      </c>
      <c r="H124" s="9">
        <v>0.65416666666666667</v>
      </c>
      <c r="I124" s="10">
        <f t="shared" si="16"/>
        <v>1.3194444444444398E-2</v>
      </c>
      <c r="J124" s="11">
        <v>4</v>
      </c>
      <c r="K124" s="11">
        <v>43.51</v>
      </c>
      <c r="L124" s="16">
        <f t="shared" si="17"/>
        <v>34.350000000000122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>
        <v>2</v>
      </c>
      <c r="W124" s="12"/>
      <c r="X124" s="11"/>
      <c r="Y124" s="11"/>
      <c r="Z124" s="11"/>
      <c r="AA124" s="11"/>
      <c r="AB124" s="11">
        <v>19</v>
      </c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/>
      <c r="E125" s="19" t="s">
        <v>1825</v>
      </c>
      <c r="F125" s="8" t="s">
        <v>42</v>
      </c>
      <c r="G125" s="9">
        <v>0.66041666666666665</v>
      </c>
      <c r="H125" s="9">
        <v>0.66736111111111107</v>
      </c>
      <c r="I125" s="10">
        <f t="shared" si="16"/>
        <v>6.9444444444444198E-3</v>
      </c>
      <c r="J125" s="11">
        <v>4</v>
      </c>
      <c r="K125" s="11">
        <v>52.7</v>
      </c>
      <c r="L125" s="16">
        <f t="shared" si="17"/>
        <v>79.050000000000281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>
        <v>2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19" t="s">
        <v>1826</v>
      </c>
      <c r="F126" s="8" t="s">
        <v>42</v>
      </c>
      <c r="G126" s="9">
        <v>0.66111111111111109</v>
      </c>
      <c r="H126" s="9">
        <v>0.66874999999999996</v>
      </c>
      <c r="I126" s="10">
        <f t="shared" si="16"/>
        <v>7.6388888888888618E-3</v>
      </c>
      <c r="J126" s="11">
        <v>4</v>
      </c>
      <c r="K126" s="11">
        <v>52.74</v>
      </c>
      <c r="L126" s="16">
        <f t="shared" si="17"/>
        <v>71.918181818182077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>
        <v>2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0"/>
      <c r="E127" s="19" t="s">
        <v>1827</v>
      </c>
      <c r="F127" s="8" t="s">
        <v>42</v>
      </c>
      <c r="G127" s="9">
        <v>0.67013888888888884</v>
      </c>
      <c r="H127" s="9">
        <v>0.67708333333333337</v>
      </c>
      <c r="I127" s="10">
        <f t="shared" si="16"/>
        <v>6.9444444444445308E-3</v>
      </c>
      <c r="J127" s="11">
        <v>4</v>
      </c>
      <c r="K127" s="11">
        <v>52.21</v>
      </c>
      <c r="L127" s="16">
        <f t="shared" si="17"/>
        <v>78.314999999999031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/>
      <c r="W127" s="12">
        <v>2</v>
      </c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0"/>
      <c r="E128" s="19" t="s">
        <v>1828</v>
      </c>
      <c r="F128" s="8" t="s">
        <v>42</v>
      </c>
      <c r="G128" s="9">
        <v>0.67708333333333337</v>
      </c>
      <c r="H128" s="9">
        <v>0.68263888888888891</v>
      </c>
      <c r="I128" s="10">
        <f t="shared" ref="I128:I135" si="18">H128-G128</f>
        <v>5.5555555555555358E-3</v>
      </c>
      <c r="J128" s="11">
        <v>4</v>
      </c>
      <c r="K128" s="11">
        <v>52.23</v>
      </c>
      <c r="L128" s="16">
        <f t="shared" ref="L128:L135" si="19">IFERROR(((K128/(J128*I128)/24)),"0")</f>
        <v>97.931250000000333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/>
      <c r="W128" s="12">
        <v>2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4"/>
    </row>
    <row r="129" spans="2:38" ht="25.05" customHeight="1">
      <c r="B129" s="13"/>
      <c r="C129" s="29"/>
      <c r="D129" s="30"/>
      <c r="E129" s="19" t="s">
        <v>1829</v>
      </c>
      <c r="F129" s="8" t="s">
        <v>42</v>
      </c>
      <c r="G129" s="9">
        <v>0.68541666666666667</v>
      </c>
      <c r="H129" s="9">
        <v>0.69236111111111109</v>
      </c>
      <c r="I129" s="10">
        <f t="shared" si="18"/>
        <v>6.9444444444444198E-3</v>
      </c>
      <c r="J129" s="11">
        <v>4</v>
      </c>
      <c r="K129" s="11">
        <v>52.57</v>
      </c>
      <c r="L129" s="16">
        <f t="shared" si="19"/>
        <v>78.855000000000288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/>
      <c r="W129" s="12">
        <v>2</v>
      </c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4"/>
    </row>
    <row r="130" spans="2:38" ht="25.05" customHeight="1">
      <c r="B130" s="13"/>
      <c r="C130" s="29"/>
      <c r="D130" s="30"/>
      <c r="E130" s="19" t="s">
        <v>1830</v>
      </c>
      <c r="F130" s="8" t="s">
        <v>42</v>
      </c>
      <c r="G130" s="9">
        <v>0.69305555555555554</v>
      </c>
      <c r="H130" s="9">
        <v>0.7</v>
      </c>
      <c r="I130" s="10">
        <f t="shared" si="18"/>
        <v>6.9444444444444198E-3</v>
      </c>
      <c r="J130" s="11">
        <v>4</v>
      </c>
      <c r="K130" s="11">
        <v>52.55</v>
      </c>
      <c r="L130" s="16">
        <f t="shared" si="19"/>
        <v>78.825000000000273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/>
      <c r="W130" s="12">
        <v>2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4"/>
    </row>
    <row r="131" spans="2:38" ht="25.05" customHeight="1">
      <c r="B131" s="13"/>
      <c r="C131" s="29"/>
      <c r="D131" s="30"/>
      <c r="E131" s="19" t="s">
        <v>1990</v>
      </c>
      <c r="F131" s="8" t="s">
        <v>42</v>
      </c>
      <c r="G131" s="9">
        <v>0.34791666666666665</v>
      </c>
      <c r="H131" s="9">
        <v>0.37013888888888891</v>
      </c>
      <c r="I131" s="10">
        <f>H131-G131</f>
        <v>2.2222222222222254E-2</v>
      </c>
      <c r="J131" s="11">
        <v>4</v>
      </c>
      <c r="K131" s="11">
        <v>96</v>
      </c>
      <c r="L131" s="16">
        <f>IFERROR(((K131/(J131*I131)/24)),"0")</f>
        <v>44.999999999999936</v>
      </c>
      <c r="M131" s="11"/>
      <c r="N131" s="11"/>
      <c r="O131" s="11"/>
      <c r="P131" s="11"/>
      <c r="Q131" s="11"/>
      <c r="R131" s="12"/>
      <c r="S131" s="12"/>
      <c r="T131" s="11"/>
      <c r="U131" s="11"/>
      <c r="V131" s="12"/>
      <c r="W131" s="12">
        <v>3</v>
      </c>
      <c r="X131" s="11"/>
      <c r="Y131" s="11"/>
      <c r="Z131" s="11">
        <v>32</v>
      </c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spans="2:38" ht="25.05" customHeight="1">
      <c r="B132" s="13"/>
      <c r="C132" s="29"/>
      <c r="D132" s="30"/>
      <c r="E132" s="19" t="s">
        <v>1991</v>
      </c>
      <c r="F132" s="8" t="s">
        <v>42</v>
      </c>
      <c r="G132" s="9">
        <v>0.37569444444444444</v>
      </c>
      <c r="H132" s="9">
        <v>0.39166666666666666</v>
      </c>
      <c r="I132" s="10">
        <f t="shared" si="18"/>
        <v>1.5972222222222221E-2</v>
      </c>
      <c r="J132" s="11">
        <v>4</v>
      </c>
      <c r="K132" s="11">
        <v>96</v>
      </c>
      <c r="L132" s="16">
        <f t="shared" si="19"/>
        <v>62.608695652173914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/>
      <c r="W132" s="12">
        <v>3</v>
      </c>
      <c r="X132" s="11"/>
      <c r="Y132" s="11"/>
      <c r="Z132" s="11">
        <v>23</v>
      </c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spans="2:38" ht="25.05" customHeight="1">
      <c r="B133" s="13"/>
      <c r="C133" s="29"/>
      <c r="D133" s="30"/>
      <c r="E133" s="19" t="s">
        <v>1992</v>
      </c>
      <c r="F133" s="8" t="s">
        <v>42</v>
      </c>
      <c r="G133" s="9">
        <v>0.40069444444444446</v>
      </c>
      <c r="H133" s="9">
        <v>0.41736111111111113</v>
      </c>
      <c r="I133" s="10">
        <f t="shared" si="18"/>
        <v>1.6666666666666663E-2</v>
      </c>
      <c r="J133" s="11">
        <v>4</v>
      </c>
      <c r="K133" s="11">
        <v>96</v>
      </c>
      <c r="L133" s="16">
        <f t="shared" si="19"/>
        <v>60.000000000000007</v>
      </c>
      <c r="M133" s="11"/>
      <c r="N133" s="11"/>
      <c r="O133" s="11"/>
      <c r="P133" s="11"/>
      <c r="Q133" s="11"/>
      <c r="R133" s="12"/>
      <c r="S133" s="12"/>
      <c r="T133" s="11"/>
      <c r="U133" s="11"/>
      <c r="V133" s="12"/>
      <c r="W133" s="12">
        <v>3</v>
      </c>
      <c r="X133" s="11"/>
      <c r="Y133" s="11"/>
      <c r="Z133" s="11">
        <v>24</v>
      </c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4"/>
    </row>
    <row r="134" spans="2:38" ht="25.05" customHeight="1">
      <c r="B134" s="13"/>
      <c r="C134" s="29"/>
      <c r="D134" s="30"/>
      <c r="E134" s="19" t="s">
        <v>1993</v>
      </c>
      <c r="F134" s="8" t="s">
        <v>42</v>
      </c>
      <c r="G134" s="9">
        <v>0.41875000000000001</v>
      </c>
      <c r="H134" s="9">
        <v>0.44861111111111113</v>
      </c>
      <c r="I134" s="10">
        <f t="shared" si="18"/>
        <v>2.9861111111111116E-2</v>
      </c>
      <c r="J134" s="11">
        <v>4</v>
      </c>
      <c r="K134" s="11">
        <v>96</v>
      </c>
      <c r="L134" s="16">
        <f t="shared" si="19"/>
        <v>33.488372093023251</v>
      </c>
      <c r="M134" s="11"/>
      <c r="N134" s="11"/>
      <c r="O134" s="11"/>
      <c r="P134" s="11"/>
      <c r="Q134" s="11"/>
      <c r="R134" s="12"/>
      <c r="S134" s="12"/>
      <c r="T134" s="11"/>
      <c r="U134" s="11"/>
      <c r="V134" s="12"/>
      <c r="W134" s="12">
        <v>3</v>
      </c>
      <c r="X134" s="11"/>
      <c r="Y134" s="11"/>
      <c r="Z134" s="11">
        <v>43</v>
      </c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spans="2:38" ht="25.05" customHeight="1">
      <c r="B135" s="13"/>
      <c r="C135" s="29"/>
      <c r="D135" s="30"/>
      <c r="E135" s="19" t="s">
        <v>1994</v>
      </c>
      <c r="F135" s="8" t="s">
        <v>42</v>
      </c>
      <c r="G135" s="9">
        <v>0.45694444444444443</v>
      </c>
      <c r="H135" s="9">
        <v>0.47361111111111109</v>
      </c>
      <c r="I135" s="10">
        <f t="shared" si="18"/>
        <v>1.6666666666666663E-2</v>
      </c>
      <c r="J135" s="11">
        <v>4</v>
      </c>
      <c r="K135" s="11">
        <v>96</v>
      </c>
      <c r="L135" s="16">
        <f t="shared" si="19"/>
        <v>60.000000000000007</v>
      </c>
      <c r="M135" s="11"/>
      <c r="N135" s="11"/>
      <c r="O135" s="11"/>
      <c r="P135" s="11"/>
      <c r="Q135" s="11"/>
      <c r="R135" s="12"/>
      <c r="S135" s="12"/>
      <c r="T135" s="11"/>
      <c r="U135" s="11"/>
      <c r="V135" s="12"/>
      <c r="W135" s="12">
        <v>3</v>
      </c>
      <c r="X135" s="11"/>
      <c r="Y135" s="11"/>
      <c r="Z135" s="11">
        <v>24</v>
      </c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4"/>
    </row>
    <row r="136" spans="2:38" ht="25.05" customHeight="1">
      <c r="B136" s="13"/>
      <c r="C136" s="29"/>
      <c r="D136" s="30"/>
      <c r="E136" s="19" t="s">
        <v>1995</v>
      </c>
      <c r="F136" s="8" t="s">
        <v>42</v>
      </c>
      <c r="G136" s="9">
        <v>0.47430555555555554</v>
      </c>
      <c r="H136" s="9">
        <v>0.49305555555555558</v>
      </c>
      <c r="I136" s="10">
        <f t="shared" si="16"/>
        <v>1.8750000000000044E-2</v>
      </c>
      <c r="J136" s="11">
        <v>4</v>
      </c>
      <c r="K136" s="11">
        <v>96</v>
      </c>
      <c r="L136" s="16">
        <f t="shared" si="17"/>
        <v>53.333333333333208</v>
      </c>
      <c r="M136" s="11"/>
      <c r="N136" s="11"/>
      <c r="O136" s="11"/>
      <c r="P136" s="11"/>
      <c r="Q136" s="11"/>
      <c r="R136" s="12"/>
      <c r="S136" s="12"/>
      <c r="T136" s="11"/>
      <c r="U136" s="11"/>
      <c r="V136" s="12"/>
      <c r="W136" s="12">
        <v>3</v>
      </c>
      <c r="X136" s="11"/>
      <c r="Y136" s="11"/>
      <c r="Z136" s="11">
        <v>27</v>
      </c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4"/>
    </row>
    <row r="137" spans="2:38" ht="25.05" customHeight="1">
      <c r="B137" s="13"/>
      <c r="C137" s="29"/>
      <c r="D137" s="30"/>
      <c r="E137" s="19" t="s">
        <v>1996</v>
      </c>
      <c r="F137" s="8" t="s">
        <v>42</v>
      </c>
      <c r="G137" s="9">
        <v>0.56041666666666667</v>
      </c>
      <c r="H137" s="9">
        <v>0.58611111111111114</v>
      </c>
      <c r="I137" s="10">
        <f t="shared" si="16"/>
        <v>2.5694444444444464E-2</v>
      </c>
      <c r="J137" s="11">
        <v>4</v>
      </c>
      <c r="K137" s="11">
        <v>96</v>
      </c>
      <c r="L137" s="16">
        <f t="shared" si="17"/>
        <v>38.918918918918891</v>
      </c>
      <c r="M137" s="11"/>
      <c r="N137" s="11"/>
      <c r="O137" s="11"/>
      <c r="P137" s="11"/>
      <c r="Q137" s="11"/>
      <c r="R137" s="12"/>
      <c r="S137" s="12"/>
      <c r="T137" s="11"/>
      <c r="U137" s="11"/>
      <c r="V137" s="12"/>
      <c r="W137" s="12">
        <v>3</v>
      </c>
      <c r="X137" s="11"/>
      <c r="Y137" s="11"/>
      <c r="Z137" s="11">
        <v>37</v>
      </c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4"/>
    </row>
    <row r="138" spans="2:38" ht="25.05" customHeight="1">
      <c r="B138" s="13"/>
      <c r="C138" s="29"/>
      <c r="D138" s="30"/>
      <c r="E138" s="19" t="s">
        <v>1997</v>
      </c>
      <c r="F138" s="8" t="s">
        <v>42</v>
      </c>
      <c r="G138" s="9">
        <v>0.58750000000000002</v>
      </c>
      <c r="H138" s="9">
        <v>0.60416666666666663</v>
      </c>
      <c r="I138" s="10">
        <f t="shared" si="16"/>
        <v>1.6666666666666607E-2</v>
      </c>
      <c r="J138" s="11">
        <v>4</v>
      </c>
      <c r="K138" s="11">
        <v>96</v>
      </c>
      <c r="L138" s="16">
        <f t="shared" si="17"/>
        <v>60.00000000000022</v>
      </c>
      <c r="M138" s="11"/>
      <c r="N138" s="11"/>
      <c r="O138" s="11"/>
      <c r="P138" s="11"/>
      <c r="Q138" s="11"/>
      <c r="R138" s="12"/>
      <c r="S138" s="12"/>
      <c r="T138" s="11"/>
      <c r="U138" s="11"/>
      <c r="V138" s="12"/>
      <c r="W138" s="12">
        <v>3</v>
      </c>
      <c r="X138" s="11"/>
      <c r="Y138" s="11"/>
      <c r="Z138" s="11">
        <v>24</v>
      </c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4"/>
    </row>
    <row r="139" spans="2:38" ht="25.05" customHeight="1">
      <c r="B139" s="13"/>
      <c r="C139" s="29"/>
      <c r="D139" s="30"/>
      <c r="E139" s="19" t="s">
        <v>1998</v>
      </c>
      <c r="F139" s="8" t="s">
        <v>42</v>
      </c>
      <c r="G139" s="9">
        <v>0.60486111111111107</v>
      </c>
      <c r="H139" s="9">
        <v>0.61736111111111114</v>
      </c>
      <c r="I139" s="10">
        <f t="shared" si="16"/>
        <v>1.2500000000000067E-2</v>
      </c>
      <c r="J139" s="11">
        <v>4</v>
      </c>
      <c r="K139" s="11">
        <v>96</v>
      </c>
      <c r="L139" s="16">
        <f t="shared" si="17"/>
        <v>79.999999999999574</v>
      </c>
      <c r="M139" s="11"/>
      <c r="N139" s="11"/>
      <c r="O139" s="11"/>
      <c r="P139" s="11"/>
      <c r="Q139" s="11"/>
      <c r="R139" s="12"/>
      <c r="S139" s="12"/>
      <c r="T139" s="11"/>
      <c r="U139" s="11"/>
      <c r="V139" s="12"/>
      <c r="W139" s="12">
        <v>3</v>
      </c>
      <c r="X139" s="11"/>
      <c r="Y139" s="11"/>
      <c r="Z139" s="11">
        <v>18</v>
      </c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4"/>
    </row>
    <row r="140" spans="2:38" ht="25.05" customHeight="1">
      <c r="B140" s="13"/>
      <c r="C140" s="29"/>
      <c r="D140" s="30"/>
      <c r="E140" s="19" t="s">
        <v>1999</v>
      </c>
      <c r="F140" s="8" t="s">
        <v>42</v>
      </c>
      <c r="G140" s="9">
        <v>0.62222222222222223</v>
      </c>
      <c r="H140" s="9">
        <v>0.64930555555555558</v>
      </c>
      <c r="I140" s="10">
        <f t="shared" si="14"/>
        <v>2.7083333333333348E-2</v>
      </c>
      <c r="J140" s="11">
        <v>4</v>
      </c>
      <c r="K140" s="11">
        <v>94.68</v>
      </c>
      <c r="L140" s="16">
        <f t="shared" si="15"/>
        <v>36.415384615384596</v>
      </c>
      <c r="M140" s="11"/>
      <c r="N140" s="11"/>
      <c r="O140" s="11"/>
      <c r="P140" s="11"/>
      <c r="Q140" s="11"/>
      <c r="R140" s="12"/>
      <c r="S140" s="12"/>
      <c r="T140" s="11"/>
      <c r="U140" s="11"/>
      <c r="V140" s="12"/>
      <c r="W140" s="12">
        <v>3</v>
      </c>
      <c r="X140" s="11"/>
      <c r="Y140" s="11"/>
      <c r="Z140" s="11">
        <v>39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4"/>
    </row>
    <row r="141" spans="2:38" ht="25.05" customHeight="1">
      <c r="B141" s="13"/>
      <c r="C141" s="29"/>
      <c r="D141" s="30"/>
      <c r="E141" s="19"/>
      <c r="F141" s="63"/>
      <c r="G141" s="19"/>
      <c r="H141" s="19"/>
      <c r="I141" s="19"/>
      <c r="J141" s="19"/>
      <c r="K141" s="19"/>
      <c r="L141" s="19"/>
      <c r="M141" s="11"/>
      <c r="N141" s="11"/>
      <c r="O141" s="11"/>
      <c r="P141" s="11"/>
      <c r="Q141" s="11"/>
      <c r="R141" s="12"/>
      <c r="S141" s="12"/>
      <c r="T141" s="11"/>
      <c r="U141" s="11"/>
      <c r="V141" s="12"/>
      <c r="W141" s="12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4"/>
    </row>
    <row r="142" spans="2:38" ht="25.05" customHeight="1">
      <c r="B142" s="13"/>
      <c r="C142" s="29"/>
      <c r="D142" s="17" t="s">
        <v>2000</v>
      </c>
      <c r="E142" s="120" t="s">
        <v>2001</v>
      </c>
      <c r="F142" s="8" t="s">
        <v>42</v>
      </c>
      <c r="G142" s="9">
        <v>0.59513888888888888</v>
      </c>
      <c r="H142" s="9">
        <v>0.60624999999999996</v>
      </c>
      <c r="I142" s="10">
        <f t="shared" ref="I142:I148" si="20">H142-G142</f>
        <v>1.1111111111111072E-2</v>
      </c>
      <c r="J142" s="11">
        <v>4</v>
      </c>
      <c r="K142" s="11">
        <v>71.64</v>
      </c>
      <c r="L142" s="16">
        <f t="shared" ref="L142:L148" si="21">IFERROR(((K142/(J142*I142)/24)),"0")</f>
        <v>67.162500000000236</v>
      </c>
      <c r="M142" s="11"/>
      <c r="N142" s="11"/>
      <c r="O142" s="11"/>
      <c r="P142" s="11"/>
      <c r="Q142" s="11"/>
      <c r="R142" s="12"/>
      <c r="S142" s="12"/>
      <c r="T142" s="11"/>
      <c r="U142" s="11"/>
      <c r="V142" s="12"/>
      <c r="W142" s="12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4"/>
    </row>
    <row r="143" spans="2:38" ht="25.05" customHeight="1">
      <c r="B143" s="13"/>
      <c r="C143" s="29"/>
      <c r="D143" s="30"/>
      <c r="E143" s="19" t="s">
        <v>2002</v>
      </c>
      <c r="F143" s="8" t="s">
        <v>42</v>
      </c>
      <c r="G143" s="9">
        <v>0.50972222222222219</v>
      </c>
      <c r="H143" s="9">
        <v>0.5180555555555556</v>
      </c>
      <c r="I143" s="10">
        <f t="shared" si="20"/>
        <v>8.3333333333334147E-3</v>
      </c>
      <c r="J143" s="11">
        <v>4</v>
      </c>
      <c r="K143" s="11">
        <v>12.48</v>
      </c>
      <c r="L143" s="16">
        <f t="shared" si="21"/>
        <v>15.599999999999847</v>
      </c>
      <c r="M143" s="11"/>
      <c r="N143" s="11"/>
      <c r="O143" s="11"/>
      <c r="P143" s="11"/>
      <c r="Q143" s="11"/>
      <c r="R143" s="12"/>
      <c r="S143" s="12"/>
      <c r="T143" s="11"/>
      <c r="U143" s="11"/>
      <c r="V143" s="12"/>
      <c r="W143" s="12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4"/>
    </row>
    <row r="144" spans="2:38" ht="25.05" customHeight="1">
      <c r="B144" s="13"/>
      <c r="C144" s="29"/>
      <c r="D144" s="30"/>
      <c r="E144" s="19" t="s">
        <v>2003</v>
      </c>
      <c r="F144" s="8" t="s">
        <v>42</v>
      </c>
      <c r="G144" s="9">
        <v>0.56805555555555554</v>
      </c>
      <c r="H144" s="9">
        <v>0.59930555555555554</v>
      </c>
      <c r="I144" s="10">
        <f t="shared" si="20"/>
        <v>3.125E-2</v>
      </c>
      <c r="J144" s="11">
        <v>4</v>
      </c>
      <c r="K144" s="62" t="s">
        <v>42</v>
      </c>
      <c r="L144" s="16" t="str">
        <f t="shared" si="21"/>
        <v>0</v>
      </c>
      <c r="M144" s="11"/>
      <c r="N144" s="11"/>
      <c r="O144" s="11"/>
      <c r="P144" s="11"/>
      <c r="Q144" s="11"/>
      <c r="R144" s="12"/>
      <c r="S144" s="12"/>
      <c r="T144" s="11"/>
      <c r="U144" s="11"/>
      <c r="V144" s="12"/>
      <c r="W144" s="12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4"/>
    </row>
    <row r="145" spans="1:38" ht="25.05" customHeight="1">
      <c r="B145" s="13"/>
      <c r="C145" s="29"/>
      <c r="D145" s="30"/>
      <c r="E145" s="19" t="s">
        <v>2004</v>
      </c>
      <c r="F145" s="8" t="s">
        <v>42</v>
      </c>
      <c r="G145" s="9">
        <v>0.63402777777777775</v>
      </c>
      <c r="H145" s="9">
        <v>0.63402777777777775</v>
      </c>
      <c r="I145" s="10">
        <f t="shared" si="20"/>
        <v>0</v>
      </c>
      <c r="J145" s="11">
        <v>4</v>
      </c>
      <c r="K145" s="11">
        <v>4.24</v>
      </c>
      <c r="L145" s="16" t="str">
        <f t="shared" si="21"/>
        <v>0</v>
      </c>
      <c r="M145" s="11"/>
      <c r="N145" s="11"/>
      <c r="O145" s="11"/>
      <c r="P145" s="11"/>
      <c r="Q145" s="11"/>
      <c r="R145" s="12"/>
      <c r="S145" s="12"/>
      <c r="T145" s="11"/>
      <c r="U145" s="11"/>
      <c r="V145" s="12"/>
      <c r="W145" s="12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4"/>
    </row>
    <row r="146" spans="1:38" ht="25.05" customHeight="1">
      <c r="B146" s="13"/>
      <c r="C146" s="29"/>
      <c r="D146" s="30"/>
      <c r="E146" s="120" t="s">
        <v>1018</v>
      </c>
      <c r="F146" s="8" t="s">
        <v>42</v>
      </c>
      <c r="G146" s="9">
        <v>0.63402777777777775</v>
      </c>
      <c r="H146" s="9">
        <v>0.63402777777777775</v>
      </c>
      <c r="I146" s="10">
        <f t="shared" si="20"/>
        <v>0</v>
      </c>
      <c r="J146" s="11">
        <v>4</v>
      </c>
      <c r="K146" s="11">
        <v>3.36</v>
      </c>
      <c r="L146" s="16" t="str">
        <f t="shared" si="21"/>
        <v>0</v>
      </c>
      <c r="M146" s="11"/>
      <c r="N146" s="11"/>
      <c r="O146" s="11"/>
      <c r="P146" s="11"/>
      <c r="Q146" s="11"/>
      <c r="R146" s="12"/>
      <c r="S146" s="12"/>
      <c r="T146" s="11"/>
      <c r="U146" s="11"/>
      <c r="V146" s="12"/>
      <c r="W146" s="12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4"/>
    </row>
    <row r="147" spans="1:38" ht="25.05" customHeight="1">
      <c r="B147" s="13"/>
      <c r="C147" s="29"/>
      <c r="D147" s="30"/>
      <c r="E147" s="19" t="s">
        <v>2005</v>
      </c>
      <c r="F147" s="8" t="s">
        <v>42</v>
      </c>
      <c r="G147" s="9">
        <v>0.63402777777777775</v>
      </c>
      <c r="H147" s="9">
        <v>0.63402777777777775</v>
      </c>
      <c r="I147" s="10">
        <f t="shared" si="20"/>
        <v>0</v>
      </c>
      <c r="J147" s="11">
        <v>4</v>
      </c>
      <c r="K147" s="11">
        <v>5.12</v>
      </c>
      <c r="L147" s="16" t="str">
        <f t="shared" si="21"/>
        <v>0</v>
      </c>
      <c r="M147" s="11"/>
      <c r="N147" s="11"/>
      <c r="O147" s="11"/>
      <c r="P147" s="11"/>
      <c r="Q147" s="11"/>
      <c r="R147" s="12"/>
      <c r="S147" s="12"/>
      <c r="T147" s="11"/>
      <c r="U147" s="11"/>
      <c r="V147" s="12"/>
      <c r="W147" s="12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4"/>
    </row>
    <row r="148" spans="1:38" ht="25.05" customHeight="1">
      <c r="B148" s="13"/>
      <c r="C148" s="29"/>
      <c r="D148" s="30"/>
      <c r="E148" s="119" t="s">
        <v>2006</v>
      </c>
      <c r="F148" s="8" t="s">
        <v>42</v>
      </c>
      <c r="G148" s="9">
        <v>0.63402777777777775</v>
      </c>
      <c r="H148" s="9">
        <v>0.63402777777777775</v>
      </c>
      <c r="I148" s="10">
        <f t="shared" si="20"/>
        <v>0</v>
      </c>
      <c r="J148" s="11">
        <v>4</v>
      </c>
      <c r="K148" s="11">
        <v>8.57</v>
      </c>
      <c r="L148" s="16" t="str">
        <f t="shared" si="21"/>
        <v>0</v>
      </c>
      <c r="M148" s="11"/>
      <c r="N148" s="11"/>
      <c r="O148" s="11"/>
      <c r="P148" s="11"/>
      <c r="Q148" s="11"/>
      <c r="R148" s="12"/>
      <c r="S148" s="12"/>
      <c r="T148" s="11"/>
      <c r="U148" s="11"/>
      <c r="V148" s="12"/>
      <c r="W148" s="12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4"/>
    </row>
    <row r="149" spans="1:38" ht="25.05" customHeight="1">
      <c r="B149" s="13"/>
      <c r="C149" s="29"/>
      <c r="D149" s="30"/>
      <c r="E149" s="30"/>
      <c r="F149" s="133"/>
      <c r="G149" s="30"/>
      <c r="H149" s="30"/>
      <c r="I149" s="30"/>
      <c r="J149" s="30"/>
      <c r="K149" s="30"/>
      <c r="L149" s="30"/>
      <c r="M149" s="11"/>
      <c r="N149" s="11"/>
      <c r="O149" s="11"/>
      <c r="P149" s="11"/>
      <c r="Q149" s="11"/>
      <c r="R149" s="12"/>
      <c r="S149" s="12"/>
      <c r="T149" s="11"/>
      <c r="U149" s="11"/>
      <c r="V149" s="12"/>
      <c r="W149" s="12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4"/>
    </row>
    <row r="150" spans="1:38" ht="25.05" customHeight="1">
      <c r="B150" s="13"/>
      <c r="C150" s="29"/>
      <c r="D150" s="17" t="s">
        <v>2007</v>
      </c>
      <c r="E150" s="19" t="s">
        <v>2008</v>
      </c>
      <c r="F150" s="8" t="s">
        <v>42</v>
      </c>
      <c r="G150" s="9">
        <v>0.61458333333333337</v>
      </c>
      <c r="H150" s="9">
        <v>0.61805555555555558</v>
      </c>
      <c r="I150" s="10">
        <f>H150-G150</f>
        <v>3.4722222222222099E-3</v>
      </c>
      <c r="J150" s="11">
        <v>4</v>
      </c>
      <c r="K150" s="11">
        <v>26.36</v>
      </c>
      <c r="L150" s="16">
        <f>IFERROR(((K150/(J150*I150)/24)),"0")</f>
        <v>79.080000000000283</v>
      </c>
      <c r="M150" s="11"/>
      <c r="N150" s="11"/>
      <c r="O150" s="11"/>
      <c r="P150" s="11"/>
      <c r="Q150" s="11"/>
      <c r="R150" s="12"/>
      <c r="S150" s="12"/>
      <c r="T150" s="11"/>
      <c r="U150" s="11"/>
      <c r="V150" s="12"/>
      <c r="W150" s="12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4"/>
    </row>
    <row r="151" spans="1:38" ht="25.05" customHeight="1">
      <c r="B151" s="13"/>
      <c r="C151" s="29"/>
      <c r="D151" s="30"/>
      <c r="E151" s="19" t="s">
        <v>2009</v>
      </c>
      <c r="F151" s="8" t="s">
        <v>42</v>
      </c>
      <c r="G151" s="9">
        <v>0.56805555555555554</v>
      </c>
      <c r="H151" s="9">
        <v>0.59930555555555554</v>
      </c>
      <c r="I151" s="10">
        <f>H151-G151</f>
        <v>3.125E-2</v>
      </c>
      <c r="J151" s="11">
        <v>4</v>
      </c>
      <c r="K151" s="62" t="s">
        <v>42</v>
      </c>
      <c r="L151" s="16" t="str">
        <f>IFERROR(((K151/(J151*I151)/24)),"0")</f>
        <v>0</v>
      </c>
      <c r="M151" s="11"/>
      <c r="N151" s="11"/>
      <c r="O151" s="11"/>
      <c r="P151" s="11"/>
      <c r="Q151" s="11"/>
      <c r="R151" s="12"/>
      <c r="S151" s="12"/>
      <c r="T151" s="11"/>
      <c r="U151" s="11"/>
      <c r="V151" s="12"/>
      <c r="W151" s="12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4"/>
    </row>
    <row r="152" spans="1:38" ht="25.05" customHeight="1">
      <c r="B152" s="13"/>
      <c r="C152" s="29"/>
      <c r="D152" s="30"/>
      <c r="E152" s="19" t="s">
        <v>2010</v>
      </c>
      <c r="F152" s="8" t="s">
        <v>42</v>
      </c>
      <c r="G152" s="9">
        <v>0.61458333333333337</v>
      </c>
      <c r="H152" s="9">
        <v>0.61805555555555558</v>
      </c>
      <c r="I152" s="10">
        <f>H152-G152</f>
        <v>3.4722222222222099E-3</v>
      </c>
      <c r="J152" s="11">
        <v>4</v>
      </c>
      <c r="K152" s="11">
        <v>4.3600000000000003</v>
      </c>
      <c r="L152" s="16">
        <f>IFERROR(((K152/(J152*I152)/24)),"0")</f>
        <v>13.080000000000048</v>
      </c>
      <c r="M152" s="11"/>
      <c r="N152" s="11"/>
      <c r="O152" s="11"/>
      <c r="P152" s="11"/>
      <c r="Q152" s="11"/>
      <c r="R152" s="12"/>
      <c r="S152" s="12"/>
      <c r="T152" s="11"/>
      <c r="U152" s="11"/>
      <c r="V152" s="12"/>
      <c r="W152" s="12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4"/>
    </row>
    <row r="153" spans="1:38" ht="25.05" customHeight="1">
      <c r="B153" s="13"/>
      <c r="C153" s="29"/>
      <c r="D153" s="30"/>
      <c r="E153" s="120" t="s">
        <v>1701</v>
      </c>
      <c r="F153" s="8" t="s">
        <v>42</v>
      </c>
      <c r="G153" s="9">
        <v>0.60555555555555551</v>
      </c>
      <c r="H153" s="9">
        <v>0.60902777777777772</v>
      </c>
      <c r="I153" s="10">
        <f>H153-G153</f>
        <v>3.4722222222222099E-3</v>
      </c>
      <c r="J153" s="11">
        <v>4</v>
      </c>
      <c r="K153" s="11">
        <v>4.4000000000000004</v>
      </c>
      <c r="L153" s="16">
        <f>IFERROR(((K153/(J153*I153)/24)),"0")</f>
        <v>13.200000000000047</v>
      </c>
      <c r="M153" s="11"/>
      <c r="N153" s="11"/>
      <c r="O153" s="11"/>
      <c r="P153" s="11"/>
      <c r="Q153" s="11"/>
      <c r="R153" s="12"/>
      <c r="S153" s="12"/>
      <c r="T153" s="11"/>
      <c r="U153" s="11"/>
      <c r="V153" s="12"/>
      <c r="W153" s="12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4"/>
    </row>
    <row r="154" spans="1:38" ht="25.05" customHeight="1">
      <c r="B154" s="13"/>
      <c r="C154" s="29"/>
      <c r="D154" s="30"/>
      <c r="E154" s="19"/>
      <c r="F154" s="8" t="s">
        <v>42</v>
      </c>
      <c r="G154" s="9"/>
      <c r="H154" s="9"/>
      <c r="I154" s="10">
        <f>H154-G154</f>
        <v>0</v>
      </c>
      <c r="J154" s="11"/>
      <c r="K154" s="11"/>
      <c r="L154" s="16" t="str">
        <f>IFERROR(((K154/(J154*I154)/24)),"0")</f>
        <v>0</v>
      </c>
      <c r="M154" s="11"/>
      <c r="N154" s="11"/>
      <c r="O154" s="11"/>
      <c r="P154" s="11"/>
      <c r="Q154" s="11"/>
      <c r="R154" s="12"/>
      <c r="S154" s="12"/>
      <c r="T154" s="11"/>
      <c r="U154" s="11"/>
      <c r="V154" s="12"/>
      <c r="W154" s="12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4"/>
    </row>
    <row r="155" spans="1:38" ht="25.05" customHeight="1">
      <c r="B155" s="13"/>
      <c r="C155" s="29"/>
      <c r="D155" s="30"/>
      <c r="E155" s="19"/>
      <c r="F155" s="8" t="s">
        <v>42</v>
      </c>
      <c r="G155" s="9"/>
      <c r="H155" s="9"/>
      <c r="I155" s="10">
        <f t="shared" si="14"/>
        <v>0</v>
      </c>
      <c r="J155" s="11"/>
      <c r="K155" s="11"/>
      <c r="L155" s="16" t="str">
        <f t="shared" si="15"/>
        <v>0</v>
      </c>
      <c r="M155" s="11"/>
      <c r="N155" s="11"/>
      <c r="O155" s="11"/>
      <c r="P155" s="11"/>
      <c r="Q155" s="11"/>
      <c r="R155" s="12"/>
      <c r="S155" s="12"/>
      <c r="T155" s="11"/>
      <c r="U155" s="11"/>
      <c r="V155" s="12"/>
      <c r="W155" s="12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4"/>
    </row>
    <row r="156" spans="1:38" ht="25.05" customHeight="1">
      <c r="B156" s="13"/>
      <c r="C156" s="29"/>
      <c r="D156" s="30"/>
      <c r="E156" s="19"/>
      <c r="F156" s="8" t="s">
        <v>42</v>
      </c>
      <c r="G156" s="9"/>
      <c r="H156" s="9"/>
      <c r="I156" s="10">
        <f t="shared" si="14"/>
        <v>0</v>
      </c>
      <c r="J156" s="11"/>
      <c r="K156" s="11"/>
      <c r="L156" s="16" t="str">
        <f t="shared" si="15"/>
        <v>0</v>
      </c>
      <c r="M156" s="11"/>
      <c r="N156" s="11"/>
      <c r="O156" s="11"/>
      <c r="P156" s="11"/>
      <c r="Q156" s="11"/>
      <c r="R156" s="12"/>
      <c r="S156" s="12"/>
      <c r="T156" s="11"/>
      <c r="U156" s="11"/>
      <c r="V156" s="12"/>
      <c r="W156" s="12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4"/>
    </row>
    <row r="157" spans="1:38" s="28" customFormat="1" ht="25.5" customHeight="1" thickBot="1">
      <c r="A157" s="2"/>
      <c r="B157" s="32"/>
      <c r="C157" s="33"/>
      <c r="D157" s="34"/>
      <c r="E157" s="35"/>
      <c r="F157" s="35"/>
      <c r="G157" s="36"/>
      <c r="H157" s="36"/>
      <c r="I157" s="37"/>
      <c r="J157" s="38"/>
      <c r="K157" s="38">
        <f t="shared" ref="K157:AL157" si="22">SUM(K37:K156)</f>
        <v>6126.5899999999974</v>
      </c>
      <c r="L157" s="39">
        <f t="shared" si="22"/>
        <v>35995.145487927715</v>
      </c>
      <c r="M157" s="38">
        <f t="shared" si="22"/>
        <v>0</v>
      </c>
      <c r="N157" s="38">
        <f t="shared" si="22"/>
        <v>0</v>
      </c>
      <c r="O157" s="38">
        <f t="shared" si="22"/>
        <v>0</v>
      </c>
      <c r="P157" s="38">
        <f t="shared" si="22"/>
        <v>0</v>
      </c>
      <c r="Q157" s="38">
        <f t="shared" si="22"/>
        <v>0</v>
      </c>
      <c r="R157" s="38">
        <f t="shared" si="22"/>
        <v>0</v>
      </c>
      <c r="S157" s="38">
        <f t="shared" si="22"/>
        <v>0</v>
      </c>
      <c r="T157" s="38">
        <f t="shared" si="22"/>
        <v>0</v>
      </c>
      <c r="U157" s="38">
        <f t="shared" si="22"/>
        <v>0</v>
      </c>
      <c r="V157" s="38">
        <f t="shared" si="22"/>
        <v>136</v>
      </c>
      <c r="W157" s="38">
        <f t="shared" si="22"/>
        <v>94</v>
      </c>
      <c r="X157" s="38">
        <f t="shared" si="22"/>
        <v>135</v>
      </c>
      <c r="Y157" s="38">
        <f t="shared" si="22"/>
        <v>180</v>
      </c>
      <c r="Z157" s="38">
        <f t="shared" si="22"/>
        <v>291</v>
      </c>
      <c r="AA157" s="38">
        <f t="shared" si="22"/>
        <v>270</v>
      </c>
      <c r="AB157" s="38">
        <f t="shared" si="22"/>
        <v>169</v>
      </c>
      <c r="AC157" s="38">
        <f t="shared" si="22"/>
        <v>55</v>
      </c>
      <c r="AD157" s="38">
        <f t="shared" si="22"/>
        <v>181</v>
      </c>
      <c r="AE157" s="38">
        <f t="shared" si="22"/>
        <v>33</v>
      </c>
      <c r="AF157" s="38">
        <f t="shared" si="22"/>
        <v>0</v>
      </c>
      <c r="AG157" s="38">
        <f t="shared" si="22"/>
        <v>39.25</v>
      </c>
      <c r="AH157" s="38">
        <f t="shared" si="22"/>
        <v>39.25</v>
      </c>
      <c r="AI157" s="38">
        <f t="shared" si="22"/>
        <v>39.25</v>
      </c>
      <c r="AJ157" s="38">
        <f t="shared" si="22"/>
        <v>39.25</v>
      </c>
      <c r="AK157" s="38">
        <f t="shared" si="22"/>
        <v>0</v>
      </c>
      <c r="AL157" s="38">
        <f t="shared" si="22"/>
        <v>0</v>
      </c>
    </row>
    <row r="158" spans="1:38" ht="38.1" customHeight="1" thickBot="1">
      <c r="B158" s="40" t="s">
        <v>45</v>
      </c>
      <c r="C158" s="41"/>
      <c r="D158" s="41"/>
      <c r="E158" s="41"/>
      <c r="F158" s="41"/>
      <c r="G158" s="41"/>
      <c r="H158" s="41"/>
      <c r="I158" s="41"/>
      <c r="J158" s="41"/>
      <c r="K158" s="42">
        <f>K29+K36+K157</f>
        <v>9476.8499999999967</v>
      </c>
      <c r="L158" s="42">
        <f>L29+L36+L157</f>
        <v>37652.354161309893</v>
      </c>
      <c r="M158" s="43">
        <f t="shared" ref="M158:AL158" si="23">(M29+M36+M157)/(480-15-30)</f>
        <v>0.39080459770114945</v>
      </c>
      <c r="N158" s="43">
        <f t="shared" si="23"/>
        <v>0</v>
      </c>
      <c r="O158" s="43">
        <f t="shared" si="23"/>
        <v>0.34482758620689657</v>
      </c>
      <c r="P158" s="43">
        <f t="shared" si="23"/>
        <v>0</v>
      </c>
      <c r="Q158" s="43">
        <f t="shared" si="23"/>
        <v>0.22988505747126436</v>
      </c>
      <c r="R158" s="43">
        <f t="shared" si="23"/>
        <v>0.14482758620689656</v>
      </c>
      <c r="S158" s="43">
        <f t="shared" si="23"/>
        <v>0.85057471264367812</v>
      </c>
      <c r="T158" s="43">
        <f t="shared" si="23"/>
        <v>0.96551724137931039</v>
      </c>
      <c r="U158" s="43">
        <f t="shared" si="23"/>
        <v>0</v>
      </c>
      <c r="V158" s="43">
        <f t="shared" si="23"/>
        <v>0.31264367816091954</v>
      </c>
      <c r="W158" s="43">
        <f t="shared" si="23"/>
        <v>0.2160919540229885</v>
      </c>
      <c r="X158" s="43">
        <f t="shared" si="23"/>
        <v>0.31034482758620691</v>
      </c>
      <c r="Y158" s="43">
        <f t="shared" si="23"/>
        <v>0.41379310344827586</v>
      </c>
      <c r="Z158" s="43">
        <f t="shared" si="23"/>
        <v>0.66896551724137931</v>
      </c>
      <c r="AA158" s="43">
        <f t="shared" si="23"/>
        <v>0.62068965517241381</v>
      </c>
      <c r="AB158" s="43">
        <f t="shared" si="23"/>
        <v>0.38850574712643676</v>
      </c>
      <c r="AC158" s="43">
        <f t="shared" si="23"/>
        <v>0.12643678160919541</v>
      </c>
      <c r="AD158" s="43">
        <f t="shared" si="23"/>
        <v>0.41609195402298849</v>
      </c>
      <c r="AE158" s="43">
        <f t="shared" si="23"/>
        <v>7.586206896551724E-2</v>
      </c>
      <c r="AF158" s="43">
        <f t="shared" si="23"/>
        <v>0</v>
      </c>
      <c r="AG158" s="43">
        <f t="shared" si="23"/>
        <v>9.022988505747126E-2</v>
      </c>
      <c r="AH158" s="43">
        <f t="shared" si="23"/>
        <v>9.022988505747126E-2</v>
      </c>
      <c r="AI158" s="43">
        <f t="shared" si="23"/>
        <v>9.022988505747126E-2</v>
      </c>
      <c r="AJ158" s="43">
        <f t="shared" si="23"/>
        <v>9.022988505747126E-2</v>
      </c>
      <c r="AK158" s="43">
        <f t="shared" si="23"/>
        <v>0</v>
      </c>
      <c r="AL158" s="43">
        <f t="shared" si="23"/>
        <v>0</v>
      </c>
    </row>
    <row r="159" spans="1:38" ht="25.05" customHeight="1">
      <c r="B159" s="44"/>
      <c r="C159" s="44"/>
      <c r="D159" s="44"/>
      <c r="E159" s="45"/>
      <c r="F159" s="45"/>
      <c r="G159" s="45"/>
      <c r="H159" s="45"/>
      <c r="I159" s="46"/>
      <c r="J159" s="46"/>
      <c r="K159" s="45"/>
      <c r="L159" s="47"/>
      <c r="M159" s="47"/>
      <c r="N159" s="47"/>
      <c r="O159" s="47"/>
      <c r="P159" s="47"/>
      <c r="Q159" s="45"/>
      <c r="R159" s="45"/>
      <c r="S159" s="45"/>
      <c r="T159" s="45"/>
      <c r="U159" s="45"/>
      <c r="V159" s="45"/>
      <c r="W159" s="45"/>
      <c r="X159" s="45"/>
      <c r="Y159" s="45"/>
      <c r="Z159" s="45"/>
      <c r="AA159" s="45"/>
      <c r="AB159" s="45"/>
      <c r="AC159" s="45"/>
      <c r="AD159" s="45"/>
      <c r="AE159" s="45"/>
      <c r="AF159" s="45"/>
      <c r="AG159" s="45"/>
      <c r="AH159" s="45"/>
      <c r="AI159" s="45"/>
      <c r="AJ159" s="45"/>
    </row>
    <row r="160" spans="1:38" ht="25.05" customHeight="1">
      <c r="B160" s="44"/>
      <c r="C160" s="44"/>
      <c r="D160" s="44"/>
      <c r="E160" s="45"/>
      <c r="F160" s="45"/>
      <c r="G160" s="45"/>
      <c r="H160" s="45"/>
      <c r="I160" s="48" t="s">
        <v>46</v>
      </c>
      <c r="J160" s="46"/>
      <c r="K160" s="45"/>
      <c r="L160" s="47"/>
      <c r="M160" s="47"/>
      <c r="N160" s="47"/>
      <c r="O160" s="47"/>
      <c r="P160" s="47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</row>
    <row r="161" spans="2:34" ht="25.05" customHeight="1">
      <c r="B161" s="44"/>
      <c r="C161" s="44"/>
      <c r="D161" s="44"/>
      <c r="E161" s="45"/>
      <c r="F161" s="45"/>
      <c r="G161" s="45"/>
      <c r="H161" s="45"/>
      <c r="I161" s="49" t="s">
        <v>47</v>
      </c>
      <c r="J161" s="9">
        <v>0</v>
      </c>
      <c r="K161" s="11">
        <v>6</v>
      </c>
      <c r="L161" s="11" t="s">
        <v>48</v>
      </c>
      <c r="M161" s="47"/>
      <c r="N161" s="14">
        <v>2</v>
      </c>
      <c r="O161" s="14"/>
      <c r="P161" s="14"/>
      <c r="Q161" s="50" t="s">
        <v>49</v>
      </c>
      <c r="R161" s="51"/>
      <c r="S161" s="45"/>
      <c r="T161" s="45"/>
      <c r="U161" s="45"/>
      <c r="V161" s="45"/>
      <c r="W161" s="45"/>
      <c r="X161" s="45"/>
      <c r="Y161" s="45"/>
      <c r="Z161" s="45"/>
      <c r="AA161" s="45"/>
      <c r="AC161" s="45"/>
      <c r="AD161" s="45"/>
      <c r="AE161" s="45"/>
      <c r="AF161" s="45"/>
      <c r="AG161" s="45"/>
      <c r="AH161" s="45"/>
    </row>
    <row r="162" spans="2:34" ht="25.05" customHeight="1">
      <c r="B162" s="44"/>
      <c r="C162" s="44"/>
      <c r="D162" s="44"/>
      <c r="E162" s="45"/>
      <c r="F162" s="45"/>
      <c r="G162" s="45"/>
      <c r="H162" s="45"/>
      <c r="I162" s="49" t="s">
        <v>50</v>
      </c>
      <c r="J162" s="9">
        <v>0</v>
      </c>
      <c r="K162" s="11">
        <v>0</v>
      </c>
      <c r="L162" s="11" t="s">
        <v>48</v>
      </c>
      <c r="M162" s="47"/>
      <c r="N162" s="14">
        <v>0</v>
      </c>
      <c r="O162" s="14"/>
      <c r="P162" s="14"/>
      <c r="Q162" s="50" t="s">
        <v>51</v>
      </c>
      <c r="R162" s="51"/>
      <c r="S162" s="45"/>
      <c r="T162" s="45"/>
      <c r="U162" s="45"/>
      <c r="V162" s="45"/>
      <c r="W162" s="45"/>
      <c r="X162" s="45"/>
      <c r="Y162" s="45"/>
      <c r="Z162" s="45"/>
      <c r="AA162" s="45"/>
      <c r="AB162" s="45"/>
      <c r="AC162" s="45"/>
      <c r="AD162" s="45"/>
      <c r="AE162" s="45"/>
      <c r="AF162" s="45"/>
      <c r="AG162" s="45"/>
      <c r="AH162" s="45"/>
    </row>
    <row r="163" spans="2:34" ht="25.05" customHeight="1">
      <c r="B163" s="44"/>
      <c r="C163" s="44"/>
      <c r="D163" s="44"/>
      <c r="E163" s="45"/>
      <c r="F163" s="45"/>
      <c r="G163" s="45"/>
      <c r="H163" s="45"/>
      <c r="I163" s="49" t="s">
        <v>52</v>
      </c>
      <c r="J163" s="9">
        <v>0</v>
      </c>
      <c r="K163" s="11">
        <v>12</v>
      </c>
      <c r="L163" s="11" t="s">
        <v>48</v>
      </c>
      <c r="M163" s="47"/>
      <c r="N163" s="14">
        <v>0</v>
      </c>
      <c r="O163" s="14"/>
      <c r="P163" s="14"/>
      <c r="Q163" s="50" t="s">
        <v>53</v>
      </c>
      <c r="R163" s="51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</row>
    <row r="164" spans="2:34" ht="25.05" customHeight="1">
      <c r="B164" s="44"/>
      <c r="C164" s="44"/>
      <c r="D164" s="44"/>
      <c r="E164" s="45"/>
      <c r="F164" s="45"/>
      <c r="G164" s="45"/>
      <c r="H164" s="45"/>
      <c r="I164" s="52" t="s">
        <v>54</v>
      </c>
      <c r="J164" s="53">
        <v>0</v>
      </c>
      <c r="K164" s="11">
        <v>2</v>
      </c>
      <c r="L164" s="54" t="s">
        <v>48</v>
      </c>
      <c r="M164" s="47"/>
      <c r="N164" s="14">
        <v>3</v>
      </c>
      <c r="O164" s="14"/>
      <c r="P164" s="14"/>
      <c r="Q164" s="50" t="s">
        <v>55</v>
      </c>
      <c r="R164" s="51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</row>
    <row r="165" spans="2:34" ht="25.05" customHeight="1">
      <c r="B165" s="44"/>
      <c r="C165" s="44"/>
      <c r="D165" s="44"/>
      <c r="E165" s="45"/>
      <c r="F165" s="45"/>
      <c r="G165" s="45"/>
      <c r="H165" s="45"/>
      <c r="I165" s="49" t="s">
        <v>56</v>
      </c>
      <c r="J165" s="9">
        <v>0</v>
      </c>
      <c r="K165" s="11">
        <v>20</v>
      </c>
      <c r="L165" s="11" t="s">
        <v>48</v>
      </c>
      <c r="M165" s="47"/>
      <c r="N165"/>
      <c r="O165"/>
      <c r="P165"/>
      <c r="Q165"/>
      <c r="S165" s="45"/>
      <c r="T165" s="45"/>
      <c r="U165" s="45"/>
      <c r="V165" s="45"/>
      <c r="W165" s="45"/>
      <c r="X165" s="45"/>
      <c r="Y165" s="45"/>
      <c r="Z165" s="45"/>
      <c r="AA165" s="45"/>
      <c r="AB165" s="45"/>
      <c r="AC165" s="45"/>
      <c r="AD165" s="45"/>
      <c r="AE165" s="45"/>
      <c r="AF165" s="45"/>
      <c r="AG165" s="45"/>
      <c r="AH165" s="45"/>
    </row>
    <row r="166" spans="2:34" ht="25.05" customHeight="1">
      <c r="B166" s="44"/>
      <c r="C166" s="44"/>
      <c r="D166" s="44"/>
      <c r="E166" s="45"/>
      <c r="F166" s="45"/>
      <c r="G166" s="45"/>
      <c r="H166" s="45"/>
      <c r="M166" s="47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</row>
    <row r="167" spans="2:34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B5C42-A0A3-4328-831D-8BBB9E80F6D8}">
  <sheetPr>
    <pageSetUpPr fitToPage="1"/>
  </sheetPr>
  <dimension ref="A1:AL98"/>
  <sheetViews>
    <sheetView zoomScale="70" zoomScaleNormal="7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46092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0.80555555555555558</v>
      </c>
      <c r="I4" s="10">
        <f t="shared" ref="I4:I23" si="0">H4-G4</f>
        <v>1.3888888888888951E-2</v>
      </c>
      <c r="J4" s="11">
        <v>8</v>
      </c>
      <c r="K4" s="11">
        <v>0</v>
      </c>
      <c r="L4" s="16">
        <f t="shared" ref="L4:L23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1669</v>
      </c>
      <c r="E5" s="15" t="s">
        <v>2011</v>
      </c>
      <c r="F5" s="57">
        <v>1</v>
      </c>
      <c r="G5" s="9">
        <v>0.80625000000000002</v>
      </c>
      <c r="H5" s="9">
        <v>0.81597222222222221</v>
      </c>
      <c r="I5" s="10">
        <f t="shared" si="0"/>
        <v>9.7222222222221877E-3</v>
      </c>
      <c r="J5" s="11">
        <v>2</v>
      </c>
      <c r="K5" s="11">
        <f>3.65*6</f>
        <v>21.9</v>
      </c>
      <c r="L5" s="16">
        <f t="shared" si="1"/>
        <v>46.928571428571594</v>
      </c>
      <c r="M5" s="11">
        <v>14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44" t="s">
        <v>1742</v>
      </c>
      <c r="F6" s="8" t="s">
        <v>42</v>
      </c>
      <c r="G6" s="9">
        <v>0.80625000000000002</v>
      </c>
      <c r="H6" s="9">
        <v>0.83333333333333337</v>
      </c>
      <c r="I6" s="10">
        <f t="shared" si="0"/>
        <v>2.7083333333333348E-2</v>
      </c>
      <c r="J6" s="11">
        <v>1</v>
      </c>
      <c r="K6" s="11">
        <f>1.17*6</f>
        <v>7.02</v>
      </c>
      <c r="L6" s="16">
        <f t="shared" si="1"/>
        <v>10.799999999999992</v>
      </c>
      <c r="M6" s="11"/>
      <c r="N6" s="11"/>
      <c r="O6" s="11"/>
      <c r="P6" s="11"/>
      <c r="Q6" s="11"/>
      <c r="R6" s="12"/>
      <c r="S6" s="12">
        <v>39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2012</v>
      </c>
      <c r="F7" s="57">
        <v>1</v>
      </c>
      <c r="G7" s="9">
        <v>0.83402777777777781</v>
      </c>
      <c r="H7" s="9">
        <v>0.84722222222222221</v>
      </c>
      <c r="I7" s="10">
        <f t="shared" si="0"/>
        <v>1.3194444444444398E-2</v>
      </c>
      <c r="J7" s="11">
        <v>2</v>
      </c>
      <c r="K7" s="11">
        <f>1.62*6</f>
        <v>9.7200000000000006</v>
      </c>
      <c r="L7" s="16">
        <f t="shared" si="1"/>
        <v>15.347368421052687</v>
      </c>
      <c r="M7" s="11">
        <v>19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2013</v>
      </c>
      <c r="F8" s="8" t="s">
        <v>42</v>
      </c>
      <c r="G8" s="9">
        <v>4.8611111111111112E-2</v>
      </c>
      <c r="H8" s="9">
        <v>0.16666666666666666</v>
      </c>
      <c r="I8" s="10">
        <f t="shared" si="0"/>
        <v>0.11805555555555555</v>
      </c>
      <c r="J8" s="11">
        <v>1</v>
      </c>
      <c r="K8" s="11">
        <f>53.85*6</f>
        <v>323.10000000000002</v>
      </c>
      <c r="L8" s="16">
        <f t="shared" si="1"/>
        <v>114.03529411764707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5" t="s">
        <v>712</v>
      </c>
      <c r="E9" s="116" t="s">
        <v>2014</v>
      </c>
      <c r="F9" s="55" t="s">
        <v>232</v>
      </c>
      <c r="G9" s="9">
        <v>0.81666666666666665</v>
      </c>
      <c r="H9" s="9">
        <v>0.82986111111111116</v>
      </c>
      <c r="I9" s="10">
        <f t="shared" si="0"/>
        <v>1.3194444444444509E-2</v>
      </c>
      <c r="J9" s="11">
        <v>2</v>
      </c>
      <c r="K9" s="11">
        <f>3.8*13</f>
        <v>49.4</v>
      </c>
      <c r="L9" s="16">
        <f t="shared" si="1"/>
        <v>77.999999999999616</v>
      </c>
      <c r="M9" s="11">
        <v>19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16" t="s">
        <v>2015</v>
      </c>
      <c r="F10" s="55" t="s">
        <v>798</v>
      </c>
      <c r="G10" s="9">
        <v>0.85486111111111107</v>
      </c>
      <c r="H10" s="9">
        <v>0.88541666666666663</v>
      </c>
      <c r="I10" s="10">
        <f t="shared" si="0"/>
        <v>3.0555555555555558E-2</v>
      </c>
      <c r="J10" s="11">
        <v>2</v>
      </c>
      <c r="K10" s="11">
        <f>28.5*13</f>
        <v>370.5</v>
      </c>
      <c r="L10" s="16">
        <f t="shared" si="1"/>
        <v>252.61363636363635</v>
      </c>
      <c r="M10" s="11">
        <v>44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16" t="s">
        <v>2016</v>
      </c>
      <c r="F11" s="55" t="s">
        <v>61</v>
      </c>
      <c r="G11" s="9">
        <v>0.81319444444444444</v>
      </c>
      <c r="H11" s="9">
        <v>0.99305555555555558</v>
      </c>
      <c r="I11" s="10">
        <f t="shared" si="0"/>
        <v>0.17986111111111114</v>
      </c>
      <c r="J11" s="11">
        <v>6</v>
      </c>
      <c r="K11" s="11">
        <f>39*6</f>
        <v>234</v>
      </c>
      <c r="L11" s="16">
        <f t="shared" si="1"/>
        <v>9.0347490347490336</v>
      </c>
      <c r="M11" s="11"/>
      <c r="N11" s="11"/>
      <c r="O11" s="11"/>
      <c r="P11" s="11"/>
      <c r="Q11" s="11"/>
      <c r="R11" s="12"/>
      <c r="S11" s="12">
        <v>259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2017</v>
      </c>
      <c r="F12" s="55" t="s">
        <v>2018</v>
      </c>
      <c r="G12" s="9">
        <v>0.80625000000000002</v>
      </c>
      <c r="H12" s="9">
        <v>0.83333333333333337</v>
      </c>
      <c r="I12" s="10">
        <f t="shared" si="0"/>
        <v>2.7083333333333348E-2</v>
      </c>
      <c r="J12" s="11">
        <v>1</v>
      </c>
      <c r="K12" s="11">
        <f>11*13</f>
        <v>143</v>
      </c>
      <c r="L12" s="16">
        <f t="shared" si="1"/>
        <v>219.99999999999989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859</v>
      </c>
      <c r="F13" s="55" t="s">
        <v>42</v>
      </c>
      <c r="G13" s="9">
        <v>0.99305555555555558</v>
      </c>
      <c r="H13" s="9">
        <v>46093.048611111109</v>
      </c>
      <c r="I13" s="10">
        <f t="shared" si="0"/>
        <v>46092.055555555555</v>
      </c>
      <c r="J13" s="11">
        <v>8</v>
      </c>
      <c r="K13" s="11">
        <v>0</v>
      </c>
      <c r="L13" s="16">
        <f t="shared" si="1"/>
        <v>0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16" t="s">
        <v>2019</v>
      </c>
      <c r="F14" s="55" t="s">
        <v>61</v>
      </c>
      <c r="G14" s="9">
        <v>4.8611111111111112E-2</v>
      </c>
      <c r="H14" s="9">
        <v>0.1875</v>
      </c>
      <c r="I14" s="10">
        <f t="shared" si="0"/>
        <v>0.1388888888888889</v>
      </c>
      <c r="J14" s="11">
        <v>10</v>
      </c>
      <c r="K14" s="11">
        <f>39*7</f>
        <v>273</v>
      </c>
      <c r="L14" s="16">
        <f t="shared" si="1"/>
        <v>8.19</v>
      </c>
      <c r="M14" s="11"/>
      <c r="N14" s="11"/>
      <c r="O14" s="11"/>
      <c r="P14" s="11"/>
      <c r="Q14" s="11"/>
      <c r="R14" s="12"/>
      <c r="S14" s="12">
        <v>200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30" t="s">
        <v>1813</v>
      </c>
      <c r="E15" s="15" t="s">
        <v>2020</v>
      </c>
      <c r="F15" s="55" t="s">
        <v>232</v>
      </c>
      <c r="G15" s="9">
        <v>0.8305555555555556</v>
      </c>
      <c r="H15" s="9">
        <v>0.83333333333333337</v>
      </c>
      <c r="I15" s="10">
        <f t="shared" si="0"/>
        <v>2.7777777777777679E-3</v>
      </c>
      <c r="J15" s="11">
        <v>2</v>
      </c>
      <c r="K15" s="11">
        <f>0.2*10</f>
        <v>2</v>
      </c>
      <c r="L15" s="16">
        <f t="shared" si="1"/>
        <v>15.000000000000052</v>
      </c>
      <c r="M15" s="11">
        <v>4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2021</v>
      </c>
      <c r="F16" s="55" t="s">
        <v>234</v>
      </c>
      <c r="G16" s="9">
        <v>0.88611111111111107</v>
      </c>
      <c r="H16" s="9">
        <v>0.89236111111111116</v>
      </c>
      <c r="I16" s="10">
        <f t="shared" si="0"/>
        <v>6.2500000000000888E-3</v>
      </c>
      <c r="J16" s="11">
        <v>2</v>
      </c>
      <c r="K16" s="11">
        <v>10</v>
      </c>
      <c r="L16" s="16">
        <f t="shared" si="1"/>
        <v>33.33333333333286</v>
      </c>
      <c r="M16" s="11">
        <v>9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 t="s">
        <v>2022</v>
      </c>
      <c r="F17" s="55" t="s">
        <v>42</v>
      </c>
      <c r="G17" s="9">
        <v>0.80625000000000002</v>
      </c>
      <c r="H17" s="9">
        <v>0.8125</v>
      </c>
      <c r="I17" s="10">
        <f>H17-G17</f>
        <v>6.2499999999999778E-3</v>
      </c>
      <c r="J17" s="11">
        <v>1</v>
      </c>
      <c r="K17" s="11">
        <f>14*4.03</f>
        <v>56.42</v>
      </c>
      <c r="L17" s="16">
        <f>IFERROR(((K17/(J17*I17)/24)),"0")</f>
        <v>376.13333333333463</v>
      </c>
      <c r="M17" s="11"/>
      <c r="N17" s="11"/>
      <c r="O17" s="11"/>
      <c r="P17" s="11"/>
      <c r="Q17" s="11">
        <v>9</v>
      </c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/>
      <c r="E18" s="15" t="s">
        <v>2023</v>
      </c>
      <c r="F18" s="57">
        <v>0.5</v>
      </c>
      <c r="G18" s="9">
        <v>0.89652777777777781</v>
      </c>
      <c r="H18" s="9">
        <v>0.90277777777777779</v>
      </c>
      <c r="I18" s="10">
        <f t="shared" si="0"/>
        <v>6.2499999999999778E-3</v>
      </c>
      <c r="J18" s="11">
        <v>2</v>
      </c>
      <c r="K18" s="11">
        <f>5.33*10</f>
        <v>53.3</v>
      </c>
      <c r="L18" s="16">
        <f t="shared" si="1"/>
        <v>177.66666666666728</v>
      </c>
      <c r="M18" s="11">
        <v>9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2024</v>
      </c>
      <c r="F19" s="55" t="s">
        <v>237</v>
      </c>
      <c r="G19" s="9">
        <v>0.83750000000000002</v>
      </c>
      <c r="H19" s="9">
        <v>0.84375</v>
      </c>
      <c r="I19" s="10">
        <f t="shared" si="0"/>
        <v>6.2499999999999778E-3</v>
      </c>
      <c r="J19" s="11">
        <v>1</v>
      </c>
      <c r="K19" s="11">
        <f>0.02*10</f>
        <v>0.2</v>
      </c>
      <c r="L19" s="16">
        <f t="shared" si="1"/>
        <v>1.3333333333333381</v>
      </c>
      <c r="M19" s="11"/>
      <c r="N19" s="11"/>
      <c r="O19" s="11"/>
      <c r="P19" s="11"/>
      <c r="Q19" s="11"/>
      <c r="R19" s="12"/>
      <c r="S19" s="12">
        <v>9</v>
      </c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5" customHeight="1">
      <c r="B20" s="13"/>
      <c r="C20" s="14"/>
      <c r="D20" s="6"/>
      <c r="E20" s="71" t="s">
        <v>2025</v>
      </c>
      <c r="F20" s="55" t="s">
        <v>239</v>
      </c>
      <c r="G20" s="9">
        <v>0.92708333333333337</v>
      </c>
      <c r="H20" s="9">
        <v>0.9375</v>
      </c>
      <c r="I20" s="10">
        <f t="shared" si="0"/>
        <v>1.041666666666663E-2</v>
      </c>
      <c r="J20" s="11">
        <v>2</v>
      </c>
      <c r="K20" s="11">
        <f>0.53*10</f>
        <v>5.3000000000000007</v>
      </c>
      <c r="L20" s="16">
        <f t="shared" si="1"/>
        <v>10.600000000000039</v>
      </c>
      <c r="M20" s="11">
        <v>15</v>
      </c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31"/>
      <c r="E21" s="132" t="s">
        <v>2026</v>
      </c>
      <c r="F21" s="55" t="s">
        <v>232</v>
      </c>
      <c r="G21" s="9">
        <v>0.93819444444444444</v>
      </c>
      <c r="H21" s="9">
        <v>0.94444444444444442</v>
      </c>
      <c r="I21" s="10">
        <f t="shared" si="0"/>
        <v>6.2499999999999778E-3</v>
      </c>
      <c r="J21" s="11">
        <v>2</v>
      </c>
      <c r="K21" s="11">
        <f>0.96*6</f>
        <v>5.76</v>
      </c>
      <c r="L21" s="16">
        <f t="shared" si="1"/>
        <v>19.200000000000067</v>
      </c>
      <c r="M21" s="11">
        <v>9</v>
      </c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11" t="s">
        <v>2027</v>
      </c>
      <c r="F22" s="55" t="s">
        <v>42</v>
      </c>
      <c r="G22" s="9">
        <v>0.19097222222222221</v>
      </c>
      <c r="H22" s="9">
        <v>0.21527777777777779</v>
      </c>
      <c r="I22" s="10">
        <f t="shared" si="0"/>
        <v>2.430555555555558E-2</v>
      </c>
      <c r="J22" s="11">
        <v>10</v>
      </c>
      <c r="K22" s="11">
        <f>35*6</f>
        <v>210</v>
      </c>
      <c r="L22" s="16">
        <f t="shared" si="1"/>
        <v>35.999999999999964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/>
      <c r="F23" s="55"/>
      <c r="G23" s="9"/>
      <c r="H23" s="9"/>
      <c r="I23" s="10">
        <f t="shared" si="0"/>
        <v>0</v>
      </c>
      <c r="J23" s="11"/>
      <c r="K23" s="11"/>
      <c r="L23" s="16" t="str">
        <f t="shared" si="1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s="28" customFormat="1" ht="25.05" customHeight="1">
      <c r="A24" s="2"/>
      <c r="B24" s="21"/>
      <c r="C24" s="22"/>
      <c r="D24" s="23"/>
      <c r="E24" s="24"/>
      <c r="F24" s="24"/>
      <c r="G24" s="25"/>
      <c r="H24" s="25"/>
      <c r="I24" s="26"/>
      <c r="J24" s="27"/>
      <c r="K24" s="27">
        <f t="shared" ref="K24:AL24" si="2">SUM(K4:K23)</f>
        <v>1774.62</v>
      </c>
      <c r="L24" s="39">
        <f t="shared" si="2"/>
        <v>1424.2162860323242</v>
      </c>
      <c r="M24" s="27">
        <f t="shared" si="2"/>
        <v>142</v>
      </c>
      <c r="N24" s="27">
        <f t="shared" si="2"/>
        <v>0</v>
      </c>
      <c r="O24" s="27">
        <f t="shared" si="2"/>
        <v>0</v>
      </c>
      <c r="P24" s="27">
        <f t="shared" si="2"/>
        <v>0</v>
      </c>
      <c r="Q24" s="27">
        <f t="shared" si="2"/>
        <v>9</v>
      </c>
      <c r="R24" s="27">
        <f t="shared" si="2"/>
        <v>0</v>
      </c>
      <c r="S24" s="27">
        <f t="shared" si="2"/>
        <v>507</v>
      </c>
      <c r="T24" s="27">
        <f t="shared" si="2"/>
        <v>0</v>
      </c>
      <c r="U24" s="27">
        <f t="shared" si="2"/>
        <v>0</v>
      </c>
      <c r="V24" s="27">
        <f t="shared" si="2"/>
        <v>0</v>
      </c>
      <c r="W24" s="27">
        <f t="shared" si="2"/>
        <v>0</v>
      </c>
      <c r="X24" s="27">
        <f t="shared" si="2"/>
        <v>0</v>
      </c>
      <c r="Y24" s="27">
        <f t="shared" si="2"/>
        <v>0</v>
      </c>
      <c r="Z24" s="27">
        <f t="shared" si="2"/>
        <v>0</v>
      </c>
      <c r="AA24" s="27">
        <f t="shared" si="2"/>
        <v>0</v>
      </c>
      <c r="AB24" s="27">
        <f t="shared" si="2"/>
        <v>0</v>
      </c>
      <c r="AC24" s="27">
        <f t="shared" si="2"/>
        <v>0</v>
      </c>
      <c r="AD24" s="27">
        <f t="shared" si="2"/>
        <v>0</v>
      </c>
      <c r="AE24" s="27">
        <f t="shared" si="2"/>
        <v>0</v>
      </c>
      <c r="AF24" s="27">
        <f t="shared" si="2"/>
        <v>0</v>
      </c>
      <c r="AG24" s="27">
        <f t="shared" si="2"/>
        <v>0</v>
      </c>
      <c r="AH24" s="27">
        <f t="shared" si="2"/>
        <v>0</v>
      </c>
      <c r="AI24" s="27">
        <f t="shared" si="2"/>
        <v>0</v>
      </c>
      <c r="AJ24" s="27">
        <f t="shared" si="2"/>
        <v>0</v>
      </c>
      <c r="AK24" s="27">
        <f t="shared" si="2"/>
        <v>0</v>
      </c>
      <c r="AL24" s="27">
        <f t="shared" si="2"/>
        <v>0</v>
      </c>
    </row>
    <row r="25" spans="1:38" ht="25.05" customHeight="1">
      <c r="B25" s="13"/>
      <c r="C25" s="14" t="s">
        <v>43</v>
      </c>
      <c r="D25" s="6"/>
      <c r="E25" s="7" t="s">
        <v>41</v>
      </c>
      <c r="F25" s="8" t="s">
        <v>42</v>
      </c>
      <c r="G25" s="9"/>
      <c r="H25" s="9"/>
      <c r="I25" s="10">
        <f>H25-G25</f>
        <v>0</v>
      </c>
      <c r="J25" s="11"/>
      <c r="K25" s="11"/>
      <c r="L25" s="16" t="str">
        <f>IFERROR(((K25/(J25*I25)/24)),"0")</f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18"/>
      <c r="E26" s="6"/>
      <c r="F26" s="14"/>
      <c r="G26" s="9"/>
      <c r="H26" s="9"/>
      <c r="I26" s="10"/>
      <c r="J26" s="11"/>
      <c r="K26" s="11"/>
      <c r="L26" s="16"/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s="28" customFormat="1" ht="25.05" customHeight="1">
      <c r="A27" s="2"/>
      <c r="B27" s="21"/>
      <c r="C27" s="22"/>
      <c r="D27" s="23"/>
      <c r="E27" s="24"/>
      <c r="F27" s="22"/>
      <c r="G27" s="25"/>
      <c r="H27" s="25"/>
      <c r="I27" s="26"/>
      <c r="J27" s="27"/>
      <c r="K27" s="27">
        <f t="shared" ref="K27:AI27" si="3">SUM(K25:K26)</f>
        <v>0</v>
      </c>
      <c r="L27" s="27">
        <f t="shared" si="3"/>
        <v>0</v>
      </c>
      <c r="M27" s="27">
        <f t="shared" si="3"/>
        <v>0</v>
      </c>
      <c r="N27" s="27">
        <f t="shared" si="3"/>
        <v>0</v>
      </c>
      <c r="O27" s="27">
        <f t="shared" si="3"/>
        <v>0</v>
      </c>
      <c r="P27" s="27">
        <f t="shared" si="3"/>
        <v>0</v>
      </c>
      <c r="Q27" s="27">
        <f t="shared" si="3"/>
        <v>0</v>
      </c>
      <c r="R27" s="27">
        <f t="shared" si="3"/>
        <v>0</v>
      </c>
      <c r="S27" s="27">
        <f t="shared" si="3"/>
        <v>0</v>
      </c>
      <c r="T27" s="27">
        <f t="shared" si="3"/>
        <v>0</v>
      </c>
      <c r="U27" s="27">
        <f t="shared" si="3"/>
        <v>0</v>
      </c>
      <c r="V27" s="27">
        <f t="shared" si="3"/>
        <v>0</v>
      </c>
      <c r="W27" s="27">
        <f t="shared" si="3"/>
        <v>0</v>
      </c>
      <c r="X27" s="27">
        <f t="shared" si="3"/>
        <v>0</v>
      </c>
      <c r="Y27" s="27">
        <f t="shared" si="3"/>
        <v>0</v>
      </c>
      <c r="Z27" s="27">
        <f t="shared" si="3"/>
        <v>0</v>
      </c>
      <c r="AA27" s="27">
        <f t="shared" si="3"/>
        <v>0</v>
      </c>
      <c r="AB27" s="27">
        <f t="shared" si="3"/>
        <v>0</v>
      </c>
      <c r="AC27" s="27">
        <f t="shared" si="3"/>
        <v>0</v>
      </c>
      <c r="AD27" s="27">
        <f t="shared" si="3"/>
        <v>0</v>
      </c>
      <c r="AE27" s="27">
        <f t="shared" si="3"/>
        <v>0</v>
      </c>
      <c r="AF27" s="27">
        <f t="shared" si="3"/>
        <v>0</v>
      </c>
      <c r="AG27" s="27">
        <f t="shared" si="3"/>
        <v>0</v>
      </c>
      <c r="AH27" s="27">
        <f t="shared" si="3"/>
        <v>0</v>
      </c>
      <c r="AI27" s="27">
        <f t="shared" si="3"/>
        <v>0</v>
      </c>
      <c r="AJ27" s="27">
        <f>SUM(AJ25:AJ26)</f>
        <v>0</v>
      </c>
      <c r="AK27" s="27">
        <f>SUM(AK25:AK26)</f>
        <v>0</v>
      </c>
      <c r="AL27" s="27">
        <f>SUM(AL25:AL26)</f>
        <v>0</v>
      </c>
    </row>
    <row r="28" spans="1:38" ht="25.05" customHeight="1">
      <c r="B28" s="5"/>
      <c r="C28" s="29" t="s">
        <v>44</v>
      </c>
      <c r="D28" s="30"/>
      <c r="E28" s="7" t="s">
        <v>41</v>
      </c>
      <c r="F28" s="8" t="s">
        <v>42</v>
      </c>
      <c r="G28" s="9">
        <v>0.79166666666666663</v>
      </c>
      <c r="H28" s="9">
        <v>0.8125</v>
      </c>
      <c r="I28" s="10">
        <f t="shared" ref="I28:I54" si="4">H28-G28</f>
        <v>2.083333333333337E-2</v>
      </c>
      <c r="J28" s="11">
        <v>4</v>
      </c>
      <c r="K28" s="11" t="s">
        <v>209</v>
      </c>
      <c r="L28" s="16" t="str">
        <f t="shared" ref="L28:L54" si="5">IFERROR(((K28/(J28*I28)/24)),"0")</f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6" t="s">
        <v>1669</v>
      </c>
      <c r="E29" s="19" t="s">
        <v>2028</v>
      </c>
      <c r="F29" s="8" t="s">
        <v>42</v>
      </c>
      <c r="G29" s="9">
        <v>0.85763888888888884</v>
      </c>
      <c r="H29" s="9">
        <v>0.88541666666666663</v>
      </c>
      <c r="I29" s="10">
        <f t="shared" si="4"/>
        <v>2.777777777777779E-2</v>
      </c>
      <c r="J29" s="11">
        <v>4</v>
      </c>
      <c r="K29" s="11">
        <v>99.5</v>
      </c>
      <c r="L29" s="16">
        <f t="shared" si="5"/>
        <v>37.312499999999986</v>
      </c>
      <c r="M29" s="11"/>
      <c r="N29" s="11"/>
      <c r="O29" s="11"/>
      <c r="P29" s="11"/>
      <c r="Q29" s="11"/>
      <c r="R29" s="12"/>
      <c r="S29" s="12"/>
      <c r="T29" s="11"/>
      <c r="U29" s="11"/>
      <c r="V29" s="12">
        <v>2</v>
      </c>
      <c r="W29" s="12"/>
      <c r="X29" s="11"/>
      <c r="Y29" s="11"/>
      <c r="Z29" s="11"/>
      <c r="AA29" s="11"/>
      <c r="AB29" s="11">
        <v>40</v>
      </c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2029</v>
      </c>
      <c r="F30" s="8" t="s">
        <v>42</v>
      </c>
      <c r="G30" s="9">
        <v>0.85833333333333328</v>
      </c>
      <c r="H30" s="9">
        <v>0.88680555555555551</v>
      </c>
      <c r="I30" s="10">
        <f t="shared" si="4"/>
        <v>2.8472222222222232E-2</v>
      </c>
      <c r="J30" s="11">
        <v>4</v>
      </c>
      <c r="K30" s="11">
        <v>99.62</v>
      </c>
      <c r="L30" s="16">
        <f t="shared" si="5"/>
        <v>36.446341463414619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>
        <v>2</v>
      </c>
      <c r="X30" s="11"/>
      <c r="Y30" s="11"/>
      <c r="Z30" s="11"/>
      <c r="AA30" s="11"/>
      <c r="AB30" s="11"/>
      <c r="AC30" s="11">
        <v>41</v>
      </c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2030</v>
      </c>
      <c r="F31" s="8" t="s">
        <v>42</v>
      </c>
      <c r="G31" s="9">
        <v>0.875</v>
      </c>
      <c r="H31" s="9">
        <v>0.89444444444444449</v>
      </c>
      <c r="I31" s="10">
        <f t="shared" si="4"/>
        <v>1.9444444444444486E-2</v>
      </c>
      <c r="J31" s="11">
        <v>4</v>
      </c>
      <c r="K31" s="11">
        <v>100.1</v>
      </c>
      <c r="L31" s="16">
        <f t="shared" si="5"/>
        <v>53.624999999999879</v>
      </c>
      <c r="M31" s="11"/>
      <c r="N31" s="11"/>
      <c r="O31" s="11"/>
      <c r="P31" s="11"/>
      <c r="Q31" s="11"/>
      <c r="R31" s="12"/>
      <c r="S31" s="12"/>
      <c r="T31" s="11"/>
      <c r="U31" s="11"/>
      <c r="V31" s="12">
        <v>2</v>
      </c>
      <c r="W31" s="12"/>
      <c r="X31" s="11"/>
      <c r="Y31" s="11"/>
      <c r="Z31" s="11"/>
      <c r="AA31" s="11"/>
      <c r="AB31" s="11"/>
      <c r="AC31" s="11"/>
      <c r="AD31" s="11">
        <v>28</v>
      </c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2031</v>
      </c>
      <c r="F32" s="8" t="s">
        <v>42</v>
      </c>
      <c r="G32" s="9">
        <v>0.88958333333333328</v>
      </c>
      <c r="H32" s="9">
        <v>0.90763888888888888</v>
      </c>
      <c r="I32" s="10">
        <f t="shared" si="4"/>
        <v>1.8055555555555602E-2</v>
      </c>
      <c r="J32" s="11">
        <v>4</v>
      </c>
      <c r="K32" s="11">
        <v>100.1</v>
      </c>
      <c r="L32" s="16">
        <f t="shared" si="5"/>
        <v>57.749999999999851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2</v>
      </c>
      <c r="X32" s="11"/>
      <c r="Y32" s="11"/>
      <c r="Z32" s="11"/>
      <c r="AA32" s="11"/>
      <c r="AB32" s="11">
        <v>26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2032</v>
      </c>
      <c r="F33" s="8" t="s">
        <v>42</v>
      </c>
      <c r="G33" s="9">
        <v>0.90138888888888891</v>
      </c>
      <c r="H33" s="9">
        <v>0.9194444444444444</v>
      </c>
      <c r="I33" s="10">
        <f t="shared" si="4"/>
        <v>1.8055555555555491E-2</v>
      </c>
      <c r="J33" s="11">
        <v>4</v>
      </c>
      <c r="K33" s="11">
        <v>100.04</v>
      </c>
      <c r="L33" s="16">
        <f t="shared" si="5"/>
        <v>57.715384615384828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</v>
      </c>
      <c r="W33" s="12"/>
      <c r="X33" s="11"/>
      <c r="Y33" s="11"/>
      <c r="Z33" s="11"/>
      <c r="AA33" s="11"/>
      <c r="AB33" s="11"/>
      <c r="AC33" s="11">
        <v>26</v>
      </c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2033</v>
      </c>
      <c r="F34" s="8" t="s">
        <v>42</v>
      </c>
      <c r="G34" s="9">
        <v>0.91180555555555554</v>
      </c>
      <c r="H34" s="9">
        <v>0.92986111111111114</v>
      </c>
      <c r="I34" s="10">
        <f t="shared" si="4"/>
        <v>1.8055555555555602E-2</v>
      </c>
      <c r="J34" s="11">
        <v>4</v>
      </c>
      <c r="K34" s="11">
        <v>100.3</v>
      </c>
      <c r="L34" s="16">
        <f t="shared" si="5"/>
        <v>57.865384615384464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/>
      <c r="AA34" s="11"/>
      <c r="AB34" s="11">
        <v>26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2034</v>
      </c>
      <c r="F35" s="8" t="s">
        <v>42</v>
      </c>
      <c r="G35" s="9">
        <v>0.86597222222222225</v>
      </c>
      <c r="H35" s="9">
        <v>0.87152777777777779</v>
      </c>
      <c r="I35" s="10">
        <f t="shared" si="4"/>
        <v>5.5555555555555358E-3</v>
      </c>
      <c r="J35" s="11">
        <v>4</v>
      </c>
      <c r="K35" s="11">
        <v>48</v>
      </c>
      <c r="L35" s="16">
        <f t="shared" si="5"/>
        <v>90.000000000000327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/>
      <c r="AC35" s="11">
        <v>8</v>
      </c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248</v>
      </c>
      <c r="F36" s="8" t="s">
        <v>42</v>
      </c>
      <c r="G36" s="9">
        <v>0.84375</v>
      </c>
      <c r="H36" s="9">
        <v>0.88680555555555551</v>
      </c>
      <c r="I36" s="10">
        <f t="shared" si="4"/>
        <v>4.3055555555555514E-2</v>
      </c>
      <c r="J36" s="11">
        <v>5</v>
      </c>
      <c r="K36" s="11">
        <v>105.76</v>
      </c>
      <c r="L36" s="16">
        <f t="shared" si="5"/>
        <v>20.469677419354859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>
        <v>15.5</v>
      </c>
      <c r="AH36" s="11">
        <v>15.5</v>
      </c>
      <c r="AI36" s="11">
        <v>15.5</v>
      </c>
      <c r="AJ36" s="11">
        <v>15.5</v>
      </c>
      <c r="AK36" s="11"/>
      <c r="AL36" s="14"/>
    </row>
    <row r="37" spans="2:38" ht="25.05" customHeight="1">
      <c r="B37" s="13"/>
      <c r="C37" s="29"/>
      <c r="D37" s="30"/>
      <c r="E37" s="19" t="s">
        <v>249</v>
      </c>
      <c r="F37" s="8" t="s">
        <v>42</v>
      </c>
      <c r="G37" s="9">
        <v>0.88749999999999996</v>
      </c>
      <c r="H37" s="9">
        <v>0.93333333333333335</v>
      </c>
      <c r="I37" s="10">
        <f t="shared" si="4"/>
        <v>4.5833333333333393E-2</v>
      </c>
      <c r="J37" s="11">
        <v>5</v>
      </c>
      <c r="K37" s="11">
        <v>111.41</v>
      </c>
      <c r="L37" s="16">
        <f t="shared" si="5"/>
        <v>20.256363636363609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>
        <v>16.5</v>
      </c>
      <c r="AH37" s="11">
        <v>16.5</v>
      </c>
      <c r="AI37" s="11">
        <v>16.5</v>
      </c>
      <c r="AJ37" s="11">
        <v>16.5</v>
      </c>
      <c r="AK37" s="11"/>
      <c r="AL37" s="14"/>
    </row>
    <row r="38" spans="2:38" ht="25.05" customHeight="1">
      <c r="B38" s="13"/>
      <c r="C38" s="29"/>
      <c r="D38" s="30"/>
      <c r="E38" s="19" t="s">
        <v>250</v>
      </c>
      <c r="F38" s="8" t="s">
        <v>42</v>
      </c>
      <c r="G38" s="9">
        <v>0.93402777777777779</v>
      </c>
      <c r="H38" s="9">
        <v>0.98819444444444449</v>
      </c>
      <c r="I38" s="10">
        <f t="shared" si="4"/>
        <v>5.4166666666666696E-2</v>
      </c>
      <c r="J38" s="11">
        <v>5</v>
      </c>
      <c r="K38" s="11">
        <v>99.82</v>
      </c>
      <c r="L38" s="16">
        <f t="shared" si="5"/>
        <v>15.356923076923067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/>
      <c r="AC38" s="11"/>
      <c r="AD38" s="11"/>
      <c r="AE38" s="11"/>
      <c r="AF38" s="11"/>
      <c r="AG38" s="11">
        <v>19.5</v>
      </c>
      <c r="AH38" s="11">
        <v>19.5</v>
      </c>
      <c r="AI38" s="11">
        <v>19.5</v>
      </c>
      <c r="AJ38" s="11">
        <v>19.5</v>
      </c>
      <c r="AK38" s="11"/>
      <c r="AL38" s="14"/>
    </row>
    <row r="39" spans="2:38" ht="25.05" customHeight="1">
      <c r="B39" s="13"/>
      <c r="C39" s="29"/>
      <c r="D39" s="30"/>
      <c r="E39" s="19" t="s">
        <v>251</v>
      </c>
      <c r="F39" s="8" t="s">
        <v>42</v>
      </c>
      <c r="G39" s="9">
        <v>0.98958333333333337</v>
      </c>
      <c r="H39" s="9">
        <v>1.1006944444444444</v>
      </c>
      <c r="I39" s="10">
        <f t="shared" si="4"/>
        <v>0.11111111111111105</v>
      </c>
      <c r="J39" s="11">
        <v>5</v>
      </c>
      <c r="K39" s="11">
        <v>105.74</v>
      </c>
      <c r="L39" s="16">
        <f t="shared" si="5"/>
        <v>7.9305000000000048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/>
      <c r="AC39" s="11"/>
      <c r="AD39" s="11"/>
      <c r="AE39" s="11"/>
      <c r="AF39" s="11"/>
      <c r="AG39" s="12">
        <f>160/4</f>
        <v>40</v>
      </c>
      <c r="AH39" s="12">
        <f t="shared" ref="AH39:AJ39" si="6">160/4</f>
        <v>40</v>
      </c>
      <c r="AI39" s="12">
        <f t="shared" si="6"/>
        <v>40</v>
      </c>
      <c r="AJ39" s="12">
        <f t="shared" si="6"/>
        <v>40</v>
      </c>
      <c r="AK39" s="11"/>
      <c r="AL39" s="14"/>
    </row>
    <row r="40" spans="2:38" ht="25.05" customHeight="1">
      <c r="B40" s="13"/>
      <c r="C40" s="29"/>
      <c r="D40" s="30"/>
      <c r="E40" s="19" t="s">
        <v>252</v>
      </c>
      <c r="F40" s="8" t="s">
        <v>42</v>
      </c>
      <c r="G40" s="9">
        <v>0.10138888888888889</v>
      </c>
      <c r="H40" s="9">
        <v>0.14374999999999999</v>
      </c>
      <c r="I40" s="10">
        <f t="shared" si="4"/>
        <v>4.2361111111111099E-2</v>
      </c>
      <c r="J40" s="11">
        <v>5</v>
      </c>
      <c r="K40" s="11">
        <v>101.67</v>
      </c>
      <c r="L40" s="16">
        <f t="shared" si="5"/>
        <v>20.000655737704925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/>
      <c r="AD40" s="11"/>
      <c r="AE40" s="11"/>
      <c r="AF40" s="11"/>
      <c r="AG40" s="11">
        <f>61/4</f>
        <v>15.25</v>
      </c>
      <c r="AH40" s="11">
        <f t="shared" ref="AH40:AJ40" si="7">61/4</f>
        <v>15.25</v>
      </c>
      <c r="AI40" s="11">
        <f t="shared" si="7"/>
        <v>15.25</v>
      </c>
      <c r="AJ40" s="11">
        <f t="shared" si="7"/>
        <v>15.25</v>
      </c>
      <c r="AK40" s="11"/>
      <c r="AL40" s="14"/>
    </row>
    <row r="41" spans="2:38" ht="25.05" customHeight="1">
      <c r="B41" s="13"/>
      <c r="C41" s="29"/>
      <c r="D41" s="30"/>
      <c r="E41" s="19" t="s">
        <v>253</v>
      </c>
      <c r="F41" s="8" t="s">
        <v>42</v>
      </c>
      <c r="G41" s="9">
        <v>0.14444444444444443</v>
      </c>
      <c r="H41" s="9">
        <v>0.19375000000000001</v>
      </c>
      <c r="I41" s="10">
        <f t="shared" si="4"/>
        <v>4.9305555555555575E-2</v>
      </c>
      <c r="J41" s="11">
        <v>5</v>
      </c>
      <c r="K41" s="11">
        <v>107.86</v>
      </c>
      <c r="L41" s="16">
        <f t="shared" si="5"/>
        <v>18.229859154929571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/>
      <c r="AD41" s="11"/>
      <c r="AE41" s="11"/>
      <c r="AF41" s="11"/>
      <c r="AG41" s="11">
        <f>71/4</f>
        <v>17.75</v>
      </c>
      <c r="AH41" s="11">
        <f t="shared" ref="AH41:AJ41" si="8">71/4</f>
        <v>17.75</v>
      </c>
      <c r="AI41" s="11">
        <f t="shared" si="8"/>
        <v>17.75</v>
      </c>
      <c r="AJ41" s="11">
        <f t="shared" si="8"/>
        <v>17.75</v>
      </c>
      <c r="AK41" s="11"/>
      <c r="AL41" s="14"/>
    </row>
    <row r="42" spans="2:38" ht="25.05" customHeight="1">
      <c r="B42" s="13"/>
      <c r="C42" s="29"/>
      <c r="D42" s="30"/>
      <c r="E42" s="19"/>
      <c r="F42" s="8" t="s">
        <v>42</v>
      </c>
      <c r="G42" s="9"/>
      <c r="H42" s="9"/>
      <c r="I42" s="10">
        <f t="shared" si="4"/>
        <v>0</v>
      </c>
      <c r="J42" s="11"/>
      <c r="K42" s="11"/>
      <c r="L42" s="16" t="str">
        <f t="shared" si="5"/>
        <v>0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 t="s">
        <v>1813</v>
      </c>
      <c r="E43" s="19" t="s">
        <v>2035</v>
      </c>
      <c r="F43" s="8" t="s">
        <v>42</v>
      </c>
      <c r="G43" s="9">
        <v>0.92013888888888884</v>
      </c>
      <c r="H43" s="9">
        <v>0.93055555555555558</v>
      </c>
      <c r="I43" s="10">
        <f t="shared" si="4"/>
        <v>1.0416666666666741E-2</v>
      </c>
      <c r="J43" s="11">
        <v>4</v>
      </c>
      <c r="K43" s="11">
        <v>77.540000000000006</v>
      </c>
      <c r="L43" s="16">
        <f t="shared" si="5"/>
        <v>77.539999999999452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/>
      <c r="X43" s="11"/>
      <c r="Y43" s="11"/>
      <c r="Z43" s="11"/>
      <c r="AA43" s="11"/>
      <c r="AB43" s="11"/>
      <c r="AC43" s="11"/>
      <c r="AD43" s="11">
        <v>15</v>
      </c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2036</v>
      </c>
      <c r="F44" s="8" t="s">
        <v>42</v>
      </c>
      <c r="G44" s="9">
        <v>0.93958333333333333</v>
      </c>
      <c r="H44" s="9">
        <v>0.97083333333333333</v>
      </c>
      <c r="I44" s="10">
        <f t="shared" si="4"/>
        <v>3.125E-2</v>
      </c>
      <c r="J44" s="11">
        <v>4</v>
      </c>
      <c r="K44" s="11">
        <v>90.84</v>
      </c>
      <c r="L44" s="16">
        <f t="shared" si="5"/>
        <v>30.28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/>
      <c r="AD44" s="11">
        <v>45</v>
      </c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/>
      <c r="F45" s="8" t="s">
        <v>42</v>
      </c>
      <c r="G45" s="9"/>
      <c r="H45" s="9"/>
      <c r="I45" s="10">
        <f t="shared" si="4"/>
        <v>0</v>
      </c>
      <c r="J45" s="11"/>
      <c r="K45" s="11"/>
      <c r="L45" s="16" t="str">
        <f t="shared" si="5"/>
        <v>0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65" t="s">
        <v>712</v>
      </c>
      <c r="E46" s="19" t="s">
        <v>814</v>
      </c>
      <c r="F46" s="8" t="s">
        <v>42</v>
      </c>
      <c r="G46" s="9">
        <v>0.86597222222222225</v>
      </c>
      <c r="H46" s="9">
        <v>0.86944444444444446</v>
      </c>
      <c r="I46" s="10">
        <f t="shared" si="4"/>
        <v>3.4722222222222099E-3</v>
      </c>
      <c r="J46" s="11">
        <v>5</v>
      </c>
      <c r="K46" s="11">
        <v>10.24</v>
      </c>
      <c r="L46" s="16">
        <f t="shared" si="5"/>
        <v>24.576000000000089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>
        <v>5</v>
      </c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815</v>
      </c>
      <c r="F47" s="8" t="s">
        <v>42</v>
      </c>
      <c r="G47" s="9">
        <v>0.86597222222222225</v>
      </c>
      <c r="H47" s="9">
        <v>0.86944444444444446</v>
      </c>
      <c r="I47" s="10">
        <f t="shared" si="4"/>
        <v>3.4722222222222099E-3</v>
      </c>
      <c r="J47" s="11">
        <v>5</v>
      </c>
      <c r="K47" s="11">
        <v>10.48</v>
      </c>
      <c r="L47" s="16">
        <f t="shared" si="5"/>
        <v>25.15200000000009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>
        <v>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816</v>
      </c>
      <c r="F48" s="8" t="s">
        <v>42</v>
      </c>
      <c r="G48" s="9">
        <v>0.86597222222222225</v>
      </c>
      <c r="H48" s="9">
        <v>0.86944444444444446</v>
      </c>
      <c r="I48" s="10">
        <f t="shared" si="4"/>
        <v>3.4722222222222099E-3</v>
      </c>
      <c r="J48" s="11">
        <v>5</v>
      </c>
      <c r="K48" s="11">
        <v>10.28</v>
      </c>
      <c r="L48" s="16">
        <f t="shared" si="5"/>
        <v>24.672000000000086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>
        <v>5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817</v>
      </c>
      <c r="F49" s="8" t="s">
        <v>42</v>
      </c>
      <c r="G49" s="9">
        <v>0.87708333333333333</v>
      </c>
      <c r="H49" s="9">
        <v>0.88055555555555554</v>
      </c>
      <c r="I49" s="10">
        <f t="shared" si="4"/>
        <v>3.4722222222222099E-3</v>
      </c>
      <c r="J49" s="11">
        <v>5</v>
      </c>
      <c r="K49" s="11">
        <v>10.18</v>
      </c>
      <c r="L49" s="16">
        <f t="shared" si="5"/>
        <v>24.432000000000087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>
        <v>5</v>
      </c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818</v>
      </c>
      <c r="F50" s="8" t="s">
        <v>42</v>
      </c>
      <c r="G50" s="9">
        <v>0.87708333333333333</v>
      </c>
      <c r="H50" s="9">
        <v>0.88055555555555554</v>
      </c>
      <c r="I50" s="10">
        <f t="shared" si="4"/>
        <v>3.4722222222222099E-3</v>
      </c>
      <c r="J50" s="11">
        <v>5</v>
      </c>
      <c r="K50" s="11">
        <v>10.24</v>
      </c>
      <c r="L50" s="16">
        <f t="shared" si="5"/>
        <v>24.576000000000089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>
        <v>5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819</v>
      </c>
      <c r="F51" s="8" t="s">
        <v>42</v>
      </c>
      <c r="G51" s="9">
        <v>0.87708333333333333</v>
      </c>
      <c r="H51" s="9">
        <v>0.88055555555555554</v>
      </c>
      <c r="I51" s="10">
        <f t="shared" si="4"/>
        <v>3.4722222222222099E-3</v>
      </c>
      <c r="J51" s="11">
        <v>5</v>
      </c>
      <c r="K51" s="11">
        <v>10.32</v>
      </c>
      <c r="L51" s="16">
        <f t="shared" si="5"/>
        <v>24.768000000000089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>
        <v>5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820</v>
      </c>
      <c r="F52" s="8" t="s">
        <v>42</v>
      </c>
      <c r="G52" s="9">
        <v>0.89027777777777772</v>
      </c>
      <c r="H52" s="9">
        <v>0.89375000000000004</v>
      </c>
      <c r="I52" s="10">
        <f t="shared" si="4"/>
        <v>3.4722222222223209E-3</v>
      </c>
      <c r="J52" s="11">
        <v>5</v>
      </c>
      <c r="K52" s="12">
        <v>10.3</v>
      </c>
      <c r="L52" s="16">
        <f t="shared" si="5"/>
        <v>24.719999999999299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>
        <v>5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821</v>
      </c>
      <c r="F53" s="8" t="s">
        <v>42</v>
      </c>
      <c r="G53" s="9">
        <v>0.89027777777777772</v>
      </c>
      <c r="H53" s="9">
        <v>0.89375000000000004</v>
      </c>
      <c r="I53" s="10">
        <f t="shared" si="4"/>
        <v>3.4722222222223209E-3</v>
      </c>
      <c r="J53" s="11">
        <v>5</v>
      </c>
      <c r="K53" s="11">
        <v>10.14</v>
      </c>
      <c r="L53" s="16">
        <f t="shared" si="5"/>
        <v>24.335999999999313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>
        <v>5</v>
      </c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822</v>
      </c>
      <c r="F54" s="14"/>
      <c r="G54" s="9">
        <v>0.89027777777777772</v>
      </c>
      <c r="H54" s="9">
        <v>0.89375000000000004</v>
      </c>
      <c r="I54" s="10">
        <f t="shared" si="4"/>
        <v>3.4722222222223209E-3</v>
      </c>
      <c r="J54" s="11">
        <v>5</v>
      </c>
      <c r="K54" s="11">
        <v>10.18</v>
      </c>
      <c r="L54" s="16">
        <f t="shared" si="5"/>
        <v>24.431999999999306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>
        <v>5</v>
      </c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823</v>
      </c>
      <c r="F55" s="8" t="s">
        <v>42</v>
      </c>
      <c r="G55" s="9">
        <v>0.89583333333333337</v>
      </c>
      <c r="H55" s="9">
        <v>0.89930555555555558</v>
      </c>
      <c r="I55" s="10">
        <f t="shared" ref="I55:I72" si="9">H55-G55</f>
        <v>3.4722222222222099E-3</v>
      </c>
      <c r="J55" s="11">
        <v>5</v>
      </c>
      <c r="K55" s="11">
        <v>10.34</v>
      </c>
      <c r="L55" s="16">
        <f t="shared" ref="L55:L72" si="10">IFERROR(((K55/(J55*I55)/24)),"0")</f>
        <v>24.816000000000088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>
        <v>5</v>
      </c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824</v>
      </c>
      <c r="F56" s="8" t="s">
        <v>42</v>
      </c>
      <c r="G56" s="9">
        <v>0.89583333333333337</v>
      </c>
      <c r="H56" s="9">
        <v>0.89930555555555558</v>
      </c>
      <c r="I56" s="10">
        <f t="shared" si="9"/>
        <v>3.4722222222222099E-3</v>
      </c>
      <c r="J56" s="11">
        <v>5</v>
      </c>
      <c r="K56" s="11">
        <v>10.220000000000001</v>
      </c>
      <c r="L56" s="16">
        <f t="shared" si="10"/>
        <v>24.528000000000088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>
        <v>5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825</v>
      </c>
      <c r="F57" s="8" t="s">
        <v>42</v>
      </c>
      <c r="G57" s="9">
        <v>0.90138888888888891</v>
      </c>
      <c r="H57" s="9">
        <v>0.90486111111111112</v>
      </c>
      <c r="I57" s="10">
        <f t="shared" si="9"/>
        <v>3.4722222222222099E-3</v>
      </c>
      <c r="J57" s="11">
        <v>5</v>
      </c>
      <c r="K57" s="11">
        <v>10.16</v>
      </c>
      <c r="L57" s="16">
        <f t="shared" si="10"/>
        <v>24.384000000000086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>
        <v>5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826</v>
      </c>
      <c r="F58" s="8" t="s">
        <v>42</v>
      </c>
      <c r="G58" s="9">
        <v>0.90138888888888891</v>
      </c>
      <c r="H58" s="9">
        <v>0.90486111111111112</v>
      </c>
      <c r="I58" s="10">
        <f t="shared" si="9"/>
        <v>3.4722222222222099E-3</v>
      </c>
      <c r="J58" s="11">
        <v>5</v>
      </c>
      <c r="K58" s="11">
        <v>10.28</v>
      </c>
      <c r="L58" s="16">
        <f t="shared" si="10"/>
        <v>24.672000000000086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>
        <v>5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2037</v>
      </c>
      <c r="F59" s="8" t="s">
        <v>42</v>
      </c>
      <c r="G59" s="9">
        <v>0.92152777777777772</v>
      </c>
      <c r="H59" s="9">
        <v>0.93194444444444446</v>
      </c>
      <c r="I59" s="10">
        <f t="shared" si="9"/>
        <v>1.0416666666666741E-2</v>
      </c>
      <c r="J59" s="11">
        <v>5</v>
      </c>
      <c r="K59" s="11">
        <v>59.28</v>
      </c>
      <c r="L59" s="16">
        <f t="shared" si="10"/>
        <v>47.423999999999666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2">
        <f>15/2</f>
        <v>7.5</v>
      </c>
      <c r="Y59" s="12">
        <f>15/2</f>
        <v>7.5</v>
      </c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2038</v>
      </c>
      <c r="F60" s="8" t="s">
        <v>42</v>
      </c>
      <c r="G60" s="9">
        <v>0.92291666666666672</v>
      </c>
      <c r="H60" s="9">
        <v>0.9375</v>
      </c>
      <c r="I60" s="10">
        <f t="shared" si="9"/>
        <v>1.4583333333333282E-2</v>
      </c>
      <c r="J60" s="11">
        <v>5</v>
      </c>
      <c r="K60" s="11">
        <v>56.13</v>
      </c>
      <c r="L60" s="16">
        <f t="shared" si="10"/>
        <v>32.074285714285828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/>
      <c r="Z60" s="12">
        <v>10.5</v>
      </c>
      <c r="AA60" s="12">
        <v>10.5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2039</v>
      </c>
      <c r="F61" s="8" t="s">
        <v>42</v>
      </c>
      <c r="G61" s="9">
        <v>0.9375</v>
      </c>
      <c r="H61" s="9">
        <v>0.94791666666666663</v>
      </c>
      <c r="I61" s="10">
        <f t="shared" si="9"/>
        <v>1.041666666666663E-2</v>
      </c>
      <c r="J61" s="11">
        <v>5</v>
      </c>
      <c r="K61" s="11">
        <v>59.58</v>
      </c>
      <c r="L61" s="16">
        <f t="shared" si="10"/>
        <v>47.664000000000165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2">
        <v>7.5</v>
      </c>
      <c r="Y61" s="12">
        <v>7.5</v>
      </c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2040</v>
      </c>
      <c r="F62" s="8" t="s">
        <v>42</v>
      </c>
      <c r="G62" s="9">
        <v>0.94374999999999998</v>
      </c>
      <c r="H62" s="9">
        <v>0.95694444444444449</v>
      </c>
      <c r="I62" s="10">
        <f t="shared" si="9"/>
        <v>1.3194444444444509E-2</v>
      </c>
      <c r="J62" s="11">
        <v>5</v>
      </c>
      <c r="K62" s="11">
        <v>59.88</v>
      </c>
      <c r="L62" s="16">
        <f t="shared" si="10"/>
        <v>37.818947368420872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2</v>
      </c>
      <c r="X62" s="11"/>
      <c r="Y62" s="11"/>
      <c r="Z62" s="12">
        <f>19/2</f>
        <v>9.5</v>
      </c>
      <c r="AA62" s="12">
        <f>19/2</f>
        <v>9.5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2041</v>
      </c>
      <c r="F63" s="8" t="s">
        <v>42</v>
      </c>
      <c r="G63" s="9">
        <v>0.95277777777777772</v>
      </c>
      <c r="H63" s="9">
        <v>0.96458333333333335</v>
      </c>
      <c r="I63" s="10">
        <f t="shared" si="9"/>
        <v>1.1805555555555625E-2</v>
      </c>
      <c r="J63" s="11">
        <v>5</v>
      </c>
      <c r="K63" s="11">
        <v>61.06</v>
      </c>
      <c r="L63" s="16">
        <f t="shared" si="10"/>
        <v>43.10117647058798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2">
        <f>17/2</f>
        <v>8.5</v>
      </c>
      <c r="Y63" s="12">
        <f>17/2</f>
        <v>8.5</v>
      </c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2042</v>
      </c>
      <c r="F64" s="8" t="s">
        <v>42</v>
      </c>
      <c r="G64" s="9">
        <v>0.95625000000000004</v>
      </c>
      <c r="H64" s="9">
        <v>0.97083333333333333</v>
      </c>
      <c r="I64" s="10">
        <f t="shared" si="9"/>
        <v>1.4583333333333282E-2</v>
      </c>
      <c r="J64" s="11">
        <v>5</v>
      </c>
      <c r="K64" s="11">
        <v>58.36</v>
      </c>
      <c r="L64" s="16">
        <f t="shared" si="10"/>
        <v>33.348571428571546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2</v>
      </c>
      <c r="X64" s="11"/>
      <c r="Y64" s="11"/>
      <c r="Z64" s="12">
        <v>10.5</v>
      </c>
      <c r="AA64" s="12">
        <v>10.5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2043</v>
      </c>
      <c r="F65" s="8" t="s">
        <v>42</v>
      </c>
      <c r="G65" s="9">
        <v>0.96527777777777779</v>
      </c>
      <c r="H65" s="9">
        <v>0.97638888888888886</v>
      </c>
      <c r="I65" s="10">
        <f t="shared" si="9"/>
        <v>1.1111111111111072E-2</v>
      </c>
      <c r="J65" s="11">
        <v>5</v>
      </c>
      <c r="K65" s="11">
        <v>62.48</v>
      </c>
      <c r="L65" s="16">
        <f t="shared" si="10"/>
        <v>46.860000000000163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2">
        <f>16/2</f>
        <v>8</v>
      </c>
      <c r="Y65" s="12">
        <f>16/2</f>
        <v>8</v>
      </c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2044</v>
      </c>
      <c r="F66" s="8" t="s">
        <v>42</v>
      </c>
      <c r="G66" s="9">
        <v>0.96875</v>
      </c>
      <c r="H66" s="9">
        <v>0.98402777777777772</v>
      </c>
      <c r="I66" s="10">
        <f t="shared" si="9"/>
        <v>1.5277777777777724E-2</v>
      </c>
      <c r="J66" s="11">
        <v>5</v>
      </c>
      <c r="K66" s="11">
        <v>59.28</v>
      </c>
      <c r="L66" s="16">
        <f t="shared" si="10"/>
        <v>32.334545454545569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2</v>
      </c>
      <c r="X66" s="11"/>
      <c r="Y66" s="11"/>
      <c r="Z66" s="12">
        <f>22/2</f>
        <v>11</v>
      </c>
      <c r="AA66" s="12">
        <f>22/2</f>
        <v>11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2045</v>
      </c>
      <c r="F67" s="14"/>
      <c r="G67" s="9">
        <v>0.9770833333333333</v>
      </c>
      <c r="H67" s="9">
        <v>0.98958333333333337</v>
      </c>
      <c r="I67" s="10">
        <f t="shared" si="9"/>
        <v>1.2500000000000067E-2</v>
      </c>
      <c r="J67" s="11">
        <v>5</v>
      </c>
      <c r="K67" s="11">
        <v>59.71</v>
      </c>
      <c r="L67" s="16">
        <f t="shared" si="10"/>
        <v>39.806666666666452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2</v>
      </c>
      <c r="X67" s="12">
        <f>18/2</f>
        <v>9</v>
      </c>
      <c r="Y67" s="11"/>
      <c r="Z67" s="11"/>
      <c r="AA67" s="12">
        <f>18/2</f>
        <v>9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2046</v>
      </c>
      <c r="F68" s="8" t="s">
        <v>42</v>
      </c>
      <c r="G68" s="9">
        <v>0.98263888888888884</v>
      </c>
      <c r="H68" s="9">
        <v>0.99791666666666667</v>
      </c>
      <c r="I68" s="10">
        <f t="shared" si="9"/>
        <v>1.5277777777777835E-2</v>
      </c>
      <c r="J68" s="11">
        <v>5</v>
      </c>
      <c r="K68" s="11">
        <v>57.96</v>
      </c>
      <c r="L68" s="16">
        <f t="shared" si="10"/>
        <v>31.614545454545336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2</v>
      </c>
      <c r="X68" s="11"/>
      <c r="Y68" s="12">
        <f>22/2</f>
        <v>11</v>
      </c>
      <c r="Z68" s="12">
        <f>22/2</f>
        <v>11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2047</v>
      </c>
      <c r="F69" s="8" t="s">
        <v>42</v>
      </c>
      <c r="G69" s="9">
        <v>0.98958333333333337</v>
      </c>
      <c r="H69" s="9">
        <v>1.0027777777777778</v>
      </c>
      <c r="I69" s="10">
        <f t="shared" si="9"/>
        <v>1.3194444444444398E-2</v>
      </c>
      <c r="J69" s="11">
        <v>5</v>
      </c>
      <c r="K69" s="11">
        <v>68.790000000000006</v>
      </c>
      <c r="L69" s="16">
        <f t="shared" si="10"/>
        <v>43.446315789473836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2</v>
      </c>
      <c r="X69" s="12">
        <f>19/2</f>
        <v>9.5</v>
      </c>
      <c r="Y69" s="11"/>
      <c r="Z69" s="11"/>
      <c r="AA69" s="12">
        <f>19/2</f>
        <v>9.5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2048</v>
      </c>
      <c r="F70" s="8" t="s">
        <v>42</v>
      </c>
      <c r="G70" s="9">
        <v>0.99444444444444446</v>
      </c>
      <c r="H70" s="9">
        <v>1.0104166666666667</v>
      </c>
      <c r="I70" s="10">
        <f t="shared" si="9"/>
        <v>1.5972222222222276E-2</v>
      </c>
      <c r="J70" s="11">
        <v>5</v>
      </c>
      <c r="K70" s="11">
        <v>57.66</v>
      </c>
      <c r="L70" s="16">
        <f t="shared" si="10"/>
        <v>30.083478260869459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2</v>
      </c>
      <c r="X70" s="11"/>
      <c r="Y70" s="12">
        <f>23/2</f>
        <v>11.5</v>
      </c>
      <c r="Z70" s="12">
        <f>23/2</f>
        <v>11.5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2049</v>
      </c>
      <c r="F71" s="8" t="s">
        <v>42</v>
      </c>
      <c r="G71" s="9">
        <v>1.0027777777777778</v>
      </c>
      <c r="H71" s="9">
        <v>1.0159722222222223</v>
      </c>
      <c r="I71" s="10">
        <f t="shared" si="9"/>
        <v>1.3194444444444509E-2</v>
      </c>
      <c r="J71" s="11">
        <v>5</v>
      </c>
      <c r="K71" s="11">
        <v>58.78</v>
      </c>
      <c r="L71" s="16">
        <f t="shared" si="10"/>
        <v>37.124210526315608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2">
        <f>19/2</f>
        <v>9.5</v>
      </c>
      <c r="Y71" s="11"/>
      <c r="Z71" s="11"/>
      <c r="AA71" s="12">
        <f>19/2</f>
        <v>9.5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2050</v>
      </c>
      <c r="F72" s="8"/>
      <c r="G72" s="9">
        <v>8.3333333333333332E-3</v>
      </c>
      <c r="H72" s="9">
        <v>1.0222222222222221</v>
      </c>
      <c r="I72" s="10">
        <f t="shared" si="9"/>
        <v>1.0138888888888888</v>
      </c>
      <c r="J72" s="11">
        <v>5</v>
      </c>
      <c r="K72" s="11">
        <v>59.34</v>
      </c>
      <c r="L72" s="16">
        <f t="shared" si="10"/>
        <v>0.48772602739726029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/>
      <c r="Y72" s="12">
        <f>20/2</f>
        <v>10</v>
      </c>
      <c r="Z72" s="12">
        <f>20/2</f>
        <v>10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2051</v>
      </c>
      <c r="F73" s="8" t="s">
        <v>42</v>
      </c>
      <c r="G73" s="9">
        <v>0.94305555555555554</v>
      </c>
      <c r="H73" s="9">
        <v>0.97013888888888888</v>
      </c>
      <c r="I73" s="10">
        <f t="shared" ref="I73:I82" si="11">H73-G73</f>
        <v>2.7083333333333348E-2</v>
      </c>
      <c r="J73" s="11">
        <v>4</v>
      </c>
      <c r="K73" s="12">
        <v>140.4</v>
      </c>
      <c r="L73" s="16">
        <f t="shared" ref="L73:L82" si="12">IFERROR(((K73/(J73*I73)/24)),"0")</f>
        <v>53.999999999999972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2</v>
      </c>
      <c r="W73" s="12"/>
      <c r="X73" s="11"/>
      <c r="Y73" s="11"/>
      <c r="Z73" s="11"/>
      <c r="AA73" s="11"/>
      <c r="AB73" s="11">
        <v>39</v>
      </c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2052</v>
      </c>
      <c r="F74" s="8" t="s">
        <v>42</v>
      </c>
      <c r="G74" s="9">
        <v>0.9770833333333333</v>
      </c>
      <c r="H74" s="9">
        <v>1.3888888888888889E-3</v>
      </c>
      <c r="I74" s="10">
        <v>2.4305555555555556E-2</v>
      </c>
      <c r="J74" s="11">
        <v>4</v>
      </c>
      <c r="K74" s="12">
        <v>143.1</v>
      </c>
      <c r="L74" s="16">
        <f t="shared" si="12"/>
        <v>61.328571428571422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/>
      <c r="Z74" s="11"/>
      <c r="AA74" s="11"/>
      <c r="AB74" s="11"/>
      <c r="AC74" s="11"/>
      <c r="AD74" s="11">
        <v>35</v>
      </c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2053</v>
      </c>
      <c r="F75" s="8" t="s">
        <v>42</v>
      </c>
      <c r="G75" s="9">
        <v>0.9770833333333333</v>
      </c>
      <c r="H75" s="9">
        <v>4.8611111111111112E-3</v>
      </c>
      <c r="I75" s="10">
        <v>2.7777777777777776E-2</v>
      </c>
      <c r="J75" s="11">
        <v>4</v>
      </c>
      <c r="K75" s="11">
        <v>140.08000000000001</v>
      </c>
      <c r="L75" s="16">
        <f t="shared" si="12"/>
        <v>52.530000000000008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2</v>
      </c>
      <c r="W75" s="12"/>
      <c r="X75" s="11"/>
      <c r="Y75" s="11"/>
      <c r="Z75" s="11"/>
      <c r="AA75" s="11"/>
      <c r="AB75" s="11">
        <v>40</v>
      </c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2054</v>
      </c>
      <c r="F76" s="8" t="s">
        <v>42</v>
      </c>
      <c r="G76" s="9">
        <v>5.9722222222222225E-2</v>
      </c>
      <c r="H76" s="9">
        <v>8.5416666666666669E-2</v>
      </c>
      <c r="I76" s="10">
        <f t="shared" si="11"/>
        <v>2.5694444444444443E-2</v>
      </c>
      <c r="J76" s="11">
        <v>4</v>
      </c>
      <c r="K76" s="12">
        <v>140</v>
      </c>
      <c r="L76" s="16">
        <f t="shared" si="12"/>
        <v>56.756756756756765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/>
      <c r="AA76" s="11"/>
      <c r="AB76" s="11">
        <v>37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2055</v>
      </c>
      <c r="F77" s="8" t="s">
        <v>42</v>
      </c>
      <c r="G77" s="9">
        <v>6.0416666666666667E-2</v>
      </c>
      <c r="H77" s="9">
        <v>8.8888888888888892E-2</v>
      </c>
      <c r="I77" s="10">
        <f t="shared" si="11"/>
        <v>2.8472222222222225E-2</v>
      </c>
      <c r="J77" s="11">
        <v>4</v>
      </c>
      <c r="K77" s="11">
        <v>142.31</v>
      </c>
      <c r="L77" s="16">
        <f t="shared" si="12"/>
        <v>52.064634146341461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2</v>
      </c>
      <c r="W77" s="12"/>
      <c r="X77" s="11"/>
      <c r="Y77" s="11"/>
      <c r="Z77" s="11"/>
      <c r="AA77" s="11"/>
      <c r="AB77" s="11"/>
      <c r="AC77" s="11">
        <v>41</v>
      </c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2056</v>
      </c>
      <c r="F78" s="8" t="s">
        <v>42</v>
      </c>
      <c r="G78" s="9">
        <v>6.5972222222222224E-2</v>
      </c>
      <c r="H78" s="9">
        <v>8.8888888888888892E-2</v>
      </c>
      <c r="I78" s="10">
        <f t="shared" si="11"/>
        <v>2.2916666666666669E-2</v>
      </c>
      <c r="J78" s="11">
        <v>4</v>
      </c>
      <c r="K78" s="11">
        <v>138.75</v>
      </c>
      <c r="L78" s="16">
        <f t="shared" si="12"/>
        <v>63.068181818181813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/>
      <c r="Z78" s="11"/>
      <c r="AA78" s="11"/>
      <c r="AB78" s="11"/>
      <c r="AC78" s="11"/>
      <c r="AD78" s="11">
        <v>33</v>
      </c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2057</v>
      </c>
      <c r="F79" s="8" t="s">
        <v>42</v>
      </c>
      <c r="G79" s="9">
        <v>9.3055555555555558E-2</v>
      </c>
      <c r="H79" s="9">
        <v>0.11527777777777778</v>
      </c>
      <c r="I79" s="10">
        <f t="shared" si="11"/>
        <v>2.2222222222222227E-2</v>
      </c>
      <c r="J79" s="11">
        <v>4</v>
      </c>
      <c r="K79" s="11">
        <v>145.19</v>
      </c>
      <c r="L79" s="16">
        <f t="shared" si="12"/>
        <v>68.057812499999983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2</v>
      </c>
      <c r="W79" s="12"/>
      <c r="X79" s="11"/>
      <c r="Y79" s="11"/>
      <c r="Z79" s="11"/>
      <c r="AA79" s="11"/>
      <c r="AB79" s="11">
        <v>32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2058</v>
      </c>
      <c r="F80" s="8" t="s">
        <v>42</v>
      </c>
      <c r="G80" s="9">
        <v>9.7916666666666666E-2</v>
      </c>
      <c r="H80" s="9">
        <v>0.12013888888888889</v>
      </c>
      <c r="I80" s="10">
        <f t="shared" si="11"/>
        <v>2.2222222222222227E-2</v>
      </c>
      <c r="J80" s="11">
        <v>4</v>
      </c>
      <c r="K80" s="11">
        <v>142.09</v>
      </c>
      <c r="L80" s="16">
        <f t="shared" si="12"/>
        <v>66.604687499999997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/>
      <c r="Y80" s="11"/>
      <c r="Z80" s="11"/>
      <c r="AA80" s="11"/>
      <c r="AB80" s="11"/>
      <c r="AC80" s="11">
        <v>32</v>
      </c>
      <c r="AD80" s="11"/>
      <c r="AE80" s="11"/>
      <c r="AF80" s="11"/>
      <c r="AG80" s="11"/>
      <c r="AH80" s="11"/>
      <c r="AI80" s="11"/>
      <c r="AJ80" s="11"/>
      <c r="AK80" s="11"/>
      <c r="AL80" s="14"/>
    </row>
    <row r="81" spans="1:38" ht="25.05" customHeight="1">
      <c r="B81" s="13"/>
      <c r="C81" s="29"/>
      <c r="D81" s="30"/>
      <c r="E81" s="19" t="s">
        <v>2059</v>
      </c>
      <c r="F81" s="8" t="s">
        <v>42</v>
      </c>
      <c r="G81" s="9">
        <v>0.12430555555555556</v>
      </c>
      <c r="H81" s="9">
        <v>0.14652777777777778</v>
      </c>
      <c r="I81" s="10">
        <f t="shared" si="11"/>
        <v>2.2222222222222227E-2</v>
      </c>
      <c r="J81" s="11">
        <v>4</v>
      </c>
      <c r="K81" s="11">
        <v>143.19999999999999</v>
      </c>
      <c r="L81" s="16">
        <f t="shared" si="12"/>
        <v>67.124999999999986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/>
      <c r="AA81" s="11"/>
      <c r="AB81" s="11">
        <v>32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1:38" ht="25.05" customHeight="1">
      <c r="B82" s="13"/>
      <c r="C82" s="29"/>
      <c r="D82" s="30"/>
      <c r="E82" s="19" t="s">
        <v>2060</v>
      </c>
      <c r="F82" s="8" t="s">
        <v>42</v>
      </c>
      <c r="G82" s="9">
        <v>0.13263888888888889</v>
      </c>
      <c r="H82" s="9">
        <v>0.15763888888888888</v>
      </c>
      <c r="I82" s="10">
        <f t="shared" si="11"/>
        <v>2.4999999999999994E-2</v>
      </c>
      <c r="J82" s="11">
        <v>4</v>
      </c>
      <c r="K82" s="11">
        <v>137.72</v>
      </c>
      <c r="L82" s="16">
        <f t="shared" si="12"/>
        <v>57.383333333333347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2</v>
      </c>
      <c r="X82" s="11"/>
      <c r="Y82" s="11"/>
      <c r="Z82" s="11"/>
      <c r="AA82" s="11"/>
      <c r="AB82" s="11"/>
      <c r="AC82" s="11">
        <v>36</v>
      </c>
      <c r="AD82" s="11"/>
      <c r="AE82" s="11"/>
      <c r="AF82" s="11"/>
      <c r="AG82" s="11"/>
      <c r="AH82" s="11"/>
      <c r="AI82" s="11"/>
      <c r="AJ82" s="11"/>
      <c r="AK82" s="11"/>
      <c r="AL82" s="14"/>
    </row>
    <row r="83" spans="1:38" ht="25.05" customHeight="1">
      <c r="B83" s="13"/>
      <c r="C83" s="29"/>
      <c r="D83" s="30"/>
      <c r="E83" s="19" t="s">
        <v>2061</v>
      </c>
      <c r="F83" s="8" t="s">
        <v>42</v>
      </c>
      <c r="G83" s="9">
        <v>0.15208333333333332</v>
      </c>
      <c r="H83" s="9">
        <v>0.17291666666666666</v>
      </c>
      <c r="I83" s="10">
        <f t="shared" ref="I83:I86" si="13">H83-G83</f>
        <v>2.0833333333333343E-2</v>
      </c>
      <c r="J83" s="11">
        <v>4</v>
      </c>
      <c r="K83" s="11">
        <v>145.9</v>
      </c>
      <c r="L83" s="16">
        <f t="shared" ref="L83:L86" si="14">IFERROR(((K83/(J83*I83)/24)),"0")</f>
        <v>72.949999999999974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/>
      <c r="AB83" s="11">
        <v>30</v>
      </c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1:38" ht="25.05" customHeight="1">
      <c r="B84" s="13"/>
      <c r="C84" s="29"/>
      <c r="D84" s="30"/>
      <c r="E84" s="19" t="s">
        <v>2062</v>
      </c>
      <c r="F84" s="8" t="s">
        <v>42</v>
      </c>
      <c r="G84" s="9">
        <v>0.16944444444444445</v>
      </c>
      <c r="H84" s="9">
        <v>0.19166666666666668</v>
      </c>
      <c r="I84" s="10">
        <f t="shared" si="13"/>
        <v>2.2222222222222227E-2</v>
      </c>
      <c r="J84" s="11">
        <v>4</v>
      </c>
      <c r="K84" s="11">
        <v>141.58000000000001</v>
      </c>
      <c r="L84" s="16">
        <f t="shared" si="14"/>
        <v>66.365624999999994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/>
      <c r="Y84" s="11"/>
      <c r="Z84" s="11"/>
      <c r="AA84" s="11"/>
      <c r="AB84" s="11"/>
      <c r="AC84" s="11">
        <v>32</v>
      </c>
      <c r="AD84" s="11"/>
      <c r="AE84" s="11"/>
      <c r="AF84" s="11"/>
      <c r="AG84" s="11"/>
      <c r="AH84" s="11"/>
      <c r="AI84" s="11"/>
      <c r="AJ84" s="11"/>
      <c r="AK84" s="11"/>
      <c r="AL84" s="14"/>
    </row>
    <row r="85" spans="1:38" ht="25.05" customHeight="1">
      <c r="B85" s="13"/>
      <c r="C85" s="29"/>
      <c r="D85" s="30"/>
      <c r="E85" s="19" t="s">
        <v>2063</v>
      </c>
      <c r="F85" s="8" t="s">
        <v>42</v>
      </c>
      <c r="G85" s="9">
        <v>0.18194444444444444</v>
      </c>
      <c r="H85" s="9">
        <v>0.20416666666666666</v>
      </c>
      <c r="I85" s="10">
        <f t="shared" si="13"/>
        <v>2.2222222222222227E-2</v>
      </c>
      <c r="J85" s="11">
        <v>4</v>
      </c>
      <c r="K85" s="11">
        <v>142.69999999999999</v>
      </c>
      <c r="L85" s="16">
        <f t="shared" si="14"/>
        <v>66.890624999999986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2</v>
      </c>
      <c r="W85" s="12"/>
      <c r="X85" s="11"/>
      <c r="Y85" s="11"/>
      <c r="Z85" s="11"/>
      <c r="AA85" s="11"/>
      <c r="AB85" s="11">
        <v>32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1:38" ht="25.05" customHeight="1">
      <c r="B86" s="13"/>
      <c r="C86" s="29"/>
      <c r="D86" s="30"/>
      <c r="E86" s="19" t="s">
        <v>2064</v>
      </c>
      <c r="F86" s="8" t="s">
        <v>42</v>
      </c>
      <c r="G86" s="9">
        <v>0.83333333333333337</v>
      </c>
      <c r="H86" s="9">
        <v>0.84375</v>
      </c>
      <c r="I86" s="10">
        <f t="shared" si="13"/>
        <v>1.041666666666663E-2</v>
      </c>
      <c r="J86" s="11">
        <v>1</v>
      </c>
      <c r="K86" s="11">
        <v>1.3</v>
      </c>
      <c r="L86" s="16">
        <f t="shared" si="14"/>
        <v>5.2000000000000188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15</v>
      </c>
      <c r="W86" s="12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1:38" ht="25.05" customHeight="1">
      <c r="B87" s="13"/>
      <c r="C87" s="29"/>
      <c r="D87" s="30"/>
      <c r="E87" s="19"/>
      <c r="F87" s="8" t="s">
        <v>42</v>
      </c>
      <c r="G87" s="9"/>
      <c r="H87" s="9"/>
      <c r="I87" s="10">
        <v>4</v>
      </c>
      <c r="J87" s="11"/>
      <c r="K87" s="11"/>
      <c r="L87" s="16" t="str">
        <f t="shared" ref="L87" si="15">IFERROR(((K87/(J87*I87)/24)),"0")</f>
        <v>0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1:38" s="28" customFormat="1" ht="25.5" customHeight="1">
      <c r="A88" s="2"/>
      <c r="B88" s="32"/>
      <c r="C88" s="33"/>
      <c r="D88" s="34"/>
      <c r="E88" s="35"/>
      <c r="F88" s="35"/>
      <c r="G88" s="36"/>
      <c r="H88" s="36"/>
      <c r="I88" s="37"/>
      <c r="J88" s="38"/>
      <c r="K88" s="38">
        <f t="shared" ref="K88:AL88" si="16">SUM(K28:K87)</f>
        <v>4264.2700000000004</v>
      </c>
      <c r="L88" s="39">
        <f t="shared" si="16"/>
        <v>2234.3562863643224</v>
      </c>
      <c r="M88" s="38">
        <f t="shared" si="16"/>
        <v>0</v>
      </c>
      <c r="N88" s="38">
        <f t="shared" si="16"/>
        <v>0</v>
      </c>
      <c r="O88" s="38">
        <f t="shared" si="16"/>
        <v>0</v>
      </c>
      <c r="P88" s="38">
        <f t="shared" si="16"/>
        <v>0</v>
      </c>
      <c r="Q88" s="38">
        <f t="shared" si="16"/>
        <v>0</v>
      </c>
      <c r="R88" s="38">
        <f t="shared" si="16"/>
        <v>0</v>
      </c>
      <c r="S88" s="38">
        <f t="shared" si="16"/>
        <v>0</v>
      </c>
      <c r="T88" s="38">
        <f t="shared" si="16"/>
        <v>0</v>
      </c>
      <c r="U88" s="38">
        <f t="shared" si="16"/>
        <v>0</v>
      </c>
      <c r="V88" s="38">
        <f t="shared" si="16"/>
        <v>77</v>
      </c>
      <c r="W88" s="38">
        <f t="shared" si="16"/>
        <v>44</v>
      </c>
      <c r="X88" s="38">
        <f t="shared" si="16"/>
        <v>59.5</v>
      </c>
      <c r="Y88" s="38">
        <f t="shared" si="16"/>
        <v>64</v>
      </c>
      <c r="Z88" s="38">
        <f t="shared" si="16"/>
        <v>139</v>
      </c>
      <c r="AA88" s="38">
        <f t="shared" si="16"/>
        <v>69.5</v>
      </c>
      <c r="AB88" s="38">
        <f t="shared" si="16"/>
        <v>334</v>
      </c>
      <c r="AC88" s="38">
        <f t="shared" si="16"/>
        <v>216</v>
      </c>
      <c r="AD88" s="38">
        <f t="shared" si="16"/>
        <v>156</v>
      </c>
      <c r="AE88" s="38">
        <f t="shared" si="16"/>
        <v>0</v>
      </c>
      <c r="AF88" s="38">
        <f t="shared" si="16"/>
        <v>0</v>
      </c>
      <c r="AG88" s="38">
        <f t="shared" si="16"/>
        <v>124.5</v>
      </c>
      <c r="AH88" s="38">
        <f t="shared" si="16"/>
        <v>124.5</v>
      </c>
      <c r="AI88" s="38">
        <f t="shared" si="16"/>
        <v>124.5</v>
      </c>
      <c r="AJ88" s="38">
        <f t="shared" si="16"/>
        <v>124.5</v>
      </c>
      <c r="AK88" s="38">
        <f t="shared" si="16"/>
        <v>0</v>
      </c>
      <c r="AL88" s="38">
        <f t="shared" si="16"/>
        <v>0</v>
      </c>
    </row>
    <row r="89" spans="1:38" ht="38.1" customHeight="1">
      <c r="B89" s="40" t="s">
        <v>45</v>
      </c>
      <c r="C89" s="41"/>
      <c r="D89" s="41"/>
      <c r="E89" s="41"/>
      <c r="F89" s="41"/>
      <c r="G89" s="41"/>
      <c r="H89" s="41"/>
      <c r="I89" s="41"/>
      <c r="J89" s="41"/>
      <c r="K89" s="42">
        <f>K24+K27+K88</f>
        <v>6038.89</v>
      </c>
      <c r="L89" s="42">
        <f>L24+L27+L88</f>
        <v>3658.5725723966466</v>
      </c>
      <c r="M89" s="43">
        <f t="shared" ref="M89:AL89" si="17">(M24+M27+M88)/(480-15-30)</f>
        <v>0.32643678160919543</v>
      </c>
      <c r="N89" s="43">
        <f t="shared" si="17"/>
        <v>0</v>
      </c>
      <c r="O89" s="43">
        <f t="shared" si="17"/>
        <v>0</v>
      </c>
      <c r="P89" s="43">
        <f t="shared" si="17"/>
        <v>0</v>
      </c>
      <c r="Q89" s="43">
        <f t="shared" si="17"/>
        <v>2.0689655172413793E-2</v>
      </c>
      <c r="R89" s="43">
        <f t="shared" si="17"/>
        <v>0</v>
      </c>
      <c r="S89" s="43">
        <f t="shared" si="17"/>
        <v>1.1655172413793105</v>
      </c>
      <c r="T89" s="43">
        <f t="shared" si="17"/>
        <v>0</v>
      </c>
      <c r="U89" s="43">
        <f t="shared" si="17"/>
        <v>0</v>
      </c>
      <c r="V89" s="43">
        <f t="shared" si="17"/>
        <v>0.17701149425287357</v>
      </c>
      <c r="W89" s="43">
        <f t="shared" si="17"/>
        <v>0.10114942528735632</v>
      </c>
      <c r="X89" s="43">
        <f t="shared" si="17"/>
        <v>0.1367816091954023</v>
      </c>
      <c r="Y89" s="43">
        <f t="shared" si="17"/>
        <v>0.14712643678160919</v>
      </c>
      <c r="Z89" s="43">
        <f t="shared" si="17"/>
        <v>0.31954022988505748</v>
      </c>
      <c r="AA89" s="43">
        <f t="shared" si="17"/>
        <v>0.15977011494252874</v>
      </c>
      <c r="AB89" s="43">
        <f t="shared" si="17"/>
        <v>0.76781609195402301</v>
      </c>
      <c r="AC89" s="43">
        <f t="shared" si="17"/>
        <v>0.49655172413793103</v>
      </c>
      <c r="AD89" s="43">
        <f t="shared" si="17"/>
        <v>0.35862068965517241</v>
      </c>
      <c r="AE89" s="43">
        <f t="shared" si="17"/>
        <v>0</v>
      </c>
      <c r="AF89" s="43">
        <f t="shared" si="17"/>
        <v>0</v>
      </c>
      <c r="AG89" s="43">
        <f t="shared" si="17"/>
        <v>0.28620689655172415</v>
      </c>
      <c r="AH89" s="43">
        <f t="shared" si="17"/>
        <v>0.28620689655172415</v>
      </c>
      <c r="AI89" s="43">
        <f t="shared" si="17"/>
        <v>0.28620689655172415</v>
      </c>
      <c r="AJ89" s="43">
        <f t="shared" si="17"/>
        <v>0.28620689655172415</v>
      </c>
      <c r="AK89" s="43">
        <f t="shared" si="17"/>
        <v>0</v>
      </c>
      <c r="AL89" s="43">
        <f t="shared" si="17"/>
        <v>0</v>
      </c>
    </row>
    <row r="90" spans="1:38" ht="25.05" customHeight="1">
      <c r="B90" s="44"/>
      <c r="C90" s="44"/>
      <c r="D90" s="44"/>
      <c r="E90" s="45"/>
      <c r="F90" s="45"/>
      <c r="G90" s="45"/>
      <c r="H90" s="45"/>
      <c r="I90" s="46"/>
      <c r="J90" s="46"/>
      <c r="K90" s="45"/>
      <c r="L90" s="47"/>
      <c r="M90" s="47"/>
      <c r="N90" s="47"/>
      <c r="O90" s="47"/>
      <c r="P90" s="47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  <c r="AI90" s="45"/>
      <c r="AJ90" s="45"/>
    </row>
    <row r="91" spans="1:38" ht="25.05" customHeight="1">
      <c r="B91" s="44"/>
      <c r="C91" s="44"/>
      <c r="D91" s="44"/>
      <c r="E91" s="45"/>
      <c r="F91" s="45"/>
      <c r="G91" s="45"/>
      <c r="H91" s="45"/>
      <c r="I91" s="48" t="s">
        <v>46</v>
      </c>
      <c r="J91" s="46"/>
      <c r="K91" s="45"/>
      <c r="L91" s="47"/>
      <c r="M91" s="47"/>
      <c r="N91" s="47"/>
      <c r="O91" s="47"/>
      <c r="P91" s="47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</row>
    <row r="92" spans="1:38" ht="25.05" customHeight="1">
      <c r="B92" s="44"/>
      <c r="C92" s="44"/>
      <c r="D92" s="44"/>
      <c r="E92" s="45"/>
      <c r="F92" s="45"/>
      <c r="G92" s="45"/>
      <c r="H92" s="45"/>
      <c r="I92" s="49" t="s">
        <v>47</v>
      </c>
      <c r="J92" s="9">
        <v>0</v>
      </c>
      <c r="K92" s="11">
        <v>8</v>
      </c>
      <c r="L92" s="11" t="s">
        <v>48</v>
      </c>
      <c r="M92" s="47"/>
      <c r="N92" s="14">
        <v>3</v>
      </c>
      <c r="O92" s="14"/>
      <c r="P92" s="14"/>
      <c r="Q92" s="50" t="s">
        <v>49</v>
      </c>
      <c r="R92" s="51"/>
      <c r="S92" s="45"/>
      <c r="T92" s="45"/>
      <c r="U92" s="45"/>
      <c r="V92" s="45"/>
      <c r="W92" s="45"/>
      <c r="X92" s="45"/>
      <c r="Y92" s="45"/>
      <c r="Z92" s="45"/>
      <c r="AA92" s="45"/>
      <c r="AC92" s="45"/>
      <c r="AD92" s="45"/>
      <c r="AE92" s="45"/>
      <c r="AF92" s="45"/>
      <c r="AG92" s="45"/>
      <c r="AH92" s="45"/>
    </row>
    <row r="93" spans="1:38" ht="25.05" customHeight="1">
      <c r="B93" s="44"/>
      <c r="C93" s="44"/>
      <c r="D93" s="44"/>
      <c r="E93" s="45"/>
      <c r="F93" s="45"/>
      <c r="G93" s="45"/>
      <c r="H93" s="45"/>
      <c r="I93" s="49" t="s">
        <v>50</v>
      </c>
      <c r="J93" s="9">
        <v>0</v>
      </c>
      <c r="K93" s="11">
        <v>0</v>
      </c>
      <c r="L93" s="11" t="s">
        <v>48</v>
      </c>
      <c r="M93" s="47"/>
      <c r="N93" s="14">
        <v>0</v>
      </c>
      <c r="O93" s="14"/>
      <c r="P93" s="14"/>
      <c r="Q93" s="50" t="s">
        <v>51</v>
      </c>
      <c r="R93" s="51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</row>
    <row r="94" spans="1:38" ht="25.05" customHeight="1">
      <c r="B94" s="44"/>
      <c r="C94" s="44"/>
      <c r="D94" s="44"/>
      <c r="E94" s="45"/>
      <c r="F94" s="45"/>
      <c r="G94" s="45"/>
      <c r="H94" s="45"/>
      <c r="I94" s="49" t="s">
        <v>52</v>
      </c>
      <c r="J94" s="9">
        <v>0</v>
      </c>
      <c r="K94" s="11">
        <v>19</v>
      </c>
      <c r="L94" s="11" t="s">
        <v>48</v>
      </c>
      <c r="M94" s="47"/>
      <c r="N94" s="14">
        <v>1</v>
      </c>
      <c r="O94" s="14"/>
      <c r="P94" s="14"/>
      <c r="Q94" s="50" t="s">
        <v>53</v>
      </c>
      <c r="R94" s="51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</row>
    <row r="95" spans="1:38" ht="25.05" customHeight="1">
      <c r="B95" s="44"/>
      <c r="C95" s="44"/>
      <c r="D95" s="44"/>
      <c r="E95" s="45"/>
      <c r="F95" s="45"/>
      <c r="G95" s="45"/>
      <c r="H95" s="45"/>
      <c r="I95" s="52" t="s">
        <v>54</v>
      </c>
      <c r="J95" s="53">
        <v>0</v>
      </c>
      <c r="K95" s="11">
        <v>2</v>
      </c>
      <c r="L95" s="54" t="s">
        <v>48</v>
      </c>
      <c r="M95" s="47"/>
      <c r="N95" s="14">
        <v>3</v>
      </c>
      <c r="O95" s="14"/>
      <c r="P95" s="14"/>
      <c r="Q95" s="50" t="s">
        <v>55</v>
      </c>
      <c r="R95" s="51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</row>
    <row r="96" spans="1:38" ht="25.05" customHeight="1">
      <c r="B96" s="44"/>
      <c r="C96" s="44"/>
      <c r="D96" s="44"/>
      <c r="E96" s="45"/>
      <c r="F96" s="45"/>
      <c r="G96" s="45"/>
      <c r="H96" s="45"/>
      <c r="I96" s="49" t="s">
        <v>56</v>
      </c>
      <c r="J96" s="9">
        <v>0</v>
      </c>
      <c r="K96" s="11">
        <f>SUM(K92:K95)</f>
        <v>29</v>
      </c>
      <c r="L96" s="11" t="s">
        <v>48</v>
      </c>
      <c r="M96" s="47"/>
      <c r="N96"/>
      <c r="O96"/>
      <c r="P96"/>
      <c r="Q96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</row>
    <row r="97" spans="2:34" ht="25.05" customHeight="1">
      <c r="B97" s="44"/>
      <c r="C97" s="44"/>
      <c r="D97" s="44"/>
      <c r="E97" s="45"/>
      <c r="F97" s="45"/>
      <c r="G97" s="45"/>
      <c r="H97" s="45"/>
      <c r="M97" s="47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5"/>
    </row>
    <row r="98" spans="2:34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F38A5-B212-4AA2-B726-2597F853BFF1}">
  <sheetPr>
    <pageSetUpPr fitToPage="1"/>
  </sheetPr>
  <dimension ref="A1:AL137"/>
  <sheetViews>
    <sheetView zoomScale="85" zoomScaleNormal="85" workbookViewId="0">
      <pane xSplit="12" ySplit="3" topLeftCell="M116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80.44140625" style="2" customWidth="1"/>
    <col min="5" max="5" width="56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2065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9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1432</v>
      </c>
      <c r="E5" s="15" t="s">
        <v>2066</v>
      </c>
      <c r="F5" s="130" t="s">
        <v>85</v>
      </c>
      <c r="G5" s="9">
        <v>0.29166666666666669</v>
      </c>
      <c r="H5" s="9">
        <v>0.3125</v>
      </c>
      <c r="I5" s="10">
        <f t="shared" si="0"/>
        <v>2.0833333333333315E-2</v>
      </c>
      <c r="J5" s="11">
        <v>2</v>
      </c>
      <c r="K5" s="27">
        <v>81.2</v>
      </c>
      <c r="L5" s="16">
        <f t="shared" ref="L5:L29" si="1">IFERROR(((K5/(J5*I5)/24)),"0")</f>
        <v>81.200000000000074</v>
      </c>
      <c r="M5" s="11">
        <v>30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2067</v>
      </c>
      <c r="F6" s="130" t="s">
        <v>2068</v>
      </c>
      <c r="G6" s="9">
        <v>0.31388888888888888</v>
      </c>
      <c r="H6" s="9">
        <v>0.3263888888888889</v>
      </c>
      <c r="I6" s="10">
        <f t="shared" si="0"/>
        <v>1.2500000000000011E-2</v>
      </c>
      <c r="J6" s="11">
        <v>1</v>
      </c>
      <c r="K6" s="27">
        <v>15.96</v>
      </c>
      <c r="L6" s="16">
        <f t="shared" si="1"/>
        <v>53.19999999999996</v>
      </c>
      <c r="M6" s="11">
        <v>18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114"/>
      <c r="E7" s="15" t="s">
        <v>1436</v>
      </c>
      <c r="F7" s="8" t="s">
        <v>42</v>
      </c>
      <c r="G7" s="9">
        <v>0.29166666666666669</v>
      </c>
      <c r="H7" s="9">
        <v>0.33333333333333331</v>
      </c>
      <c r="I7" s="10">
        <f t="shared" si="0"/>
        <v>4.166666666666663E-2</v>
      </c>
      <c r="J7" s="11">
        <v>10</v>
      </c>
      <c r="K7" s="27">
        <v>259.2</v>
      </c>
      <c r="L7" s="16">
        <f t="shared" si="1"/>
        <v>25.920000000000019</v>
      </c>
      <c r="M7" s="11"/>
      <c r="N7" s="11"/>
      <c r="O7" s="11"/>
      <c r="P7" s="11"/>
      <c r="Q7" s="11"/>
      <c r="R7" s="12"/>
      <c r="S7" s="12">
        <v>60</v>
      </c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0" t="s">
        <v>2069</v>
      </c>
      <c r="E8" s="131" t="s">
        <v>2070</v>
      </c>
      <c r="F8" s="130" t="s">
        <v>89</v>
      </c>
      <c r="G8" s="9">
        <v>0.32777777777777778</v>
      </c>
      <c r="H8" s="9">
        <v>0.34027777777777779</v>
      </c>
      <c r="I8" s="10">
        <f t="shared" si="0"/>
        <v>1.2500000000000011E-2</v>
      </c>
      <c r="J8" s="11">
        <v>1</v>
      </c>
      <c r="K8" s="11">
        <v>13</v>
      </c>
      <c r="L8" s="16">
        <f t="shared" si="1"/>
        <v>43.333333333333293</v>
      </c>
      <c r="M8" s="11">
        <v>18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2071</v>
      </c>
      <c r="F9" s="130" t="s">
        <v>89</v>
      </c>
      <c r="G9" s="9">
        <v>0.34375</v>
      </c>
      <c r="H9" s="9">
        <v>0.36458333333333331</v>
      </c>
      <c r="I9" s="10">
        <f t="shared" si="0"/>
        <v>2.0833333333333315E-2</v>
      </c>
      <c r="J9" s="11">
        <v>1</v>
      </c>
      <c r="K9" s="11">
        <v>78</v>
      </c>
      <c r="L9" s="16">
        <f t="shared" si="1"/>
        <v>156.00000000000014</v>
      </c>
      <c r="M9" s="11">
        <v>30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2072</v>
      </c>
      <c r="F10" s="130" t="s">
        <v>89</v>
      </c>
      <c r="G10" s="9">
        <v>0.3659722222222222</v>
      </c>
      <c r="H10" s="9">
        <v>0.375</v>
      </c>
      <c r="I10" s="10">
        <f t="shared" si="0"/>
        <v>9.0277777777778012E-3</v>
      </c>
      <c r="J10" s="11">
        <v>1</v>
      </c>
      <c r="K10" s="11">
        <v>10.44</v>
      </c>
      <c r="L10" s="16">
        <f t="shared" si="1"/>
        <v>48.184615384615256</v>
      </c>
      <c r="M10" s="11">
        <v>13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114"/>
      <c r="E11" s="15" t="s">
        <v>2073</v>
      </c>
      <c r="F11" s="130" t="s">
        <v>89</v>
      </c>
      <c r="G11" s="9">
        <v>0.37638888888888888</v>
      </c>
      <c r="H11" s="9">
        <v>0.3888888888888889</v>
      </c>
      <c r="I11" s="10">
        <f t="shared" si="0"/>
        <v>1.2500000000000011E-2</v>
      </c>
      <c r="J11" s="11">
        <v>1</v>
      </c>
      <c r="K11" s="11">
        <v>36</v>
      </c>
      <c r="L11" s="16">
        <f t="shared" si="1"/>
        <v>119.99999999999989</v>
      </c>
      <c r="M11" s="11">
        <v>18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2074</v>
      </c>
      <c r="F12" s="130" t="s">
        <v>89</v>
      </c>
      <c r="G12" s="9">
        <v>0.39027777777777778</v>
      </c>
      <c r="H12" s="9">
        <v>0.40625</v>
      </c>
      <c r="I12" s="10">
        <f t="shared" si="0"/>
        <v>1.5972222222222221E-2</v>
      </c>
      <c r="J12" s="11">
        <v>1</v>
      </c>
      <c r="K12" s="11">
        <v>9</v>
      </c>
      <c r="L12" s="16">
        <f t="shared" si="1"/>
        <v>23.478260869565219</v>
      </c>
      <c r="M12" s="11">
        <v>23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2075</v>
      </c>
      <c r="F13" s="8" t="s">
        <v>42</v>
      </c>
      <c r="G13" s="9">
        <v>0.34027777777777779</v>
      </c>
      <c r="H13" s="9">
        <v>0.40277777777777779</v>
      </c>
      <c r="I13" s="10">
        <f t="shared" si="0"/>
        <v>6.25E-2</v>
      </c>
      <c r="J13" s="11">
        <v>8</v>
      </c>
      <c r="K13" s="11">
        <v>219</v>
      </c>
      <c r="L13" s="16">
        <f t="shared" si="1"/>
        <v>18.25</v>
      </c>
      <c r="M13" s="11"/>
      <c r="N13" s="11"/>
      <c r="O13" s="11"/>
      <c r="P13" s="11"/>
      <c r="Q13" s="11"/>
      <c r="R13" s="12"/>
      <c r="S13" s="12">
        <v>90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1321</v>
      </c>
      <c r="F14" s="8" t="s">
        <v>42</v>
      </c>
      <c r="G14" s="9">
        <v>0.35416666666666669</v>
      </c>
      <c r="H14" s="9">
        <v>0.375</v>
      </c>
      <c r="I14" s="10">
        <f t="shared" si="0"/>
        <v>2.0833333333333315E-2</v>
      </c>
      <c r="J14" s="11">
        <v>2</v>
      </c>
      <c r="K14" s="11">
        <v>42.25</v>
      </c>
      <c r="L14" s="16">
        <f t="shared" si="1"/>
        <v>42.250000000000036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30"/>
      <c r="E15" s="15" t="s">
        <v>2076</v>
      </c>
      <c r="F15" s="8" t="s">
        <v>42</v>
      </c>
      <c r="G15" s="9">
        <v>0.37638888888888888</v>
      </c>
      <c r="H15" s="9">
        <v>0.38194444444444442</v>
      </c>
      <c r="I15" s="10">
        <f t="shared" si="0"/>
        <v>5.5555555555555358E-3</v>
      </c>
      <c r="J15" s="11">
        <v>2</v>
      </c>
      <c r="K15" s="11" t="s">
        <v>42</v>
      </c>
      <c r="L15" s="16" t="str">
        <f t="shared" si="1"/>
        <v>0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96</v>
      </c>
      <c r="F16" s="8" t="s">
        <v>42</v>
      </c>
      <c r="G16" s="9">
        <v>0.40972222222222221</v>
      </c>
      <c r="H16" s="9">
        <v>0.4236111111111111</v>
      </c>
      <c r="I16" s="10">
        <f t="shared" si="0"/>
        <v>1.3888888888888895E-2</v>
      </c>
      <c r="J16" s="11">
        <v>12</v>
      </c>
      <c r="K16" s="11" t="s">
        <v>42</v>
      </c>
      <c r="L16" s="16" t="str">
        <f t="shared" si="1"/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 t="s">
        <v>104</v>
      </c>
      <c r="F17" s="8" t="s">
        <v>42</v>
      </c>
      <c r="G17" s="9">
        <v>0.4236111111111111</v>
      </c>
      <c r="H17" s="9">
        <v>0.46527777777777779</v>
      </c>
      <c r="I17" s="10">
        <f t="shared" si="0"/>
        <v>4.1666666666666685E-2</v>
      </c>
      <c r="J17" s="11">
        <v>14</v>
      </c>
      <c r="K17" s="11" t="s">
        <v>42</v>
      </c>
      <c r="L17" s="16" t="str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30" t="s">
        <v>1669</v>
      </c>
      <c r="E18" s="15" t="s">
        <v>1536</v>
      </c>
      <c r="F18" s="130" t="s">
        <v>310</v>
      </c>
      <c r="G18" s="9">
        <v>0.46527777777777779</v>
      </c>
      <c r="H18" s="9">
        <v>0.53472222222222221</v>
      </c>
      <c r="I18" s="10">
        <f t="shared" si="0"/>
        <v>6.944444444444442E-2</v>
      </c>
      <c r="J18" s="11">
        <v>11</v>
      </c>
      <c r="K18" s="11">
        <v>368</v>
      </c>
      <c r="L18" s="16">
        <f t="shared" si="1"/>
        <v>20.072727272727281</v>
      </c>
      <c r="M18" s="11"/>
      <c r="N18" s="11"/>
      <c r="O18" s="11"/>
      <c r="P18" s="11"/>
      <c r="Q18" s="11"/>
      <c r="R18" s="12"/>
      <c r="S18" s="12">
        <v>100</v>
      </c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1821</v>
      </c>
      <c r="F19" s="8" t="s">
        <v>42</v>
      </c>
      <c r="G19" s="9">
        <v>0.53819444444444442</v>
      </c>
      <c r="H19" s="9">
        <v>0.55555555555555558</v>
      </c>
      <c r="I19" s="10">
        <f t="shared" si="0"/>
        <v>1.736111111111116E-2</v>
      </c>
      <c r="J19" s="11">
        <v>5</v>
      </c>
      <c r="K19" s="11">
        <v>47</v>
      </c>
      <c r="L19" s="16">
        <f t="shared" si="1"/>
        <v>22.559999999999935</v>
      </c>
      <c r="M19" s="11"/>
      <c r="N19" s="11"/>
      <c r="O19" s="11"/>
      <c r="P19" s="11"/>
      <c r="Q19" s="11"/>
      <c r="R19" s="12"/>
      <c r="S19" s="12">
        <v>25</v>
      </c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1822</v>
      </c>
      <c r="F20" s="8" t="s">
        <v>42</v>
      </c>
      <c r="G20" s="9">
        <v>0.53819444444444442</v>
      </c>
      <c r="H20" s="9">
        <v>0.55555555555555558</v>
      </c>
      <c r="I20" s="10">
        <f t="shared" si="0"/>
        <v>1.736111111111116E-2</v>
      </c>
      <c r="J20" s="11">
        <v>5</v>
      </c>
      <c r="K20" s="11">
        <v>470</v>
      </c>
      <c r="L20" s="16">
        <f t="shared" si="1"/>
        <v>225.59999999999934</v>
      </c>
      <c r="M20" s="11"/>
      <c r="N20" s="11"/>
      <c r="O20" s="11"/>
      <c r="P20" s="11"/>
      <c r="Q20" s="11"/>
      <c r="R20" s="12"/>
      <c r="S20" s="12">
        <v>25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 t="s">
        <v>2077</v>
      </c>
      <c r="E21" s="15" t="s">
        <v>1817</v>
      </c>
      <c r="F21" s="8" t="s">
        <v>42</v>
      </c>
      <c r="G21" s="9">
        <v>0.46527777777777779</v>
      </c>
      <c r="H21" s="9">
        <v>0.47013888888888888</v>
      </c>
      <c r="I21" s="10">
        <f t="shared" si="0"/>
        <v>4.8611111111110938E-3</v>
      </c>
      <c r="J21" s="11">
        <v>1</v>
      </c>
      <c r="K21" s="11">
        <v>5.9</v>
      </c>
      <c r="L21" s="16">
        <f t="shared" si="1"/>
        <v>50.571428571428754</v>
      </c>
      <c r="M21" s="11">
        <v>7</v>
      </c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626</v>
      </c>
      <c r="F22" s="8" t="s">
        <v>42</v>
      </c>
      <c r="G22" s="9">
        <v>0.47222222222222221</v>
      </c>
      <c r="H22" s="9">
        <v>0.4777777777777778</v>
      </c>
      <c r="I22" s="10">
        <f t="shared" ref="I22:I26" si="2">H22-G22</f>
        <v>5.5555555555555913E-3</v>
      </c>
      <c r="J22" s="11">
        <v>1</v>
      </c>
      <c r="K22" s="11">
        <v>6.25</v>
      </c>
      <c r="L22" s="16">
        <f t="shared" ref="L22:L26" si="3">IFERROR(((K22/(J22*I22)/24)),"0")</f>
        <v>46.874999999999694</v>
      </c>
      <c r="M22" s="11">
        <v>8</v>
      </c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 t="s">
        <v>2078</v>
      </c>
      <c r="F23" s="8" t="s">
        <v>42</v>
      </c>
      <c r="G23" s="9">
        <v>0.47916666666666669</v>
      </c>
      <c r="H23" s="9">
        <v>0.49305555555555558</v>
      </c>
      <c r="I23" s="10">
        <f t="shared" si="2"/>
        <v>1.3888888888888895E-2</v>
      </c>
      <c r="J23" s="11">
        <v>1</v>
      </c>
      <c r="K23" s="11">
        <v>9.09</v>
      </c>
      <c r="L23" s="16">
        <f t="shared" si="3"/>
        <v>27.269999999999985</v>
      </c>
      <c r="M23" s="11">
        <v>20</v>
      </c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 t="s">
        <v>1813</v>
      </c>
      <c r="E24" s="15" t="s">
        <v>2079</v>
      </c>
      <c r="F24" s="8" t="s">
        <v>42</v>
      </c>
      <c r="G24" s="9">
        <v>0.55902777777777779</v>
      </c>
      <c r="H24" s="9">
        <v>0.59722222222222221</v>
      </c>
      <c r="I24" s="10">
        <f t="shared" si="2"/>
        <v>3.819444444444442E-2</v>
      </c>
      <c r="J24" s="11">
        <v>7</v>
      </c>
      <c r="K24" s="11">
        <v>96</v>
      </c>
      <c r="L24" s="16">
        <f t="shared" si="3"/>
        <v>14.961038961038971</v>
      </c>
      <c r="M24" s="11"/>
      <c r="N24" s="11"/>
      <c r="O24" s="11"/>
      <c r="P24" s="11"/>
      <c r="Q24" s="11"/>
      <c r="R24" s="12">
        <v>55</v>
      </c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 t="s">
        <v>2077</v>
      </c>
      <c r="E25" s="15" t="s">
        <v>2080</v>
      </c>
      <c r="F25" s="8" t="s">
        <v>42</v>
      </c>
      <c r="G25" s="9">
        <v>0.56944444444444442</v>
      </c>
      <c r="H25" s="9">
        <v>0.59027777777777779</v>
      </c>
      <c r="I25" s="10">
        <f t="shared" si="2"/>
        <v>2.083333333333337E-2</v>
      </c>
      <c r="J25" s="11">
        <v>2</v>
      </c>
      <c r="K25" s="11">
        <v>1</v>
      </c>
      <c r="L25" s="16">
        <f t="shared" si="3"/>
        <v>0.99999999999999822</v>
      </c>
      <c r="M25" s="11"/>
      <c r="N25" s="11"/>
      <c r="O25" s="11"/>
      <c r="P25" s="11"/>
      <c r="Q25" s="11"/>
      <c r="R25" s="12"/>
      <c r="S25" s="12">
        <v>30</v>
      </c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15" t="s">
        <v>100</v>
      </c>
      <c r="F26" s="8" t="s">
        <v>42</v>
      </c>
      <c r="G26" s="9">
        <v>0.55902777777777779</v>
      </c>
      <c r="H26" s="9">
        <v>0.65277777777777779</v>
      </c>
      <c r="I26" s="10">
        <f t="shared" si="2"/>
        <v>9.375E-2</v>
      </c>
      <c r="J26" s="11">
        <v>2</v>
      </c>
      <c r="K26" s="11">
        <v>617</v>
      </c>
      <c r="L26" s="16">
        <f t="shared" si="3"/>
        <v>137.11111111111111</v>
      </c>
      <c r="M26" s="11"/>
      <c r="N26" s="11"/>
      <c r="O26" s="11"/>
      <c r="P26" s="11"/>
      <c r="Q26" s="11"/>
      <c r="R26" s="12"/>
      <c r="S26" s="12">
        <v>135</v>
      </c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30" t="s">
        <v>2069</v>
      </c>
      <c r="E27" s="15" t="s">
        <v>1817</v>
      </c>
      <c r="F27" s="8" t="s">
        <v>42</v>
      </c>
      <c r="G27" s="9">
        <v>0.59722222222222221</v>
      </c>
      <c r="H27" s="9">
        <v>0.61111111111111116</v>
      </c>
      <c r="I27" s="10">
        <f t="shared" si="0"/>
        <v>1.3888888888888951E-2</v>
      </c>
      <c r="J27" s="11">
        <v>1</v>
      </c>
      <c r="K27" s="11">
        <v>5.16</v>
      </c>
      <c r="L27" s="16">
        <f t="shared" si="1"/>
        <v>15.479999999999931</v>
      </c>
      <c r="M27" s="11">
        <v>20</v>
      </c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 t="s">
        <v>1432</v>
      </c>
      <c r="E28" s="15" t="s">
        <v>101</v>
      </c>
      <c r="F28" s="8" t="s">
        <v>42</v>
      </c>
      <c r="G28" s="9">
        <v>0.58333333333333337</v>
      </c>
      <c r="H28" s="9">
        <v>0.61111111111111116</v>
      </c>
      <c r="I28" s="10">
        <f t="shared" si="0"/>
        <v>2.777777777777779E-2</v>
      </c>
      <c r="J28" s="11">
        <v>2</v>
      </c>
      <c r="K28" s="27">
        <v>210</v>
      </c>
      <c r="L28" s="16">
        <f t="shared" si="1"/>
        <v>157.49999999999991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/>
      <c r="E29" s="15" t="s">
        <v>96</v>
      </c>
      <c r="F29" s="8" t="s">
        <v>42</v>
      </c>
      <c r="G29" s="9">
        <v>0.64583333333333337</v>
      </c>
      <c r="H29" s="9">
        <v>0.66666666666666663</v>
      </c>
      <c r="I29" s="10">
        <f t="shared" si="0"/>
        <v>2.0833333333333259E-2</v>
      </c>
      <c r="J29" s="11">
        <v>12</v>
      </c>
      <c r="K29" s="11" t="s">
        <v>42</v>
      </c>
      <c r="L29" s="16" t="str">
        <f t="shared" si="1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s="28" customFormat="1" ht="25.05" customHeight="1">
      <c r="A30" s="2"/>
      <c r="B30" s="21"/>
      <c r="C30" s="22"/>
      <c r="D30" s="23"/>
      <c r="E30" s="24"/>
      <c r="F30" s="24"/>
      <c r="G30" s="25"/>
      <c r="H30" s="25"/>
      <c r="I30" s="26"/>
      <c r="J30" s="27"/>
      <c r="K30" s="27">
        <f t="shared" ref="K30:AL30" si="4">SUM(K4:K28)</f>
        <v>2599.4499999999998</v>
      </c>
      <c r="L30" s="39">
        <f t="shared" si="4"/>
        <v>1330.8175155038191</v>
      </c>
      <c r="M30" s="27">
        <f t="shared" si="4"/>
        <v>205</v>
      </c>
      <c r="N30" s="27">
        <f t="shared" si="4"/>
        <v>0</v>
      </c>
      <c r="O30" s="27">
        <f t="shared" si="4"/>
        <v>0</v>
      </c>
      <c r="P30" s="27">
        <f t="shared" si="4"/>
        <v>0</v>
      </c>
      <c r="Q30" s="27">
        <f t="shared" si="4"/>
        <v>0</v>
      </c>
      <c r="R30" s="27">
        <f t="shared" si="4"/>
        <v>55</v>
      </c>
      <c r="S30" s="27">
        <f t="shared" si="4"/>
        <v>465</v>
      </c>
      <c r="T30" s="27">
        <f t="shared" si="4"/>
        <v>0</v>
      </c>
      <c r="U30" s="27">
        <f t="shared" si="4"/>
        <v>0</v>
      </c>
      <c r="V30" s="27">
        <f t="shared" si="4"/>
        <v>0</v>
      </c>
      <c r="W30" s="27">
        <f t="shared" si="4"/>
        <v>0</v>
      </c>
      <c r="X30" s="27">
        <f t="shared" si="4"/>
        <v>0</v>
      </c>
      <c r="Y30" s="27">
        <f t="shared" si="4"/>
        <v>0</v>
      </c>
      <c r="Z30" s="27">
        <f t="shared" si="4"/>
        <v>0</v>
      </c>
      <c r="AA30" s="27">
        <f t="shared" si="4"/>
        <v>0</v>
      </c>
      <c r="AB30" s="27">
        <f t="shared" si="4"/>
        <v>0</v>
      </c>
      <c r="AC30" s="27">
        <f t="shared" si="4"/>
        <v>0</v>
      </c>
      <c r="AD30" s="27">
        <f t="shared" si="4"/>
        <v>0</v>
      </c>
      <c r="AE30" s="27">
        <f t="shared" si="4"/>
        <v>0</v>
      </c>
      <c r="AF30" s="27">
        <f t="shared" si="4"/>
        <v>0</v>
      </c>
      <c r="AG30" s="27">
        <f t="shared" si="4"/>
        <v>0</v>
      </c>
      <c r="AH30" s="27">
        <f t="shared" si="4"/>
        <v>0</v>
      </c>
      <c r="AI30" s="27">
        <f t="shared" si="4"/>
        <v>0</v>
      </c>
      <c r="AJ30" s="27">
        <f t="shared" si="4"/>
        <v>0</v>
      </c>
      <c r="AK30" s="27">
        <f t="shared" si="4"/>
        <v>0</v>
      </c>
      <c r="AL30" s="27">
        <f t="shared" si="4"/>
        <v>0</v>
      </c>
    </row>
    <row r="31" spans="1:38" ht="25.05" customHeight="1">
      <c r="B31" s="5" t="s">
        <v>2065</v>
      </c>
      <c r="C31" s="14" t="s">
        <v>43</v>
      </c>
      <c r="D31" s="6"/>
      <c r="E31" s="7" t="s">
        <v>41</v>
      </c>
      <c r="F31" s="8" t="s">
        <v>42</v>
      </c>
      <c r="G31" s="9">
        <v>0.29166666666666669</v>
      </c>
      <c r="H31" s="9">
        <v>0.33333333333333331</v>
      </c>
      <c r="I31" s="10">
        <f t="shared" ref="I31:I35" si="5">H31-G31</f>
        <v>4.166666666666663E-2</v>
      </c>
      <c r="J31" s="11">
        <v>3</v>
      </c>
      <c r="K31" s="62" t="s">
        <v>42</v>
      </c>
      <c r="L31" s="64" t="s">
        <v>42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5.05" customHeight="1">
      <c r="B32" s="13"/>
      <c r="C32" s="14"/>
      <c r="D32" s="6" t="s">
        <v>1813</v>
      </c>
      <c r="E32" s="19" t="s">
        <v>1964</v>
      </c>
      <c r="F32" s="8" t="s">
        <v>42</v>
      </c>
      <c r="G32" s="9">
        <v>0.33333333333333331</v>
      </c>
      <c r="H32" s="9">
        <v>0.5</v>
      </c>
      <c r="I32" s="10">
        <f t="shared" si="5"/>
        <v>0.16666666666666669</v>
      </c>
      <c r="J32" s="11">
        <v>12</v>
      </c>
      <c r="K32" s="11">
        <f>88*6</f>
        <v>528</v>
      </c>
      <c r="L32" s="16">
        <f t="shared" ref="L32:L35" si="6">IFERROR(((K32/(J32*I32)/24)),"0")</f>
        <v>11</v>
      </c>
      <c r="M32" s="11"/>
      <c r="N32" s="11"/>
      <c r="O32" s="11"/>
      <c r="P32" s="11"/>
      <c r="Q32" s="11"/>
      <c r="R32" s="12"/>
      <c r="S32" s="12"/>
      <c r="T32" s="11">
        <v>240</v>
      </c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25.05" customHeight="1">
      <c r="B33" s="13"/>
      <c r="C33" s="14"/>
      <c r="D33" s="6"/>
      <c r="E33" s="15" t="s">
        <v>104</v>
      </c>
      <c r="F33" s="8" t="s">
        <v>42</v>
      </c>
      <c r="G33" s="9">
        <v>0.5</v>
      </c>
      <c r="H33" s="9">
        <v>0.54166666666666663</v>
      </c>
      <c r="I33" s="10">
        <f t="shared" ref="I33:I34" si="7">H33-G33</f>
        <v>4.166666666666663E-2</v>
      </c>
      <c r="J33" s="11">
        <v>12</v>
      </c>
      <c r="K33" s="62" t="s">
        <v>42</v>
      </c>
      <c r="L33" s="16" t="str">
        <f t="shared" ref="L33:L34" si="8">IFERROR(((K33/(J33*I33)/24)),"0")</f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ht="25.05" customHeight="1">
      <c r="B34" s="13"/>
      <c r="C34" s="14"/>
      <c r="D34" s="6" t="s">
        <v>1669</v>
      </c>
      <c r="E34" s="19" t="s">
        <v>2081</v>
      </c>
      <c r="F34" s="8" t="s">
        <v>42</v>
      </c>
      <c r="G34" s="9">
        <v>0.54166666666666663</v>
      </c>
      <c r="H34" s="9">
        <v>0.70138888888888884</v>
      </c>
      <c r="I34" s="10">
        <f t="shared" si="7"/>
        <v>0.15972222222222221</v>
      </c>
      <c r="J34" s="11">
        <v>12</v>
      </c>
      <c r="K34" s="11">
        <v>900</v>
      </c>
      <c r="L34" s="16">
        <f t="shared" si="8"/>
        <v>19.565217391304348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ht="25.05" customHeight="1">
      <c r="B35" s="13"/>
      <c r="C35" s="14"/>
      <c r="D35" s="18"/>
      <c r="E35" s="6"/>
      <c r="F35" s="8"/>
      <c r="G35" s="9"/>
      <c r="H35" s="9"/>
      <c r="I35" s="10">
        <f t="shared" si="5"/>
        <v>0</v>
      </c>
      <c r="J35" s="11"/>
      <c r="K35" s="11"/>
      <c r="L35" s="16" t="str">
        <f t="shared" si="6"/>
        <v>0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</row>
    <row r="36" spans="1:38" s="28" customFormat="1" ht="25.05" customHeight="1">
      <c r="A36" s="2"/>
      <c r="B36" s="21"/>
      <c r="C36" s="22"/>
      <c r="D36" s="23"/>
      <c r="E36" s="24"/>
      <c r="F36" s="22"/>
      <c r="G36" s="25"/>
      <c r="H36" s="25"/>
      <c r="I36" s="26"/>
      <c r="J36" s="27"/>
      <c r="K36" s="27">
        <f t="shared" ref="K36:AL36" si="9">SUM(K31:K35)</f>
        <v>1428</v>
      </c>
      <c r="L36" s="27">
        <f t="shared" si="9"/>
        <v>30.565217391304348</v>
      </c>
      <c r="M36" s="27">
        <f t="shared" si="9"/>
        <v>0</v>
      </c>
      <c r="N36" s="27">
        <f t="shared" si="9"/>
        <v>0</v>
      </c>
      <c r="O36" s="27">
        <f t="shared" si="9"/>
        <v>0</v>
      </c>
      <c r="P36" s="27">
        <f t="shared" si="9"/>
        <v>0</v>
      </c>
      <c r="Q36" s="27">
        <f t="shared" si="9"/>
        <v>0</v>
      </c>
      <c r="R36" s="27">
        <f t="shared" si="9"/>
        <v>0</v>
      </c>
      <c r="S36" s="27">
        <f t="shared" si="9"/>
        <v>0</v>
      </c>
      <c r="T36" s="27">
        <f t="shared" si="9"/>
        <v>240</v>
      </c>
      <c r="U36" s="27">
        <f t="shared" si="9"/>
        <v>0</v>
      </c>
      <c r="V36" s="27">
        <f t="shared" si="9"/>
        <v>0</v>
      </c>
      <c r="W36" s="27">
        <f t="shared" si="9"/>
        <v>0</v>
      </c>
      <c r="X36" s="27">
        <f t="shared" si="9"/>
        <v>0</v>
      </c>
      <c r="Y36" s="27">
        <f t="shared" si="9"/>
        <v>0</v>
      </c>
      <c r="Z36" s="27">
        <f t="shared" si="9"/>
        <v>0</v>
      </c>
      <c r="AA36" s="27">
        <f t="shared" si="9"/>
        <v>0</v>
      </c>
      <c r="AB36" s="27">
        <f t="shared" si="9"/>
        <v>0</v>
      </c>
      <c r="AC36" s="27">
        <f t="shared" si="9"/>
        <v>0</v>
      </c>
      <c r="AD36" s="27">
        <f t="shared" si="9"/>
        <v>0</v>
      </c>
      <c r="AE36" s="27">
        <f t="shared" si="9"/>
        <v>0</v>
      </c>
      <c r="AF36" s="27">
        <f t="shared" si="9"/>
        <v>0</v>
      </c>
      <c r="AG36" s="27">
        <f t="shared" si="9"/>
        <v>0</v>
      </c>
      <c r="AH36" s="27">
        <f t="shared" si="9"/>
        <v>0</v>
      </c>
      <c r="AI36" s="27">
        <f t="shared" si="9"/>
        <v>0</v>
      </c>
      <c r="AJ36" s="27">
        <f t="shared" si="9"/>
        <v>0</v>
      </c>
      <c r="AK36" s="27">
        <f t="shared" si="9"/>
        <v>0</v>
      </c>
      <c r="AL36" s="27">
        <f t="shared" si="9"/>
        <v>0</v>
      </c>
    </row>
    <row r="37" spans="1:38" ht="25.05" customHeight="1">
      <c r="B37" s="5" t="s">
        <v>2065</v>
      </c>
      <c r="C37" s="29" t="s">
        <v>44</v>
      </c>
      <c r="D37" s="30"/>
      <c r="E37" s="7" t="s">
        <v>41</v>
      </c>
      <c r="F37" s="8" t="s">
        <v>42</v>
      </c>
      <c r="G37" s="9">
        <v>0.29166666666666669</v>
      </c>
      <c r="H37" s="9">
        <v>0.2986111111111111</v>
      </c>
      <c r="I37" s="10">
        <f t="shared" ref="I37:I39" si="10">H37-G37</f>
        <v>6.9444444444444198E-3</v>
      </c>
      <c r="J37" s="11">
        <v>4</v>
      </c>
      <c r="K37" s="62" t="s">
        <v>42</v>
      </c>
      <c r="L37" s="64" t="s">
        <v>42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 t="s">
        <v>712</v>
      </c>
      <c r="E38" s="19" t="s">
        <v>324</v>
      </c>
      <c r="F38" s="8" t="s">
        <v>42</v>
      </c>
      <c r="G38" s="9">
        <v>0.34444444444444444</v>
      </c>
      <c r="H38" s="9">
        <v>0.34652777777777777</v>
      </c>
      <c r="I38" s="10">
        <f t="shared" si="10"/>
        <v>2.0833333333333259E-3</v>
      </c>
      <c r="J38" s="11">
        <v>4</v>
      </c>
      <c r="K38" s="11">
        <v>37.79</v>
      </c>
      <c r="L38" s="16">
        <f t="shared" ref="L38:L39" si="11">IFERROR(((K38/(J38*I38)/24)),"0")</f>
        <v>188.95000000000064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3</v>
      </c>
      <c r="W38" s="12"/>
      <c r="X38" s="11"/>
      <c r="Y38" s="11"/>
      <c r="Z38" s="11"/>
      <c r="AA38" s="11"/>
      <c r="AB38" s="11">
        <v>3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 t="s">
        <v>325</v>
      </c>
      <c r="F39" s="8" t="s">
        <v>42</v>
      </c>
      <c r="G39" s="9">
        <v>0.34930555555555554</v>
      </c>
      <c r="H39" s="9">
        <v>0.35138888888888886</v>
      </c>
      <c r="I39" s="10">
        <f t="shared" si="10"/>
        <v>2.0833333333333259E-3</v>
      </c>
      <c r="J39" s="11">
        <v>4</v>
      </c>
      <c r="K39" s="11">
        <v>32.090000000000003</v>
      </c>
      <c r="L39" s="16">
        <f t="shared" si="11"/>
        <v>160.45000000000059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3</v>
      </c>
      <c r="W39" s="12"/>
      <c r="X39" s="11"/>
      <c r="Y39" s="11"/>
      <c r="Z39" s="11"/>
      <c r="AA39" s="11"/>
      <c r="AB39" s="11"/>
      <c r="AC39" s="11">
        <v>3</v>
      </c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 t="s">
        <v>327</v>
      </c>
      <c r="F40" s="8" t="s">
        <v>42</v>
      </c>
      <c r="G40" s="9">
        <v>0.35486111111111113</v>
      </c>
      <c r="H40" s="9">
        <v>0.35694444444444445</v>
      </c>
      <c r="I40" s="10">
        <f t="shared" ref="I40:I103" si="12">H40-G40</f>
        <v>2.0833333333333259E-3</v>
      </c>
      <c r="J40" s="11">
        <v>4</v>
      </c>
      <c r="K40" s="11">
        <v>37.31</v>
      </c>
      <c r="L40" s="16">
        <f t="shared" ref="L40:L103" si="13">IFERROR(((K40/(J40*I40)/24)),"0")</f>
        <v>186.55000000000067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3</v>
      </c>
      <c r="W40" s="12"/>
      <c r="X40" s="11"/>
      <c r="Y40" s="11"/>
      <c r="Z40" s="11"/>
      <c r="AA40" s="11"/>
      <c r="AB40" s="11">
        <v>3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328</v>
      </c>
      <c r="F41" s="8" t="s">
        <v>42</v>
      </c>
      <c r="G41" s="9">
        <v>0.35833333333333334</v>
      </c>
      <c r="H41" s="9">
        <v>0.36041666666666666</v>
      </c>
      <c r="I41" s="10">
        <f t="shared" si="12"/>
        <v>2.0833333333333259E-3</v>
      </c>
      <c r="J41" s="11">
        <v>4</v>
      </c>
      <c r="K41" s="11">
        <v>40.31</v>
      </c>
      <c r="L41" s="16">
        <f t="shared" si="13"/>
        <v>201.55000000000072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3</v>
      </c>
      <c r="X41" s="11"/>
      <c r="Y41" s="11"/>
      <c r="Z41" s="11"/>
      <c r="AA41" s="11"/>
      <c r="AB41" s="11"/>
      <c r="AC41" s="11">
        <v>3</v>
      </c>
      <c r="AD41" s="11"/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330</v>
      </c>
      <c r="F42" s="8" t="s">
        <v>42</v>
      </c>
      <c r="G42" s="9">
        <v>0.36388888888888887</v>
      </c>
      <c r="H42" s="9">
        <v>0.3659722222222222</v>
      </c>
      <c r="I42" s="10">
        <f t="shared" si="12"/>
        <v>2.0833333333333259E-3</v>
      </c>
      <c r="J42" s="11">
        <v>4</v>
      </c>
      <c r="K42" s="11">
        <v>32.130000000000003</v>
      </c>
      <c r="L42" s="16">
        <f t="shared" si="13"/>
        <v>160.65000000000057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3</v>
      </c>
      <c r="W42" s="12"/>
      <c r="X42" s="11"/>
      <c r="Y42" s="11"/>
      <c r="Z42" s="11"/>
      <c r="AA42" s="11"/>
      <c r="AB42" s="11">
        <v>3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 t="s">
        <v>331</v>
      </c>
      <c r="F43" s="8" t="s">
        <v>42</v>
      </c>
      <c r="G43" s="9">
        <v>0.36805555555555558</v>
      </c>
      <c r="H43" s="9">
        <v>0.37013888888888891</v>
      </c>
      <c r="I43" s="10">
        <f t="shared" si="12"/>
        <v>2.0833333333333259E-3</v>
      </c>
      <c r="J43" s="11">
        <v>4</v>
      </c>
      <c r="K43" s="11">
        <v>38.18</v>
      </c>
      <c r="L43" s="16">
        <f t="shared" si="13"/>
        <v>190.90000000000066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3</v>
      </c>
      <c r="X43" s="11"/>
      <c r="Y43" s="11"/>
      <c r="Z43" s="11"/>
      <c r="AA43" s="11"/>
      <c r="AB43" s="11"/>
      <c r="AC43" s="11">
        <v>3</v>
      </c>
      <c r="AD43" s="11"/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333</v>
      </c>
      <c r="F44" s="8" t="s">
        <v>42</v>
      </c>
      <c r="G44" s="9">
        <v>0.37152777777777779</v>
      </c>
      <c r="H44" s="9">
        <v>0.37361111111111112</v>
      </c>
      <c r="I44" s="10">
        <f t="shared" si="12"/>
        <v>2.0833333333333259E-3</v>
      </c>
      <c r="J44" s="11">
        <v>4</v>
      </c>
      <c r="K44" s="11">
        <v>37.57</v>
      </c>
      <c r="L44" s="16">
        <f t="shared" si="13"/>
        <v>187.85000000000068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3</v>
      </c>
      <c r="X44" s="11"/>
      <c r="Y44" s="11"/>
      <c r="Z44" s="11"/>
      <c r="AA44" s="11"/>
      <c r="AB44" s="11">
        <v>3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334</v>
      </c>
      <c r="F45" s="8" t="s">
        <v>42</v>
      </c>
      <c r="G45" s="9">
        <v>0.37638888888888888</v>
      </c>
      <c r="H45" s="9">
        <v>0.37847222222222221</v>
      </c>
      <c r="I45" s="10">
        <f t="shared" si="12"/>
        <v>2.0833333333333259E-3</v>
      </c>
      <c r="J45" s="11">
        <v>4</v>
      </c>
      <c r="K45" s="11">
        <v>38.770000000000003</v>
      </c>
      <c r="L45" s="16">
        <f t="shared" si="13"/>
        <v>193.8500000000007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3</v>
      </c>
      <c r="X45" s="11"/>
      <c r="Y45" s="11"/>
      <c r="Z45" s="11"/>
      <c r="AA45" s="11"/>
      <c r="AB45" s="11"/>
      <c r="AC45" s="11">
        <v>3</v>
      </c>
      <c r="AD45" s="11"/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336</v>
      </c>
      <c r="F46" s="8" t="s">
        <v>42</v>
      </c>
      <c r="G46" s="9">
        <v>0.38055555555555554</v>
      </c>
      <c r="H46" s="9">
        <v>0.38263888888888886</v>
      </c>
      <c r="I46" s="10">
        <f t="shared" si="12"/>
        <v>2.0833333333333259E-3</v>
      </c>
      <c r="J46" s="11">
        <v>4</v>
      </c>
      <c r="K46" s="11">
        <v>37.85</v>
      </c>
      <c r="L46" s="16">
        <f t="shared" si="13"/>
        <v>189.25000000000068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3</v>
      </c>
      <c r="X46" s="11"/>
      <c r="Y46" s="11"/>
      <c r="Z46" s="11"/>
      <c r="AA46" s="11"/>
      <c r="AB46" s="11">
        <v>3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 t="s">
        <v>337</v>
      </c>
      <c r="F47" s="8" t="s">
        <v>42</v>
      </c>
      <c r="G47" s="9">
        <v>0.38541666666666669</v>
      </c>
      <c r="H47" s="9">
        <v>0.38750000000000001</v>
      </c>
      <c r="I47" s="10">
        <f t="shared" si="12"/>
        <v>2.0833333333333259E-3</v>
      </c>
      <c r="J47" s="11">
        <v>4</v>
      </c>
      <c r="K47" s="11">
        <v>38.28</v>
      </c>
      <c r="L47" s="16">
        <f t="shared" si="13"/>
        <v>191.40000000000069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3</v>
      </c>
      <c r="X47" s="11"/>
      <c r="Y47" s="11"/>
      <c r="Z47" s="11"/>
      <c r="AA47" s="11"/>
      <c r="AB47" s="11"/>
      <c r="AC47" s="11">
        <v>3</v>
      </c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 t="s">
        <v>339</v>
      </c>
      <c r="F48" s="8" t="s">
        <v>42</v>
      </c>
      <c r="G48" s="9">
        <v>0.38958333333333334</v>
      </c>
      <c r="H48" s="9">
        <v>0.39166666666666666</v>
      </c>
      <c r="I48" s="10">
        <f t="shared" si="12"/>
        <v>2.0833333333333259E-3</v>
      </c>
      <c r="J48" s="11">
        <v>4</v>
      </c>
      <c r="K48" s="11">
        <v>37.99</v>
      </c>
      <c r="L48" s="16">
        <f t="shared" si="13"/>
        <v>189.9500000000007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3</v>
      </c>
      <c r="X48" s="11"/>
      <c r="Y48" s="11"/>
      <c r="Z48" s="11"/>
      <c r="AA48" s="11"/>
      <c r="AB48" s="11">
        <v>3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340</v>
      </c>
      <c r="F49" s="8" t="s">
        <v>42</v>
      </c>
      <c r="G49" s="9">
        <v>0.39861111111111114</v>
      </c>
      <c r="H49" s="9">
        <v>0.40069444444444446</v>
      </c>
      <c r="I49" s="10">
        <f t="shared" si="12"/>
        <v>2.0833333333333259E-3</v>
      </c>
      <c r="J49" s="11">
        <v>4</v>
      </c>
      <c r="K49" s="11">
        <v>38.090000000000003</v>
      </c>
      <c r="L49" s="16">
        <f t="shared" si="13"/>
        <v>190.4500000000007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3</v>
      </c>
      <c r="X49" s="11"/>
      <c r="Y49" s="11"/>
      <c r="Z49" s="11"/>
      <c r="AA49" s="11"/>
      <c r="AB49" s="11"/>
      <c r="AC49" s="11"/>
      <c r="AD49" s="11">
        <v>3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342</v>
      </c>
      <c r="F50" s="8" t="s">
        <v>42</v>
      </c>
      <c r="G50" s="9">
        <v>0.40763888888888888</v>
      </c>
      <c r="H50" s="9">
        <v>0.40972222222222221</v>
      </c>
      <c r="I50" s="10">
        <f t="shared" si="12"/>
        <v>2.0833333333333259E-3</v>
      </c>
      <c r="J50" s="11">
        <v>4</v>
      </c>
      <c r="K50" s="11">
        <v>38.909999999999997</v>
      </c>
      <c r="L50" s="16">
        <f t="shared" si="13"/>
        <v>194.55000000000067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3</v>
      </c>
      <c r="X50" s="11"/>
      <c r="Y50" s="11"/>
      <c r="Z50" s="11"/>
      <c r="AA50" s="11"/>
      <c r="AB50" s="11"/>
      <c r="AC50" s="11">
        <v>3</v>
      </c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343</v>
      </c>
      <c r="F51" s="8" t="s">
        <v>42</v>
      </c>
      <c r="G51" s="9">
        <v>0.41736111111111113</v>
      </c>
      <c r="H51" s="9">
        <v>0.41944444444444445</v>
      </c>
      <c r="I51" s="10">
        <f t="shared" si="12"/>
        <v>2.0833333333333259E-3</v>
      </c>
      <c r="J51" s="11">
        <v>4</v>
      </c>
      <c r="K51" s="11">
        <v>44.1</v>
      </c>
      <c r="L51" s="16">
        <f t="shared" si="13"/>
        <v>220.5000000000008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3</v>
      </c>
      <c r="X51" s="11"/>
      <c r="Y51" s="11"/>
      <c r="Z51" s="11"/>
      <c r="AA51" s="11"/>
      <c r="AB51" s="11">
        <v>3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344</v>
      </c>
      <c r="F52" s="8" t="s">
        <v>42</v>
      </c>
      <c r="G52" s="9">
        <v>0.45</v>
      </c>
      <c r="H52" s="9">
        <v>0.45208333333333334</v>
      </c>
      <c r="I52" s="10">
        <f t="shared" si="12"/>
        <v>2.0833333333333259E-3</v>
      </c>
      <c r="J52" s="11">
        <v>4</v>
      </c>
      <c r="K52" s="11">
        <v>38.31</v>
      </c>
      <c r="L52" s="16">
        <f t="shared" si="13"/>
        <v>191.55000000000067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3</v>
      </c>
      <c r="X52" s="11"/>
      <c r="Y52" s="11"/>
      <c r="Z52" s="11"/>
      <c r="AA52" s="11"/>
      <c r="AB52" s="11"/>
      <c r="AC52" s="11">
        <v>3</v>
      </c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/>
      <c r="F53" s="19"/>
      <c r="G53" s="19"/>
      <c r="H53" s="19"/>
      <c r="I53" s="19"/>
      <c r="J53" s="19"/>
      <c r="K53" s="19"/>
      <c r="L53" s="19"/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 t="s">
        <v>1432</v>
      </c>
      <c r="E54" s="19" t="s">
        <v>1444</v>
      </c>
      <c r="F54" s="8" t="s">
        <v>42</v>
      </c>
      <c r="G54" s="9">
        <v>0.35694444444444445</v>
      </c>
      <c r="H54" s="9">
        <v>0.36875000000000002</v>
      </c>
      <c r="I54" s="10">
        <f t="shared" si="12"/>
        <v>1.1805555555555569E-2</v>
      </c>
      <c r="J54" s="11">
        <v>4</v>
      </c>
      <c r="K54" s="11">
        <v>62.68</v>
      </c>
      <c r="L54" s="16">
        <f t="shared" si="13"/>
        <v>55.305882352941119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/>
      <c r="AD54" s="11">
        <v>17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1445</v>
      </c>
      <c r="F55" s="8" t="s">
        <v>42</v>
      </c>
      <c r="G55" s="9">
        <v>0.375</v>
      </c>
      <c r="H55" s="9">
        <v>0.38541666666666669</v>
      </c>
      <c r="I55" s="10">
        <f t="shared" si="12"/>
        <v>1.0416666666666685E-2</v>
      </c>
      <c r="J55" s="11">
        <v>4</v>
      </c>
      <c r="K55" s="11">
        <v>66.37</v>
      </c>
      <c r="L55" s="16">
        <f t="shared" si="13"/>
        <v>66.369999999999891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/>
      <c r="AC55" s="11"/>
      <c r="AD55" s="11">
        <v>15</v>
      </c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1446</v>
      </c>
      <c r="F56" s="8" t="s">
        <v>42</v>
      </c>
      <c r="G56" s="9">
        <v>0.39166666666666666</v>
      </c>
      <c r="H56" s="9">
        <v>0.40208333333333335</v>
      </c>
      <c r="I56" s="10">
        <f t="shared" si="12"/>
        <v>1.0416666666666685E-2</v>
      </c>
      <c r="J56" s="11">
        <v>4</v>
      </c>
      <c r="K56" s="11">
        <v>66.55</v>
      </c>
      <c r="L56" s="16">
        <f t="shared" si="13"/>
        <v>66.549999999999883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/>
      <c r="AD56" s="11">
        <v>15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1447</v>
      </c>
      <c r="F57" s="8" t="s">
        <v>42</v>
      </c>
      <c r="G57" s="9">
        <v>0.40833333333333333</v>
      </c>
      <c r="H57" s="9">
        <v>0.41944444444444445</v>
      </c>
      <c r="I57" s="10">
        <f t="shared" si="12"/>
        <v>1.1111111111111127E-2</v>
      </c>
      <c r="J57" s="11">
        <v>4</v>
      </c>
      <c r="K57" s="11">
        <v>67.349999999999994</v>
      </c>
      <c r="L57" s="16">
        <f t="shared" si="13"/>
        <v>63.140624999999908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/>
      <c r="AA57" s="11"/>
      <c r="AB57" s="11"/>
      <c r="AC57" s="11"/>
      <c r="AD57" s="11">
        <v>16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1448</v>
      </c>
      <c r="F58" s="8" t="s">
        <v>42</v>
      </c>
      <c r="G58" s="9">
        <v>0.41180555555555554</v>
      </c>
      <c r="H58" s="9">
        <v>0.4236111111111111</v>
      </c>
      <c r="I58" s="10">
        <f t="shared" si="12"/>
        <v>1.1805555555555569E-2</v>
      </c>
      <c r="J58" s="11">
        <v>4</v>
      </c>
      <c r="K58" s="11">
        <v>65.52</v>
      </c>
      <c r="L58" s="16">
        <f t="shared" si="13"/>
        <v>57.81176470588229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/>
      <c r="Y58" s="11"/>
      <c r="Z58" s="11"/>
      <c r="AA58" s="11"/>
      <c r="AB58" s="11">
        <v>17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1449</v>
      </c>
      <c r="F59" s="8" t="s">
        <v>42</v>
      </c>
      <c r="G59" s="9">
        <v>0.42569444444444443</v>
      </c>
      <c r="H59" s="9">
        <v>0.43472222222222223</v>
      </c>
      <c r="I59" s="10">
        <f t="shared" si="12"/>
        <v>9.0277777777778012E-3</v>
      </c>
      <c r="J59" s="11">
        <v>4</v>
      </c>
      <c r="K59" s="11">
        <v>67.150000000000006</v>
      </c>
      <c r="L59" s="16">
        <f t="shared" si="13"/>
        <v>77.480769230769042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/>
      <c r="AB59" s="11"/>
      <c r="AC59" s="11"/>
      <c r="AD59" s="11">
        <v>13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1450</v>
      </c>
      <c r="F60" s="8" t="s">
        <v>42</v>
      </c>
      <c r="G60" s="9">
        <v>0.4284722222222222</v>
      </c>
      <c r="H60" s="9">
        <v>0.43958333333333333</v>
      </c>
      <c r="I60" s="10">
        <f t="shared" si="12"/>
        <v>1.1111111111111127E-2</v>
      </c>
      <c r="J60" s="11">
        <v>4</v>
      </c>
      <c r="K60" s="11">
        <v>65.959999999999994</v>
      </c>
      <c r="L60" s="16">
        <f t="shared" si="13"/>
        <v>61.837499999999899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/>
      <c r="Z60" s="11"/>
      <c r="AA60" s="11"/>
      <c r="AB60" s="11"/>
      <c r="AC60" s="11">
        <v>16</v>
      </c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1451</v>
      </c>
      <c r="F61" s="8" t="s">
        <v>42</v>
      </c>
      <c r="G61" s="9">
        <v>0.43125000000000002</v>
      </c>
      <c r="H61" s="9">
        <v>0.44236111111111109</v>
      </c>
      <c r="I61" s="10">
        <f t="shared" si="12"/>
        <v>1.1111111111111072E-2</v>
      </c>
      <c r="J61" s="11">
        <v>4</v>
      </c>
      <c r="K61" s="11">
        <v>66.16</v>
      </c>
      <c r="L61" s="16">
        <f t="shared" si="13"/>
        <v>62.025000000000212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/>
      <c r="Y61" s="11"/>
      <c r="Z61" s="11"/>
      <c r="AA61" s="11"/>
      <c r="AB61" s="11">
        <v>16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1452</v>
      </c>
      <c r="F62" s="8" t="s">
        <v>42</v>
      </c>
      <c r="G62" s="9">
        <v>0.44097222222222221</v>
      </c>
      <c r="H62" s="9">
        <v>0.4513888888888889</v>
      </c>
      <c r="I62" s="10">
        <f t="shared" si="12"/>
        <v>1.0416666666666685E-2</v>
      </c>
      <c r="J62" s="11">
        <v>4</v>
      </c>
      <c r="K62" s="11">
        <v>65.45</v>
      </c>
      <c r="L62" s="16">
        <f t="shared" si="13"/>
        <v>65.449999999999889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2</v>
      </c>
      <c r="X62" s="11"/>
      <c r="Y62" s="11"/>
      <c r="Z62" s="11"/>
      <c r="AA62" s="11"/>
      <c r="AB62" s="11"/>
      <c r="AC62" s="11"/>
      <c r="AD62" s="11">
        <v>15</v>
      </c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2082</v>
      </c>
      <c r="F63" s="8" t="s">
        <v>42</v>
      </c>
      <c r="G63" s="9">
        <v>0.45069444444444445</v>
      </c>
      <c r="H63" s="9">
        <v>0.46180555555555558</v>
      </c>
      <c r="I63" s="10">
        <f t="shared" si="12"/>
        <v>1.1111111111111127E-2</v>
      </c>
      <c r="J63" s="11">
        <v>4</v>
      </c>
      <c r="K63" s="11">
        <v>65.94</v>
      </c>
      <c r="L63" s="16">
        <f t="shared" si="13"/>
        <v>61.818749999999909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>
        <v>16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2083</v>
      </c>
      <c r="F64" s="8" t="s">
        <v>42</v>
      </c>
      <c r="G64" s="9">
        <v>0.45624999999999999</v>
      </c>
      <c r="H64" s="9">
        <v>0.46666666666666667</v>
      </c>
      <c r="I64" s="10">
        <f t="shared" si="12"/>
        <v>1.0416666666666685E-2</v>
      </c>
      <c r="J64" s="11">
        <v>4</v>
      </c>
      <c r="K64" s="11">
        <v>65.48</v>
      </c>
      <c r="L64" s="16">
        <f t="shared" si="13"/>
        <v>65.47999999999989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2</v>
      </c>
      <c r="X64" s="11"/>
      <c r="Y64" s="11"/>
      <c r="Z64" s="11"/>
      <c r="AA64" s="11"/>
      <c r="AB64" s="11"/>
      <c r="AC64" s="11"/>
      <c r="AD64" s="11">
        <v>15</v>
      </c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2084</v>
      </c>
      <c r="F65" s="8" t="s">
        <v>42</v>
      </c>
      <c r="G65" s="9">
        <v>0.45833333333333331</v>
      </c>
      <c r="H65" s="9">
        <v>0.46666666666666667</v>
      </c>
      <c r="I65" s="10">
        <f t="shared" si="12"/>
        <v>8.3333333333333592E-3</v>
      </c>
      <c r="J65" s="11">
        <v>4</v>
      </c>
      <c r="K65" s="11">
        <v>67.72</v>
      </c>
      <c r="L65" s="16">
        <f t="shared" si="13"/>
        <v>84.649999999999736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/>
      <c r="AC65" s="11">
        <v>12</v>
      </c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2085</v>
      </c>
      <c r="F66" s="8" t="s">
        <v>42</v>
      </c>
      <c r="G66" s="9">
        <v>0.47222222222222221</v>
      </c>
      <c r="H66" s="9">
        <v>0.48194444444444445</v>
      </c>
      <c r="I66" s="10">
        <f t="shared" si="12"/>
        <v>9.7222222222222432E-3</v>
      </c>
      <c r="J66" s="11">
        <v>4</v>
      </c>
      <c r="K66" s="11">
        <v>66.760000000000005</v>
      </c>
      <c r="L66" s="16">
        <f t="shared" si="13"/>
        <v>71.528571428571283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2</v>
      </c>
      <c r="X66" s="11"/>
      <c r="Y66" s="11"/>
      <c r="Z66" s="11"/>
      <c r="AA66" s="11"/>
      <c r="AB66" s="11"/>
      <c r="AC66" s="11"/>
      <c r="AD66" s="11">
        <v>14</v>
      </c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2086</v>
      </c>
      <c r="F67" s="8" t="s">
        <v>42</v>
      </c>
      <c r="G67" s="9">
        <v>0.48749999999999999</v>
      </c>
      <c r="H67" s="9">
        <v>0.49652777777777779</v>
      </c>
      <c r="I67" s="10">
        <f t="shared" si="12"/>
        <v>9.0277777777778012E-3</v>
      </c>
      <c r="J67" s="11">
        <v>4</v>
      </c>
      <c r="K67" s="11">
        <v>66.39</v>
      </c>
      <c r="L67" s="16">
        <f t="shared" si="13"/>
        <v>76.603846153845964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/>
      <c r="AC67" s="11"/>
      <c r="AD67" s="11">
        <v>13</v>
      </c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/>
      <c r="F68" s="19"/>
      <c r="G68" s="19"/>
      <c r="H68" s="19"/>
      <c r="I68" s="19"/>
      <c r="J68" s="19"/>
      <c r="K68" s="19"/>
      <c r="L68" s="19"/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 t="s">
        <v>1813</v>
      </c>
      <c r="E69" s="19" t="s">
        <v>1990</v>
      </c>
      <c r="F69" s="8" t="s">
        <v>42</v>
      </c>
      <c r="G69" s="9">
        <v>0.35208333333333336</v>
      </c>
      <c r="H69" s="9">
        <v>0.38333333333333336</v>
      </c>
      <c r="I69" s="10">
        <f t="shared" si="12"/>
        <v>3.125E-2</v>
      </c>
      <c r="J69" s="11">
        <v>3</v>
      </c>
      <c r="K69" s="11">
        <f>0.03*3200</f>
        <v>96</v>
      </c>
      <c r="L69" s="16">
        <f t="shared" si="13"/>
        <v>42.666666666666664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>
        <v>45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1991</v>
      </c>
      <c r="F70" s="8" t="s">
        <v>42</v>
      </c>
      <c r="G70" s="9">
        <v>0.38333333333333336</v>
      </c>
      <c r="H70" s="9">
        <v>0.39652777777777776</v>
      </c>
      <c r="I70" s="10">
        <f t="shared" si="12"/>
        <v>1.3194444444444398E-2</v>
      </c>
      <c r="J70" s="11">
        <v>3</v>
      </c>
      <c r="K70" s="11">
        <f t="shared" ref="K70:K73" si="14">0.03*3200</f>
        <v>96</v>
      </c>
      <c r="L70" s="16">
        <f t="shared" si="13"/>
        <v>101.05263157894773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>
        <v>19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1992</v>
      </c>
      <c r="F71" s="8" t="s">
        <v>42</v>
      </c>
      <c r="G71" s="9">
        <v>0.40763888888888888</v>
      </c>
      <c r="H71" s="9">
        <v>0.42569444444444443</v>
      </c>
      <c r="I71" s="10">
        <f t="shared" si="12"/>
        <v>1.8055555555555547E-2</v>
      </c>
      <c r="J71" s="11">
        <v>3</v>
      </c>
      <c r="K71" s="11">
        <f t="shared" si="14"/>
        <v>96</v>
      </c>
      <c r="L71" s="16">
        <f t="shared" si="13"/>
        <v>73.846153846153882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>
        <v>26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1993</v>
      </c>
      <c r="F72" s="8" t="s">
        <v>42</v>
      </c>
      <c r="G72" s="9">
        <v>0.43055555555555558</v>
      </c>
      <c r="H72" s="9">
        <v>0.45416666666666666</v>
      </c>
      <c r="I72" s="10">
        <f t="shared" si="12"/>
        <v>2.3611111111111083E-2</v>
      </c>
      <c r="J72" s="11">
        <v>3</v>
      </c>
      <c r="K72" s="11">
        <f t="shared" si="14"/>
        <v>96</v>
      </c>
      <c r="L72" s="16">
        <f t="shared" si="13"/>
        <v>56.47058823529418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2</v>
      </c>
      <c r="W72" s="12"/>
      <c r="X72" s="11"/>
      <c r="Y72" s="11"/>
      <c r="Z72" s="11">
        <v>34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1994</v>
      </c>
      <c r="F73" s="8" t="s">
        <v>42</v>
      </c>
      <c r="G73" s="9">
        <v>0.45694444444444443</v>
      </c>
      <c r="H73" s="9">
        <v>0.46597222222222223</v>
      </c>
      <c r="I73" s="10">
        <f t="shared" si="12"/>
        <v>9.0277777777778012E-3</v>
      </c>
      <c r="J73" s="11">
        <v>3</v>
      </c>
      <c r="K73" s="11">
        <f t="shared" si="14"/>
        <v>96</v>
      </c>
      <c r="L73" s="16">
        <f t="shared" si="13"/>
        <v>147.69230769230731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2</v>
      </c>
      <c r="W73" s="12"/>
      <c r="X73" s="11"/>
      <c r="Y73" s="11"/>
      <c r="Z73" s="11">
        <v>13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1995</v>
      </c>
      <c r="F74" s="8" t="s">
        <v>42</v>
      </c>
      <c r="G74" s="9">
        <v>0.48541666666666666</v>
      </c>
      <c r="H74" s="9">
        <v>0.51180555555555551</v>
      </c>
      <c r="I74" s="10">
        <f t="shared" si="12"/>
        <v>2.6388888888888851E-2</v>
      </c>
      <c r="J74" s="11">
        <v>3</v>
      </c>
      <c r="K74" s="11">
        <f>0.03*3145</f>
        <v>94.35</v>
      </c>
      <c r="L74" s="16">
        <f t="shared" si="13"/>
        <v>49.657894736842174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/>
      <c r="Y74" s="11"/>
      <c r="Z74" s="11">
        <v>38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/>
      <c r="F75" s="19"/>
      <c r="G75" s="19"/>
      <c r="H75" s="19"/>
      <c r="I75" s="19"/>
      <c r="J75" s="19"/>
      <c r="K75" s="19"/>
      <c r="L75" s="19"/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 t="s">
        <v>2069</v>
      </c>
      <c r="E76" s="19" t="s">
        <v>2087</v>
      </c>
      <c r="F76" s="8" t="s">
        <v>42</v>
      </c>
      <c r="G76" s="9">
        <v>0.47708333333333336</v>
      </c>
      <c r="H76" s="9">
        <v>0.52986111111111112</v>
      </c>
      <c r="I76" s="10">
        <f t="shared" si="12"/>
        <v>5.2777777777777757E-2</v>
      </c>
      <c r="J76" s="11">
        <v>4</v>
      </c>
      <c r="K76" s="11">
        <v>90.15</v>
      </c>
      <c r="L76" s="16">
        <f t="shared" si="13"/>
        <v>17.792763157894743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2</v>
      </c>
      <c r="W76" s="12"/>
      <c r="X76" s="11"/>
      <c r="Y76" s="11"/>
      <c r="Z76" s="11"/>
      <c r="AA76" s="11"/>
      <c r="AB76" s="11"/>
      <c r="AC76" s="11">
        <v>76</v>
      </c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2088</v>
      </c>
      <c r="F77" s="8" t="s">
        <v>42</v>
      </c>
      <c r="G77" s="9">
        <v>0.47916666666666669</v>
      </c>
      <c r="H77" s="9">
        <v>0.54166666666666663</v>
      </c>
      <c r="I77" s="10">
        <f t="shared" si="12"/>
        <v>6.2499999999999944E-2</v>
      </c>
      <c r="J77" s="11">
        <v>4</v>
      </c>
      <c r="K77" s="11">
        <v>90.36</v>
      </c>
      <c r="L77" s="16">
        <f t="shared" si="13"/>
        <v>15.060000000000015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/>
      <c r="AA77" s="11"/>
      <c r="AB77" s="11">
        <v>90</v>
      </c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2089</v>
      </c>
      <c r="F78" s="8" t="s">
        <v>42</v>
      </c>
      <c r="G78" s="9">
        <v>0.50277777777777777</v>
      </c>
      <c r="H78" s="9">
        <v>0.54791666666666672</v>
      </c>
      <c r="I78" s="10">
        <f t="shared" si="12"/>
        <v>4.5138888888888951E-2</v>
      </c>
      <c r="J78" s="11">
        <v>4</v>
      </c>
      <c r="K78" s="11">
        <v>106.51</v>
      </c>
      <c r="L78" s="16">
        <f t="shared" si="13"/>
        <v>24.579230769230737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/>
      <c r="Z78" s="11"/>
      <c r="AA78" s="11"/>
      <c r="AB78" s="11"/>
      <c r="AC78" s="11"/>
      <c r="AD78" s="11">
        <v>65</v>
      </c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643</v>
      </c>
      <c r="F79" s="8" t="s">
        <v>42</v>
      </c>
      <c r="G79" s="9">
        <v>0.62361111111111112</v>
      </c>
      <c r="H79" s="9">
        <v>0.62916666666666665</v>
      </c>
      <c r="I79" s="10">
        <f t="shared" si="12"/>
        <v>5.5555555555555358E-3</v>
      </c>
      <c r="J79" s="11">
        <v>4</v>
      </c>
      <c r="K79" s="11">
        <v>60.39</v>
      </c>
      <c r="L79" s="16">
        <f t="shared" si="13"/>
        <v>113.2312500000004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2</v>
      </c>
      <c r="W79" s="12"/>
      <c r="X79" s="11"/>
      <c r="Y79" s="11"/>
      <c r="Z79" s="11"/>
      <c r="AA79" s="11"/>
      <c r="AB79" s="11"/>
      <c r="AC79" s="11"/>
      <c r="AD79" s="11">
        <v>8</v>
      </c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644</v>
      </c>
      <c r="F80" s="8" t="s">
        <v>42</v>
      </c>
      <c r="G80" s="9">
        <v>0.63541666666666663</v>
      </c>
      <c r="H80" s="9">
        <v>0.64027777777777772</v>
      </c>
      <c r="I80" s="10">
        <f t="shared" si="12"/>
        <v>4.8611111111110938E-3</v>
      </c>
      <c r="J80" s="11">
        <v>4</v>
      </c>
      <c r="K80" s="11">
        <v>61.7</v>
      </c>
      <c r="L80" s="16">
        <f t="shared" si="13"/>
        <v>132.21428571428621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/>
      <c r="AB80" s="11"/>
      <c r="AC80" s="11"/>
      <c r="AD80" s="11">
        <v>7</v>
      </c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645</v>
      </c>
      <c r="F81" s="8" t="s">
        <v>42</v>
      </c>
      <c r="G81" s="9">
        <v>0.64930555555555558</v>
      </c>
      <c r="H81" s="9">
        <v>0.65416666666666667</v>
      </c>
      <c r="I81" s="10">
        <f t="shared" si="12"/>
        <v>4.8611111111110938E-3</v>
      </c>
      <c r="J81" s="11">
        <v>4</v>
      </c>
      <c r="K81" s="11">
        <v>62.36</v>
      </c>
      <c r="L81" s="16">
        <f t="shared" si="13"/>
        <v>133.62857142857192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/>
      <c r="AA81" s="11"/>
      <c r="AB81" s="11"/>
      <c r="AC81" s="11"/>
      <c r="AD81" s="11">
        <v>7</v>
      </c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646</v>
      </c>
      <c r="F82" s="8" t="s">
        <v>42</v>
      </c>
      <c r="G82" s="9">
        <v>0.66111111111111109</v>
      </c>
      <c r="H82" s="9">
        <v>0.66388888888888886</v>
      </c>
      <c r="I82" s="10">
        <f t="shared" si="12"/>
        <v>2.7777777777777679E-3</v>
      </c>
      <c r="J82" s="11">
        <v>4</v>
      </c>
      <c r="K82" s="11">
        <v>63.04</v>
      </c>
      <c r="L82" s="16">
        <f t="shared" si="13"/>
        <v>236.40000000000086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2</v>
      </c>
      <c r="X82" s="11"/>
      <c r="Y82" s="11"/>
      <c r="Z82" s="11"/>
      <c r="AA82" s="11"/>
      <c r="AB82" s="11"/>
      <c r="AC82" s="11"/>
      <c r="AD82" s="11">
        <v>4</v>
      </c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647</v>
      </c>
      <c r="F83" s="8" t="s">
        <v>42</v>
      </c>
      <c r="G83" s="9">
        <v>0.66805555555555551</v>
      </c>
      <c r="H83" s="9">
        <v>0.67291666666666672</v>
      </c>
      <c r="I83" s="10">
        <f t="shared" si="12"/>
        <v>4.8611111111112049E-3</v>
      </c>
      <c r="J83" s="11">
        <v>4</v>
      </c>
      <c r="K83" s="11">
        <v>60.12</v>
      </c>
      <c r="L83" s="16">
        <f t="shared" si="13"/>
        <v>128.82857142856895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/>
      <c r="AB83" s="11"/>
      <c r="AC83" s="11"/>
      <c r="AD83" s="11">
        <v>7</v>
      </c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648</v>
      </c>
      <c r="F84" s="8" t="s">
        <v>42</v>
      </c>
      <c r="G84" s="9">
        <v>0.67777777777777781</v>
      </c>
      <c r="H84" s="9">
        <v>0.68333333333333335</v>
      </c>
      <c r="I84" s="10">
        <f t="shared" si="12"/>
        <v>5.5555555555555358E-3</v>
      </c>
      <c r="J84" s="11">
        <v>4</v>
      </c>
      <c r="K84" s="11">
        <v>61.02</v>
      </c>
      <c r="L84" s="16">
        <f t="shared" si="13"/>
        <v>114.41250000000042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2</v>
      </c>
      <c r="W84" s="12"/>
      <c r="X84" s="11"/>
      <c r="Y84" s="11"/>
      <c r="Z84" s="11"/>
      <c r="AA84" s="11"/>
      <c r="AB84" s="11"/>
      <c r="AC84" s="11"/>
      <c r="AD84" s="11">
        <v>8</v>
      </c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2090</v>
      </c>
      <c r="F85" s="8" t="s">
        <v>42</v>
      </c>
      <c r="G85" s="9">
        <v>0.63124999999999998</v>
      </c>
      <c r="H85" s="9">
        <v>0.63124999999999998</v>
      </c>
      <c r="I85" s="10">
        <f t="shared" si="12"/>
        <v>0</v>
      </c>
      <c r="J85" s="11">
        <v>4</v>
      </c>
      <c r="K85" s="11">
        <v>1.66</v>
      </c>
      <c r="L85" s="16" t="str">
        <f t="shared" si="13"/>
        <v>0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2</v>
      </c>
      <c r="W85" s="12"/>
      <c r="X85" s="11"/>
      <c r="Y85" s="11"/>
      <c r="Z85" s="11"/>
      <c r="AA85" s="11"/>
      <c r="AB85" s="11">
        <v>5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2091</v>
      </c>
      <c r="F86" s="8" t="s">
        <v>42</v>
      </c>
      <c r="G86" s="9">
        <v>0.43263888888888891</v>
      </c>
      <c r="H86" s="9">
        <v>0.46041666666666664</v>
      </c>
      <c r="I86" s="10">
        <f t="shared" si="12"/>
        <v>2.7777777777777735E-2</v>
      </c>
      <c r="J86" s="11">
        <v>4</v>
      </c>
      <c r="K86" s="11">
        <v>85.72</v>
      </c>
      <c r="L86" s="16">
        <f t="shared" si="13"/>
        <v>32.145000000000046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/>
      <c r="Y86" s="11">
        <v>40</v>
      </c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2092</v>
      </c>
      <c r="F87" s="8" t="s">
        <v>42</v>
      </c>
      <c r="G87" s="9">
        <v>0.4375</v>
      </c>
      <c r="H87" s="9">
        <v>0.46527777777777779</v>
      </c>
      <c r="I87" s="10">
        <f t="shared" si="12"/>
        <v>2.777777777777779E-2</v>
      </c>
      <c r="J87" s="11">
        <v>4</v>
      </c>
      <c r="K87" s="11">
        <v>85.72</v>
      </c>
      <c r="L87" s="16">
        <f t="shared" si="13"/>
        <v>32.144999999999989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>
        <v>40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2093</v>
      </c>
      <c r="F88" s="8" t="s">
        <v>42</v>
      </c>
      <c r="G88" s="9">
        <v>0.44583333333333336</v>
      </c>
      <c r="H88" s="9">
        <v>0.47361111111111109</v>
      </c>
      <c r="I88" s="10">
        <f t="shared" si="12"/>
        <v>2.7777777777777735E-2</v>
      </c>
      <c r="J88" s="11">
        <v>4</v>
      </c>
      <c r="K88" s="11">
        <v>8.5719999999999992</v>
      </c>
      <c r="L88" s="16">
        <f t="shared" si="13"/>
        <v>3.2145000000000046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/>
      <c r="AA88" s="11">
        <v>40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2094</v>
      </c>
      <c r="F89" s="8" t="s">
        <v>42</v>
      </c>
      <c r="G89" s="9">
        <v>0.44583333333333336</v>
      </c>
      <c r="H89" s="9">
        <v>0.47361111111111109</v>
      </c>
      <c r="I89" s="10">
        <f t="shared" si="12"/>
        <v>2.7777777777777735E-2</v>
      </c>
      <c r="J89" s="11">
        <v>4</v>
      </c>
      <c r="K89" s="11">
        <v>77.147999999999996</v>
      </c>
      <c r="L89" s="16">
        <f t="shared" si="13"/>
        <v>28.930500000000041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/>
      <c r="Z89" s="11"/>
      <c r="AA89" s="11">
        <v>40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2095</v>
      </c>
      <c r="F90" s="8" t="s">
        <v>42</v>
      </c>
      <c r="G90" s="9">
        <v>0.46944444444444444</v>
      </c>
      <c r="H90" s="9">
        <v>0.49722222222222223</v>
      </c>
      <c r="I90" s="10">
        <f t="shared" si="12"/>
        <v>2.777777777777779E-2</v>
      </c>
      <c r="J90" s="11">
        <v>4</v>
      </c>
      <c r="K90" s="11">
        <v>85.72</v>
      </c>
      <c r="L90" s="16">
        <f t="shared" si="13"/>
        <v>32.144999999999989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>
        <v>40</v>
      </c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2096</v>
      </c>
      <c r="F91" s="8" t="s">
        <v>42</v>
      </c>
      <c r="G91" s="9">
        <v>0.47638888888888886</v>
      </c>
      <c r="H91" s="9">
        <v>0.50416666666666665</v>
      </c>
      <c r="I91" s="10">
        <f t="shared" si="12"/>
        <v>2.777777777777779E-2</v>
      </c>
      <c r="J91" s="11">
        <v>4</v>
      </c>
      <c r="K91" s="11">
        <v>17.143999999999998</v>
      </c>
      <c r="L91" s="16">
        <f t="shared" si="13"/>
        <v>6.4289999999999958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>
        <v>40</v>
      </c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2097</v>
      </c>
      <c r="F92" s="8" t="s">
        <v>42</v>
      </c>
      <c r="G92" s="9">
        <v>0.47638888888888886</v>
      </c>
      <c r="H92" s="9">
        <v>0.50416666666666665</v>
      </c>
      <c r="I92" s="10">
        <f t="shared" si="12"/>
        <v>2.777777777777779E-2</v>
      </c>
      <c r="J92" s="11">
        <v>4</v>
      </c>
      <c r="K92" s="11">
        <v>68.575999999999993</v>
      </c>
      <c r="L92" s="16">
        <f t="shared" si="13"/>
        <v>25.715999999999983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>
        <v>40</v>
      </c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2098</v>
      </c>
      <c r="F93" s="8" t="s">
        <v>42</v>
      </c>
      <c r="G93" s="9">
        <v>0.5805555555555556</v>
      </c>
      <c r="H93" s="9">
        <v>0.60833333333333328</v>
      </c>
      <c r="I93" s="10">
        <f t="shared" si="12"/>
        <v>2.7777777777777679E-2</v>
      </c>
      <c r="J93" s="11">
        <v>4</v>
      </c>
      <c r="K93" s="11">
        <v>85.72</v>
      </c>
      <c r="L93" s="16">
        <f t="shared" si="13"/>
        <v>32.145000000000117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2</v>
      </c>
      <c r="X93" s="11"/>
      <c r="Y93" s="11">
        <v>40</v>
      </c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2099</v>
      </c>
      <c r="F94" s="8" t="s">
        <v>42</v>
      </c>
      <c r="G94" s="9">
        <v>0.58750000000000002</v>
      </c>
      <c r="H94" s="9">
        <v>0.61527777777777781</v>
      </c>
      <c r="I94" s="10">
        <f t="shared" si="12"/>
        <v>2.777777777777779E-2</v>
      </c>
      <c r="J94" s="11">
        <v>4</v>
      </c>
      <c r="K94" s="11">
        <v>25.716000000000001</v>
      </c>
      <c r="L94" s="16">
        <f t="shared" si="13"/>
        <v>9.643499999999996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2</v>
      </c>
      <c r="X94" s="11"/>
      <c r="Y94" s="11"/>
      <c r="Z94" s="11">
        <v>40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2100</v>
      </c>
      <c r="F95" s="8" t="s">
        <v>42</v>
      </c>
      <c r="G95" s="9">
        <v>0.58750000000000002</v>
      </c>
      <c r="H95" s="9">
        <v>0.61527777777777781</v>
      </c>
      <c r="I95" s="10">
        <f t="shared" si="12"/>
        <v>2.777777777777779E-2</v>
      </c>
      <c r="J95" s="11">
        <v>4</v>
      </c>
      <c r="K95" s="11">
        <v>60.003999999999998</v>
      </c>
      <c r="L95" s="16">
        <f t="shared" si="13"/>
        <v>22.501499999999989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2</v>
      </c>
      <c r="X95" s="11"/>
      <c r="Y95" s="11"/>
      <c r="Z95" s="11">
        <v>40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2101</v>
      </c>
      <c r="F96" s="8" t="s">
        <v>42</v>
      </c>
      <c r="G96" s="9">
        <v>0.59722222222222221</v>
      </c>
      <c r="H96" s="9">
        <v>0.625</v>
      </c>
      <c r="I96" s="10">
        <f t="shared" si="12"/>
        <v>2.777777777777779E-2</v>
      </c>
      <c r="J96" s="11">
        <v>4</v>
      </c>
      <c r="K96" s="11">
        <v>85.72</v>
      </c>
      <c r="L96" s="16">
        <f t="shared" si="13"/>
        <v>32.144999999999989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2</v>
      </c>
      <c r="X96" s="11"/>
      <c r="Y96" s="11"/>
      <c r="Z96" s="11"/>
      <c r="AA96" s="11">
        <v>40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2102</v>
      </c>
      <c r="F97" s="8" t="s">
        <v>42</v>
      </c>
      <c r="G97" s="9">
        <v>0.59652777777777777</v>
      </c>
      <c r="H97" s="9">
        <v>0.62430555555555556</v>
      </c>
      <c r="I97" s="10">
        <f t="shared" si="12"/>
        <v>2.777777777777779E-2</v>
      </c>
      <c r="J97" s="11">
        <v>4</v>
      </c>
      <c r="K97" s="11">
        <v>34.287999999999997</v>
      </c>
      <c r="L97" s="16">
        <f t="shared" si="13"/>
        <v>12.857999999999992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2</v>
      </c>
      <c r="X97" s="11">
        <v>40</v>
      </c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2103</v>
      </c>
      <c r="F98" s="8" t="s">
        <v>42</v>
      </c>
      <c r="G98" s="9">
        <v>0.59652777777777777</v>
      </c>
      <c r="H98" s="9">
        <v>0.62430555555555556</v>
      </c>
      <c r="I98" s="10">
        <f t="shared" si="12"/>
        <v>2.777777777777779E-2</v>
      </c>
      <c r="J98" s="11">
        <v>4</v>
      </c>
      <c r="K98" s="11">
        <v>51.432000000000002</v>
      </c>
      <c r="L98" s="16">
        <f t="shared" si="13"/>
        <v>19.286999999999992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2</v>
      </c>
      <c r="X98" s="11">
        <v>40</v>
      </c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2104</v>
      </c>
      <c r="F99" s="8" t="s">
        <v>42</v>
      </c>
      <c r="G99" s="9">
        <v>0.625</v>
      </c>
      <c r="H99" s="9">
        <v>0.65277777777777779</v>
      </c>
      <c r="I99" s="10">
        <f t="shared" si="12"/>
        <v>2.777777777777779E-2</v>
      </c>
      <c r="J99" s="11">
        <v>4</v>
      </c>
      <c r="K99" s="11">
        <v>85.72</v>
      </c>
      <c r="L99" s="16">
        <f t="shared" si="13"/>
        <v>32.144999999999989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>
        <v>2</v>
      </c>
      <c r="X99" s="11"/>
      <c r="Y99" s="11"/>
      <c r="Z99" s="11">
        <v>40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2105</v>
      </c>
      <c r="F100" s="8" t="s">
        <v>42</v>
      </c>
      <c r="G100" s="9">
        <v>0.63402777777777775</v>
      </c>
      <c r="H100" s="9">
        <v>0.66180555555555554</v>
      </c>
      <c r="I100" s="10">
        <f t="shared" si="12"/>
        <v>2.777777777777779E-2</v>
      </c>
      <c r="J100" s="11">
        <v>4</v>
      </c>
      <c r="K100" s="11">
        <v>42.86</v>
      </c>
      <c r="L100" s="16">
        <f t="shared" si="13"/>
        <v>16.072499999999994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>
        <v>2</v>
      </c>
      <c r="X100" s="11"/>
      <c r="Y100" s="11"/>
      <c r="Z100" s="11"/>
      <c r="AA100" s="11">
        <v>40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2106</v>
      </c>
      <c r="F101" s="8" t="s">
        <v>42</v>
      </c>
      <c r="G101" s="9">
        <v>0.63402777777777775</v>
      </c>
      <c r="H101" s="9">
        <v>0.66180555555555554</v>
      </c>
      <c r="I101" s="10">
        <f t="shared" si="12"/>
        <v>2.777777777777779E-2</v>
      </c>
      <c r="J101" s="11">
        <v>4</v>
      </c>
      <c r="K101" s="11">
        <v>42.86</v>
      </c>
      <c r="L101" s="16">
        <f t="shared" si="13"/>
        <v>16.072499999999994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>
        <v>2</v>
      </c>
      <c r="X101" s="11"/>
      <c r="Y101" s="11"/>
      <c r="Z101" s="11"/>
      <c r="AA101" s="11">
        <v>40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2107</v>
      </c>
      <c r="F102" s="8" t="s">
        <v>42</v>
      </c>
      <c r="G102" s="9">
        <v>0.64097222222222228</v>
      </c>
      <c r="H102" s="9">
        <v>0.66874999999999996</v>
      </c>
      <c r="I102" s="10">
        <f t="shared" si="12"/>
        <v>2.7777777777777679E-2</v>
      </c>
      <c r="J102" s="11">
        <v>4</v>
      </c>
      <c r="K102" s="11">
        <v>85.72</v>
      </c>
      <c r="L102" s="16">
        <f t="shared" si="13"/>
        <v>32.145000000000117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>
        <v>2</v>
      </c>
      <c r="X102" s="11"/>
      <c r="Y102" s="11">
        <v>40</v>
      </c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2108</v>
      </c>
      <c r="F103" s="8" t="s">
        <v>42</v>
      </c>
      <c r="G103" s="9">
        <v>0.64513888888888893</v>
      </c>
      <c r="H103" s="9">
        <v>0.67291666666666672</v>
      </c>
      <c r="I103" s="10">
        <f t="shared" si="12"/>
        <v>2.777777777777779E-2</v>
      </c>
      <c r="J103" s="11">
        <v>4</v>
      </c>
      <c r="K103" s="11">
        <v>51.432000000000002</v>
      </c>
      <c r="L103" s="16">
        <f t="shared" si="13"/>
        <v>19.286999999999992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2</v>
      </c>
      <c r="X103" s="11">
        <v>40</v>
      </c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2109</v>
      </c>
      <c r="F104" s="8" t="s">
        <v>42</v>
      </c>
      <c r="G104" s="9">
        <v>0.68402777777777779</v>
      </c>
      <c r="H104" s="9">
        <v>0.69097222222222221</v>
      </c>
      <c r="I104" s="10">
        <f t="shared" ref="I104:I126" si="15">H104-G104</f>
        <v>6.9444444444444198E-3</v>
      </c>
      <c r="J104" s="11">
        <v>4</v>
      </c>
      <c r="K104" s="11">
        <v>34.770000000000003</v>
      </c>
      <c r="L104" s="16">
        <f t="shared" ref="L104:L126" si="16">IFERROR(((K104/(J104*I104)/24)),"0")</f>
        <v>52.155000000000193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>
        <v>2</v>
      </c>
      <c r="W104" s="12"/>
      <c r="X104" s="11"/>
      <c r="Y104" s="11"/>
      <c r="Z104" s="11"/>
      <c r="AA104" s="11"/>
      <c r="AB104" s="11">
        <v>10</v>
      </c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/>
      <c r="F105" s="8"/>
      <c r="G105" s="9"/>
      <c r="H105" s="9"/>
      <c r="I105" s="10"/>
      <c r="J105" s="11"/>
      <c r="K105" s="11"/>
      <c r="L105" s="16"/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6" t="s">
        <v>2077</v>
      </c>
      <c r="E106" s="19" t="s">
        <v>2110</v>
      </c>
      <c r="F106" s="8" t="s">
        <v>42</v>
      </c>
      <c r="G106" s="9">
        <v>0.59861111111111109</v>
      </c>
      <c r="H106" s="9">
        <v>0.60972222222222228</v>
      </c>
      <c r="I106" s="10">
        <f t="shared" si="15"/>
        <v>1.1111111111111183E-2</v>
      </c>
      <c r="J106" s="11">
        <v>4</v>
      </c>
      <c r="K106" s="11">
        <v>63</v>
      </c>
      <c r="L106" s="16">
        <f t="shared" si="16"/>
        <v>59.062499999999623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2111</v>
      </c>
      <c r="F107" s="8" t="s">
        <v>42</v>
      </c>
      <c r="G107" s="9">
        <v>0.66805555555555551</v>
      </c>
      <c r="H107" s="9">
        <v>0.6791666666666667</v>
      </c>
      <c r="I107" s="10">
        <f t="shared" si="15"/>
        <v>1.1111111111111183E-2</v>
      </c>
      <c r="J107" s="11">
        <v>4</v>
      </c>
      <c r="K107" s="11">
        <v>13.55</v>
      </c>
      <c r="L107" s="16">
        <f t="shared" si="16"/>
        <v>12.70312499999992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2002</v>
      </c>
      <c r="F108" s="8" t="s">
        <v>42</v>
      </c>
      <c r="G108" s="9">
        <v>0.61527777777777781</v>
      </c>
      <c r="H108" s="9">
        <v>0.62361111111111112</v>
      </c>
      <c r="I108" s="10">
        <f t="shared" si="15"/>
        <v>8.3333333333333037E-3</v>
      </c>
      <c r="J108" s="11">
        <v>2</v>
      </c>
      <c r="K108" s="11">
        <v>12.63</v>
      </c>
      <c r="L108" s="16">
        <f t="shared" si="16"/>
        <v>31.575000000000113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2004</v>
      </c>
      <c r="F109" s="8" t="s">
        <v>42</v>
      </c>
      <c r="G109" s="9">
        <v>0.64027777777777772</v>
      </c>
      <c r="H109" s="9">
        <v>0.64027777777777772</v>
      </c>
      <c r="I109" s="10">
        <f t="shared" si="15"/>
        <v>0</v>
      </c>
      <c r="J109" s="11">
        <v>4</v>
      </c>
      <c r="K109" s="11">
        <v>7.71</v>
      </c>
      <c r="L109" s="16" t="str">
        <f t="shared" si="16"/>
        <v>0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2005</v>
      </c>
      <c r="F110" s="8" t="s">
        <v>42</v>
      </c>
      <c r="G110" s="9">
        <v>0.66597222222222219</v>
      </c>
      <c r="H110" s="9">
        <v>0.67291666666666672</v>
      </c>
      <c r="I110" s="10">
        <f t="shared" si="15"/>
        <v>6.9444444444445308E-3</v>
      </c>
      <c r="J110" s="11">
        <v>4</v>
      </c>
      <c r="K110" s="11">
        <v>53.97</v>
      </c>
      <c r="L110" s="16">
        <f t="shared" si="16"/>
        <v>80.954999999998989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19" t="s">
        <v>2112</v>
      </c>
      <c r="F111" s="8" t="s">
        <v>42</v>
      </c>
      <c r="G111" s="9">
        <v>0.65069444444444446</v>
      </c>
      <c r="H111" s="9">
        <v>0.65069444444444446</v>
      </c>
      <c r="I111" s="10">
        <f t="shared" si="15"/>
        <v>0</v>
      </c>
      <c r="J111" s="11">
        <v>4</v>
      </c>
      <c r="K111" s="11">
        <v>1.06</v>
      </c>
      <c r="L111" s="16" t="str">
        <f t="shared" si="16"/>
        <v>0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19" t="s">
        <v>2113</v>
      </c>
      <c r="F112" s="8" t="s">
        <v>42</v>
      </c>
      <c r="G112" s="9">
        <v>0.64652777777777781</v>
      </c>
      <c r="H112" s="9">
        <v>0.64652777777777781</v>
      </c>
      <c r="I112" s="10">
        <f t="shared" si="15"/>
        <v>0</v>
      </c>
      <c r="J112" s="11">
        <v>4</v>
      </c>
      <c r="K112" s="11">
        <v>1.02</v>
      </c>
      <c r="L112" s="16" t="str">
        <f t="shared" si="16"/>
        <v>0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1:38" ht="25.05" customHeight="1">
      <c r="B113" s="13"/>
      <c r="C113" s="29"/>
      <c r="D113" s="30"/>
      <c r="E113" s="119" t="s">
        <v>2006</v>
      </c>
      <c r="F113" s="8" t="s">
        <v>42</v>
      </c>
      <c r="G113" s="9">
        <v>0.64166666666666672</v>
      </c>
      <c r="H113" s="9">
        <v>0.64166666666666672</v>
      </c>
      <c r="I113" s="10">
        <f t="shared" si="15"/>
        <v>0</v>
      </c>
      <c r="J113" s="11">
        <v>4</v>
      </c>
      <c r="K113" s="11">
        <v>20.079999999999998</v>
      </c>
      <c r="L113" s="16" t="str">
        <f t="shared" si="16"/>
        <v>0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1:38" ht="25.05" customHeight="1">
      <c r="B114" s="13"/>
      <c r="C114" s="29"/>
      <c r="D114" s="30"/>
      <c r="E114" s="119" t="s">
        <v>2114</v>
      </c>
      <c r="F114" s="8" t="s">
        <v>42</v>
      </c>
      <c r="G114" s="9">
        <v>0.67361111111111116</v>
      </c>
      <c r="H114" s="9">
        <v>0.67361111111111116</v>
      </c>
      <c r="I114" s="10">
        <f t="shared" si="15"/>
        <v>0</v>
      </c>
      <c r="J114" s="11">
        <v>4</v>
      </c>
      <c r="K114" s="11">
        <v>0.02</v>
      </c>
      <c r="L114" s="16" t="str">
        <f t="shared" si="16"/>
        <v>0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1:38" ht="25.05" customHeight="1">
      <c r="B115" s="13"/>
      <c r="C115" s="29"/>
      <c r="D115" s="30"/>
      <c r="E115" s="120" t="s">
        <v>1018</v>
      </c>
      <c r="F115" s="8" t="s">
        <v>42</v>
      </c>
      <c r="G115" s="9">
        <v>0.63958333333333328</v>
      </c>
      <c r="H115" s="9">
        <v>0.63958333333333328</v>
      </c>
      <c r="I115" s="10">
        <f t="shared" si="15"/>
        <v>0</v>
      </c>
      <c r="J115" s="11">
        <v>4</v>
      </c>
      <c r="K115" s="11">
        <v>8.9</v>
      </c>
      <c r="L115" s="16" t="str">
        <f t="shared" si="16"/>
        <v>0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1:38" ht="25.05" customHeight="1">
      <c r="B116" s="13"/>
      <c r="C116" s="29"/>
      <c r="D116" s="30"/>
      <c r="E116" s="19" t="s">
        <v>2115</v>
      </c>
      <c r="F116" s="8" t="s">
        <v>42</v>
      </c>
      <c r="G116" s="9">
        <v>0.5</v>
      </c>
      <c r="H116" s="9">
        <v>0.53125</v>
      </c>
      <c r="I116" s="10">
        <f t="shared" si="15"/>
        <v>3.125E-2</v>
      </c>
      <c r="J116" s="11">
        <v>4</v>
      </c>
      <c r="K116" s="11">
        <v>12</v>
      </c>
      <c r="L116" s="16">
        <f t="shared" si="16"/>
        <v>4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1:38" ht="25.05" customHeight="1">
      <c r="B117" s="13"/>
      <c r="C117" s="29"/>
      <c r="D117" s="30"/>
      <c r="E117" s="19" t="s">
        <v>2116</v>
      </c>
      <c r="F117" s="8" t="s">
        <v>42</v>
      </c>
      <c r="G117" s="9">
        <v>0.65486111111111112</v>
      </c>
      <c r="H117" s="9">
        <v>0.65625</v>
      </c>
      <c r="I117" s="10">
        <f t="shared" si="15"/>
        <v>1.388888888888884E-3</v>
      </c>
      <c r="J117" s="11">
        <v>4</v>
      </c>
      <c r="K117" s="62" t="s">
        <v>42</v>
      </c>
      <c r="L117" s="16" t="str">
        <f t="shared" si="16"/>
        <v>0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1:38" ht="25.05" customHeight="1">
      <c r="B118" s="13"/>
      <c r="C118" s="29"/>
      <c r="D118" s="30"/>
      <c r="E118" s="30"/>
      <c r="F118" s="30"/>
      <c r="G118" s="30"/>
      <c r="H118" s="30"/>
      <c r="I118" s="30"/>
      <c r="J118" s="30"/>
      <c r="K118" s="30"/>
      <c r="L118" s="30"/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1:38" ht="25.05" customHeight="1">
      <c r="B119" s="13"/>
      <c r="C119" s="29"/>
      <c r="D119" s="30" t="s">
        <v>2117</v>
      </c>
      <c r="E119" s="30" t="s">
        <v>2118</v>
      </c>
      <c r="F119" s="8" t="s">
        <v>42</v>
      </c>
      <c r="G119" s="9">
        <v>0.62152777777777779</v>
      </c>
      <c r="H119" s="9">
        <v>0.64513888888888893</v>
      </c>
      <c r="I119" s="10">
        <f t="shared" si="15"/>
        <v>2.3611111111111138E-2</v>
      </c>
      <c r="J119" s="11">
        <v>4</v>
      </c>
      <c r="K119" s="11">
        <v>68.52</v>
      </c>
      <c r="L119" s="16">
        <f t="shared" si="16"/>
        <v>30.229411764705844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1:38" ht="25.05" customHeight="1">
      <c r="B120" s="13"/>
      <c r="C120" s="29"/>
      <c r="D120" s="30"/>
      <c r="E120" s="19" t="s">
        <v>2115</v>
      </c>
      <c r="F120" s="8" t="s">
        <v>42</v>
      </c>
      <c r="G120" s="9">
        <v>0.5</v>
      </c>
      <c r="H120" s="9">
        <v>0.53125</v>
      </c>
      <c r="I120" s="10">
        <f t="shared" si="15"/>
        <v>3.125E-2</v>
      </c>
      <c r="J120" s="11">
        <v>4</v>
      </c>
      <c r="K120" s="11">
        <v>12</v>
      </c>
      <c r="L120" s="16">
        <f t="shared" si="16"/>
        <v>4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1:38" ht="25.05" customHeight="1">
      <c r="B121" s="13"/>
      <c r="C121" s="29"/>
      <c r="D121" s="30"/>
      <c r="E121" s="19"/>
      <c r="F121" s="8"/>
      <c r="G121" s="9"/>
      <c r="H121" s="9"/>
      <c r="I121" s="10"/>
      <c r="J121" s="11"/>
      <c r="K121" s="11"/>
      <c r="L121" s="16"/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1:38" ht="25.05" customHeight="1">
      <c r="B122" s="13"/>
      <c r="C122" s="29"/>
      <c r="D122" s="30" t="s">
        <v>1813</v>
      </c>
      <c r="E122" s="19" t="s">
        <v>71</v>
      </c>
      <c r="F122" s="8" t="s">
        <v>42</v>
      </c>
      <c r="G122" s="9">
        <v>0.65625</v>
      </c>
      <c r="H122" s="9">
        <v>0.68611111111111112</v>
      </c>
      <c r="I122" s="10">
        <f t="shared" si="15"/>
        <v>2.9861111111111116E-2</v>
      </c>
      <c r="J122" s="11">
        <v>4</v>
      </c>
      <c r="K122" s="11">
        <v>80.52</v>
      </c>
      <c r="L122" s="16">
        <f t="shared" si="16"/>
        <v>28.088372093023249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/>
      <c r="W122" s="12"/>
      <c r="X122" s="11"/>
      <c r="Y122" s="11"/>
      <c r="Z122" s="11"/>
      <c r="AA122" s="11"/>
      <c r="AB122" s="11"/>
      <c r="AC122" s="11"/>
      <c r="AD122" s="11"/>
      <c r="AE122" s="11"/>
      <c r="AF122" s="11"/>
      <c r="AG122" s="11">
        <v>10.75</v>
      </c>
      <c r="AH122" s="11">
        <v>10.75</v>
      </c>
      <c r="AI122" s="11">
        <v>10.75</v>
      </c>
      <c r="AJ122" s="11">
        <v>10.75</v>
      </c>
      <c r="AK122" s="11"/>
      <c r="AL122" s="14"/>
    </row>
    <row r="123" spans="1:38" ht="25.05" customHeight="1">
      <c r="B123" s="13"/>
      <c r="C123" s="29"/>
      <c r="D123" s="30"/>
      <c r="E123" s="19" t="s">
        <v>72</v>
      </c>
      <c r="F123" s="8" t="s">
        <v>42</v>
      </c>
      <c r="G123" s="9">
        <v>0.68680555555555556</v>
      </c>
      <c r="H123" s="9">
        <v>0.70486111111111116</v>
      </c>
      <c r="I123" s="10">
        <f t="shared" si="15"/>
        <v>1.8055555555555602E-2</v>
      </c>
      <c r="J123" s="11">
        <v>4</v>
      </c>
      <c r="K123" s="11">
        <v>80.599999999999994</v>
      </c>
      <c r="L123" s="16">
        <f t="shared" si="16"/>
        <v>46.499999999999879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/>
      <c r="W123" s="12"/>
      <c r="X123" s="11"/>
      <c r="Y123" s="11"/>
      <c r="Z123" s="11"/>
      <c r="AA123" s="11"/>
      <c r="AB123" s="11"/>
      <c r="AC123" s="11"/>
      <c r="AD123" s="11"/>
      <c r="AE123" s="11"/>
      <c r="AF123" s="11"/>
      <c r="AG123" s="11">
        <v>6.5</v>
      </c>
      <c r="AH123" s="11">
        <v>6.5</v>
      </c>
      <c r="AI123" s="11">
        <v>6.5</v>
      </c>
      <c r="AJ123" s="11">
        <v>6.5</v>
      </c>
      <c r="AK123" s="11"/>
      <c r="AL123" s="14"/>
    </row>
    <row r="124" spans="1:38" ht="25.05" customHeight="1">
      <c r="B124" s="13"/>
      <c r="C124" s="29"/>
      <c r="D124" s="30"/>
      <c r="E124" s="19" t="s">
        <v>73</v>
      </c>
      <c r="F124" s="8" t="s">
        <v>42</v>
      </c>
      <c r="G124" s="9">
        <v>0.7055555555555556</v>
      </c>
      <c r="H124" s="9">
        <v>0.72430555555555554</v>
      </c>
      <c r="I124" s="10">
        <f t="shared" si="15"/>
        <v>1.8749999999999933E-2</v>
      </c>
      <c r="J124" s="11">
        <v>4</v>
      </c>
      <c r="K124" s="11">
        <v>83.87</v>
      </c>
      <c r="L124" s="16">
        <f t="shared" si="16"/>
        <v>46.594444444444612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/>
      <c r="W124" s="12"/>
      <c r="X124" s="11"/>
      <c r="Y124" s="11"/>
      <c r="Z124" s="11"/>
      <c r="AA124" s="11"/>
      <c r="AB124" s="11"/>
      <c r="AC124" s="11"/>
      <c r="AD124" s="11"/>
      <c r="AE124" s="11"/>
      <c r="AF124" s="11"/>
      <c r="AG124" s="11">
        <v>6.75</v>
      </c>
      <c r="AH124" s="11">
        <v>6.75</v>
      </c>
      <c r="AI124" s="11">
        <v>6.75</v>
      </c>
      <c r="AJ124" s="11">
        <v>6.75</v>
      </c>
      <c r="AK124" s="11"/>
      <c r="AL124" s="14"/>
    </row>
    <row r="125" spans="1:38" ht="25.05" customHeight="1">
      <c r="B125" s="13"/>
      <c r="C125" s="29"/>
      <c r="D125" s="30"/>
      <c r="E125" s="19"/>
      <c r="F125" s="8" t="s">
        <v>42</v>
      </c>
      <c r="G125" s="9"/>
      <c r="H125" s="9"/>
      <c r="I125" s="10">
        <f t="shared" si="15"/>
        <v>0</v>
      </c>
      <c r="J125" s="11"/>
      <c r="K125" s="11"/>
      <c r="L125" s="16" t="str">
        <f t="shared" si="16"/>
        <v>0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1:38" ht="25.05" customHeight="1">
      <c r="B126" s="13"/>
      <c r="C126" s="29"/>
      <c r="D126" s="30"/>
      <c r="E126" s="19"/>
      <c r="F126" s="8" t="s">
        <v>42</v>
      </c>
      <c r="G126" s="9"/>
      <c r="H126" s="9"/>
      <c r="I126" s="10">
        <f t="shared" si="15"/>
        <v>0</v>
      </c>
      <c r="J126" s="11"/>
      <c r="K126" s="11"/>
      <c r="L126" s="16" t="str">
        <f t="shared" si="16"/>
        <v>0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1:38" s="28" customFormat="1" ht="25.5" customHeight="1" thickBot="1">
      <c r="A127" s="2"/>
      <c r="B127" s="32"/>
      <c r="C127" s="33"/>
      <c r="D127" s="34"/>
      <c r="E127" s="35"/>
      <c r="F127" s="35"/>
      <c r="G127" s="36"/>
      <c r="H127" s="36"/>
      <c r="I127" s="37"/>
      <c r="J127" s="38"/>
      <c r="K127" s="38">
        <f t="shared" ref="K127:AL127" si="17">SUM(K37:K126)</f>
        <v>4359.1119999999992</v>
      </c>
      <c r="L127" s="39">
        <f t="shared" si="17"/>
        <v>5962.8759774289647</v>
      </c>
      <c r="M127" s="38">
        <f t="shared" si="17"/>
        <v>0</v>
      </c>
      <c r="N127" s="38">
        <f t="shared" si="17"/>
        <v>0</v>
      </c>
      <c r="O127" s="38">
        <f t="shared" si="17"/>
        <v>0</v>
      </c>
      <c r="P127" s="38">
        <f t="shared" si="17"/>
        <v>0</v>
      </c>
      <c r="Q127" s="38">
        <f t="shared" si="17"/>
        <v>0</v>
      </c>
      <c r="R127" s="38">
        <f t="shared" si="17"/>
        <v>0</v>
      </c>
      <c r="S127" s="38">
        <f t="shared" si="17"/>
        <v>0</v>
      </c>
      <c r="T127" s="38">
        <f t="shared" si="17"/>
        <v>0</v>
      </c>
      <c r="U127" s="38">
        <f t="shared" si="17"/>
        <v>0</v>
      </c>
      <c r="V127" s="38">
        <f t="shared" si="17"/>
        <v>52</v>
      </c>
      <c r="W127" s="38">
        <f t="shared" si="17"/>
        <v>91</v>
      </c>
      <c r="X127" s="38">
        <f t="shared" si="17"/>
        <v>240</v>
      </c>
      <c r="Y127" s="38">
        <f t="shared" si="17"/>
        <v>160</v>
      </c>
      <c r="Z127" s="38">
        <f t="shared" si="17"/>
        <v>295</v>
      </c>
      <c r="AA127" s="38">
        <f t="shared" si="17"/>
        <v>200</v>
      </c>
      <c r="AB127" s="38">
        <f t="shared" si="17"/>
        <v>175</v>
      </c>
      <c r="AC127" s="38">
        <f t="shared" si="17"/>
        <v>125</v>
      </c>
      <c r="AD127" s="38">
        <f t="shared" si="17"/>
        <v>242</v>
      </c>
      <c r="AE127" s="38">
        <f t="shared" si="17"/>
        <v>0</v>
      </c>
      <c r="AF127" s="38">
        <f t="shared" si="17"/>
        <v>0</v>
      </c>
      <c r="AG127" s="38">
        <f t="shared" si="17"/>
        <v>24</v>
      </c>
      <c r="AH127" s="38">
        <f t="shared" si="17"/>
        <v>24</v>
      </c>
      <c r="AI127" s="38">
        <f t="shared" si="17"/>
        <v>24</v>
      </c>
      <c r="AJ127" s="38">
        <f t="shared" si="17"/>
        <v>24</v>
      </c>
      <c r="AK127" s="38">
        <f t="shared" si="17"/>
        <v>0</v>
      </c>
      <c r="AL127" s="38">
        <f t="shared" si="17"/>
        <v>0</v>
      </c>
    </row>
    <row r="128" spans="1:38" ht="38.1" customHeight="1" thickBot="1">
      <c r="B128" s="40" t="s">
        <v>45</v>
      </c>
      <c r="C128" s="41"/>
      <c r="D128" s="41"/>
      <c r="E128" s="41"/>
      <c r="F128" s="41"/>
      <c r="G128" s="41"/>
      <c r="H128" s="41"/>
      <c r="I128" s="41"/>
      <c r="J128" s="41"/>
      <c r="K128" s="42">
        <f>K30+K36+K127</f>
        <v>8386.5619999999981</v>
      </c>
      <c r="L128" s="42">
        <f>L30+L36+L127</f>
        <v>7324.2587103240876</v>
      </c>
      <c r="M128" s="43">
        <f t="shared" ref="M128:AL128" si="18">(M30+M36+M127)/(480-15-30)</f>
        <v>0.47126436781609193</v>
      </c>
      <c r="N128" s="43">
        <f t="shared" si="18"/>
        <v>0</v>
      </c>
      <c r="O128" s="43">
        <f t="shared" si="18"/>
        <v>0</v>
      </c>
      <c r="P128" s="43">
        <f t="shared" si="18"/>
        <v>0</v>
      </c>
      <c r="Q128" s="43">
        <f t="shared" si="18"/>
        <v>0</v>
      </c>
      <c r="R128" s="43">
        <f t="shared" si="18"/>
        <v>0.12643678160919541</v>
      </c>
      <c r="S128" s="43">
        <f t="shared" si="18"/>
        <v>1.0689655172413792</v>
      </c>
      <c r="T128" s="43">
        <f t="shared" si="18"/>
        <v>0.55172413793103448</v>
      </c>
      <c r="U128" s="43">
        <f t="shared" si="18"/>
        <v>0</v>
      </c>
      <c r="V128" s="43">
        <f t="shared" si="18"/>
        <v>0.11954022988505747</v>
      </c>
      <c r="W128" s="43">
        <f t="shared" si="18"/>
        <v>0.20919540229885059</v>
      </c>
      <c r="X128" s="43">
        <f t="shared" si="18"/>
        <v>0.55172413793103448</v>
      </c>
      <c r="Y128" s="43">
        <f t="shared" si="18"/>
        <v>0.36781609195402298</v>
      </c>
      <c r="Z128" s="43">
        <f t="shared" si="18"/>
        <v>0.67816091954022983</v>
      </c>
      <c r="AA128" s="43">
        <f t="shared" si="18"/>
        <v>0.45977011494252873</v>
      </c>
      <c r="AB128" s="43">
        <f t="shared" si="18"/>
        <v>0.40229885057471265</v>
      </c>
      <c r="AC128" s="43">
        <f t="shared" si="18"/>
        <v>0.28735632183908044</v>
      </c>
      <c r="AD128" s="43">
        <f t="shared" si="18"/>
        <v>0.55632183908045973</v>
      </c>
      <c r="AE128" s="43">
        <f t="shared" si="18"/>
        <v>0</v>
      </c>
      <c r="AF128" s="43">
        <f t="shared" si="18"/>
        <v>0</v>
      </c>
      <c r="AG128" s="43">
        <f t="shared" si="18"/>
        <v>5.5172413793103448E-2</v>
      </c>
      <c r="AH128" s="43">
        <f t="shared" si="18"/>
        <v>5.5172413793103448E-2</v>
      </c>
      <c r="AI128" s="43">
        <f t="shared" si="18"/>
        <v>5.5172413793103448E-2</v>
      </c>
      <c r="AJ128" s="43">
        <f t="shared" si="18"/>
        <v>5.5172413793103448E-2</v>
      </c>
      <c r="AK128" s="43">
        <f t="shared" si="18"/>
        <v>0</v>
      </c>
      <c r="AL128" s="43">
        <f t="shared" si="18"/>
        <v>0</v>
      </c>
    </row>
    <row r="129" spans="2:36" ht="25.05" customHeight="1">
      <c r="B129" s="44"/>
      <c r="C129" s="44"/>
      <c r="D129" s="44"/>
      <c r="E129" s="45"/>
      <c r="F129" s="45"/>
      <c r="G129" s="45"/>
      <c r="H129" s="45"/>
      <c r="I129" s="46"/>
      <c r="J129" s="46"/>
      <c r="K129" s="45"/>
      <c r="L129" s="47"/>
      <c r="M129" s="47"/>
      <c r="N129" s="47"/>
      <c r="O129" s="47"/>
      <c r="P129" s="47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</row>
    <row r="130" spans="2:36" ht="25.05" customHeight="1">
      <c r="B130" s="44"/>
      <c r="C130" s="44"/>
      <c r="D130" s="44"/>
      <c r="E130" s="45"/>
      <c r="F130" s="45"/>
      <c r="G130" s="45"/>
      <c r="H130" s="45"/>
      <c r="I130" s="48" t="s">
        <v>46</v>
      </c>
      <c r="J130" s="46"/>
      <c r="K130" s="45"/>
      <c r="L130" s="47"/>
      <c r="M130" s="47"/>
      <c r="N130" s="47"/>
      <c r="O130" s="47"/>
      <c r="P130" s="47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</row>
    <row r="131" spans="2:36" ht="25.05" customHeight="1">
      <c r="B131" s="44"/>
      <c r="C131" s="44"/>
      <c r="D131" s="44"/>
      <c r="E131" s="45"/>
      <c r="F131" s="45"/>
      <c r="G131" s="45"/>
      <c r="H131" s="45"/>
      <c r="I131" s="49" t="s">
        <v>47</v>
      </c>
      <c r="J131" s="9">
        <v>0</v>
      </c>
      <c r="K131" s="11">
        <v>6</v>
      </c>
      <c r="L131" s="11" t="s">
        <v>48</v>
      </c>
      <c r="M131" s="47"/>
      <c r="N131" s="14">
        <v>2</v>
      </c>
      <c r="O131" s="14"/>
      <c r="P131" s="14"/>
      <c r="Q131" s="50" t="s">
        <v>49</v>
      </c>
      <c r="R131" s="51"/>
      <c r="S131" s="45"/>
      <c r="T131" s="45"/>
      <c r="U131" s="45"/>
      <c r="V131" s="45"/>
      <c r="W131" s="45"/>
      <c r="X131" s="45"/>
      <c r="Y131" s="45"/>
      <c r="Z131" s="45"/>
      <c r="AA131" s="45"/>
      <c r="AC131" s="45"/>
      <c r="AD131" s="45"/>
      <c r="AE131" s="45"/>
      <c r="AF131" s="45"/>
      <c r="AG131" s="45"/>
      <c r="AH131" s="45"/>
    </row>
    <row r="132" spans="2:36" ht="25.05" customHeight="1">
      <c r="B132" s="44"/>
      <c r="C132" s="44"/>
      <c r="D132" s="44"/>
      <c r="E132" s="45"/>
      <c r="F132" s="45"/>
      <c r="G132" s="45"/>
      <c r="H132" s="45"/>
      <c r="I132" s="49" t="s">
        <v>50</v>
      </c>
      <c r="J132" s="9">
        <v>0</v>
      </c>
      <c r="K132" s="11">
        <v>0</v>
      </c>
      <c r="L132" s="11" t="s">
        <v>48</v>
      </c>
      <c r="M132" s="47"/>
      <c r="N132" s="14">
        <v>0</v>
      </c>
      <c r="O132" s="14"/>
      <c r="P132" s="14"/>
      <c r="Q132" s="50" t="s">
        <v>51</v>
      </c>
      <c r="R132" s="51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  <c r="AE132" s="45"/>
      <c r="AF132" s="45"/>
      <c r="AG132" s="45"/>
      <c r="AH132" s="45"/>
    </row>
    <row r="133" spans="2:36" ht="25.05" customHeight="1">
      <c r="B133" s="44"/>
      <c r="C133" s="44"/>
      <c r="D133" s="44"/>
      <c r="E133" s="45"/>
      <c r="F133" s="45"/>
      <c r="G133" s="45"/>
      <c r="H133" s="45"/>
      <c r="I133" s="49" t="s">
        <v>52</v>
      </c>
      <c r="J133" s="9">
        <v>0</v>
      </c>
      <c r="K133" s="11">
        <v>12</v>
      </c>
      <c r="L133" s="11" t="s">
        <v>48</v>
      </c>
      <c r="M133" s="47"/>
      <c r="N133" s="14">
        <v>0</v>
      </c>
      <c r="O133" s="14"/>
      <c r="P133" s="14"/>
      <c r="Q133" s="50" t="s">
        <v>53</v>
      </c>
      <c r="R133" s="51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</row>
    <row r="134" spans="2:36" ht="25.05" customHeight="1">
      <c r="B134" s="44"/>
      <c r="C134" s="44"/>
      <c r="D134" s="44"/>
      <c r="E134" s="45"/>
      <c r="F134" s="45"/>
      <c r="G134" s="45"/>
      <c r="H134" s="45"/>
      <c r="I134" s="52" t="s">
        <v>54</v>
      </c>
      <c r="J134" s="53">
        <v>0</v>
      </c>
      <c r="K134" s="11">
        <v>2</v>
      </c>
      <c r="L134" s="54" t="s">
        <v>48</v>
      </c>
      <c r="M134" s="47"/>
      <c r="N134" s="14">
        <v>3</v>
      </c>
      <c r="O134" s="14"/>
      <c r="P134" s="14"/>
      <c r="Q134" s="50" t="s">
        <v>55</v>
      </c>
      <c r="R134" s="51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</row>
    <row r="135" spans="2:36" ht="25.05" customHeight="1">
      <c r="B135" s="44"/>
      <c r="C135" s="44"/>
      <c r="D135" s="44"/>
      <c r="E135" s="45"/>
      <c r="F135" s="45"/>
      <c r="G135" s="45"/>
      <c r="H135" s="45"/>
      <c r="I135" s="49" t="s">
        <v>56</v>
      </c>
      <c r="J135" s="9">
        <v>0</v>
      </c>
      <c r="K135" s="11">
        <v>20</v>
      </c>
      <c r="L135" s="11" t="s">
        <v>48</v>
      </c>
      <c r="M135" s="47"/>
      <c r="N135"/>
      <c r="O135"/>
      <c r="P135"/>
      <c r="Q13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</row>
    <row r="136" spans="2:36" ht="25.05" customHeight="1">
      <c r="B136" s="44"/>
      <c r="C136" s="44"/>
      <c r="D136" s="44"/>
      <c r="E136" s="45"/>
      <c r="F136" s="45"/>
      <c r="G136" s="45"/>
      <c r="H136" s="45"/>
      <c r="M136" s="47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</row>
    <row r="137" spans="2:36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BBA3-84C3-4DBE-800F-B39D168630F2}">
  <sheetPr>
    <pageSetUpPr fitToPage="1"/>
  </sheetPr>
  <dimension ref="A1:AL91"/>
  <sheetViews>
    <sheetView zoomScale="70" zoomScaleNormal="70" workbookViewId="0">
      <pane xSplit="12" ySplit="3" topLeftCell="M8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2119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46093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0.80555555555555558</v>
      </c>
      <c r="I4" s="10">
        <f t="shared" ref="I4:I23" si="0">H4-G4</f>
        <v>1.3888888888888951E-2</v>
      </c>
      <c r="J4" s="11">
        <v>8</v>
      </c>
      <c r="K4" s="11">
        <v>0</v>
      </c>
      <c r="L4" s="16">
        <f t="shared" ref="L4:L17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2120</v>
      </c>
      <c r="E5" s="17" t="s">
        <v>1851</v>
      </c>
      <c r="F5" s="55" t="s">
        <v>59</v>
      </c>
      <c r="G5" s="9">
        <v>0.80625000000000002</v>
      </c>
      <c r="H5" s="9">
        <v>0.81597222222222221</v>
      </c>
      <c r="I5" s="10">
        <f t="shared" si="0"/>
        <v>9.7222222222221877E-3</v>
      </c>
      <c r="J5" s="11">
        <v>2</v>
      </c>
      <c r="K5" s="11">
        <f>1.7*10</f>
        <v>17</v>
      </c>
      <c r="L5" s="16">
        <f t="shared" si="1"/>
        <v>36.428571428571558</v>
      </c>
      <c r="M5" s="11">
        <v>14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7" t="s">
        <v>1852</v>
      </c>
      <c r="F6" s="8" t="s">
        <v>851</v>
      </c>
      <c r="G6" s="9">
        <v>0.81944444444444442</v>
      </c>
      <c r="H6" s="9">
        <v>0.83333333333333337</v>
      </c>
      <c r="I6" s="10">
        <f t="shared" si="0"/>
        <v>1.3888888888888951E-2</v>
      </c>
      <c r="J6" s="11">
        <v>2</v>
      </c>
      <c r="K6" s="11">
        <f>11*10</f>
        <v>110</v>
      </c>
      <c r="L6" s="16">
        <f t="shared" si="1"/>
        <v>164.99999999999926</v>
      </c>
      <c r="M6" s="11">
        <v>20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7" t="s">
        <v>1616</v>
      </c>
      <c r="F7" s="8" t="s">
        <v>42</v>
      </c>
      <c r="G7" s="9">
        <v>0.80625000000000002</v>
      </c>
      <c r="H7" s="9">
        <v>0.83333333333333337</v>
      </c>
      <c r="I7" s="10">
        <f t="shared" si="0"/>
        <v>2.7083333333333348E-2</v>
      </c>
      <c r="J7" s="11">
        <v>3</v>
      </c>
      <c r="K7" s="11">
        <f>90*4.03</f>
        <v>362.70000000000005</v>
      </c>
      <c r="L7" s="16">
        <f t="shared" si="1"/>
        <v>185.99999999999991</v>
      </c>
      <c r="M7" s="11"/>
      <c r="N7" s="11"/>
      <c r="O7" s="11"/>
      <c r="P7" s="11"/>
      <c r="Q7" s="11">
        <v>39</v>
      </c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58" t="s">
        <v>1854</v>
      </c>
      <c r="F8" s="20">
        <v>0.5</v>
      </c>
      <c r="G8" s="9">
        <v>0.85138888888888886</v>
      </c>
      <c r="H8" s="9">
        <v>0.86805555555555558</v>
      </c>
      <c r="I8" s="10">
        <f t="shared" si="0"/>
        <v>1.6666666666666718E-2</v>
      </c>
      <c r="J8" s="11">
        <v>2</v>
      </c>
      <c r="K8" s="11">
        <f>33.3*10</f>
        <v>333</v>
      </c>
      <c r="L8" s="16">
        <f t="shared" si="1"/>
        <v>416.24999999999869</v>
      </c>
      <c r="M8" s="11">
        <v>24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31"/>
      <c r="E9" s="17" t="s">
        <v>2121</v>
      </c>
      <c r="F9" s="61" t="s">
        <v>232</v>
      </c>
      <c r="G9" s="9">
        <v>0.87569444444444444</v>
      </c>
      <c r="H9" s="9">
        <v>0.89236111111111116</v>
      </c>
      <c r="I9" s="10">
        <f t="shared" si="0"/>
        <v>1.6666666666666718E-2</v>
      </c>
      <c r="J9" s="11">
        <v>2</v>
      </c>
      <c r="K9" s="11">
        <f>5.3*10</f>
        <v>53</v>
      </c>
      <c r="L9" s="16">
        <f t="shared" si="1"/>
        <v>66.249999999999787</v>
      </c>
      <c r="M9" s="11">
        <v>24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31"/>
      <c r="E10" s="56" t="s">
        <v>2122</v>
      </c>
      <c r="F10" s="59" t="s">
        <v>59</v>
      </c>
      <c r="G10" s="9">
        <v>0.8930555555555556</v>
      </c>
      <c r="H10" s="9">
        <v>0.90625</v>
      </c>
      <c r="I10" s="10">
        <f t="shared" si="0"/>
        <v>1.3194444444444398E-2</v>
      </c>
      <c r="J10" s="11">
        <v>2</v>
      </c>
      <c r="K10" s="11">
        <f>4.4*10</f>
        <v>44</v>
      </c>
      <c r="L10" s="16">
        <f t="shared" si="1"/>
        <v>69.473684210526571</v>
      </c>
      <c r="M10" s="11">
        <v>19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31" t="s">
        <v>1032</v>
      </c>
      <c r="E11" s="122" t="s">
        <v>2123</v>
      </c>
      <c r="F11" s="8" t="s">
        <v>232</v>
      </c>
      <c r="G11" s="9">
        <v>0.81666666666666665</v>
      </c>
      <c r="H11" s="9">
        <v>0.81944444444444442</v>
      </c>
      <c r="I11" s="10">
        <f t="shared" si="0"/>
        <v>2.7777777777777679E-3</v>
      </c>
      <c r="J11" s="11">
        <v>2</v>
      </c>
      <c r="K11" s="11">
        <f>1.4*5</f>
        <v>7</v>
      </c>
      <c r="L11" s="16">
        <f t="shared" si="1"/>
        <v>52.500000000000192</v>
      </c>
      <c r="M11" s="11">
        <v>7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22" t="s">
        <v>2124</v>
      </c>
      <c r="F12" s="118" t="s">
        <v>798</v>
      </c>
      <c r="G12" s="9">
        <v>0.83402777777777781</v>
      </c>
      <c r="H12" s="9">
        <v>0.84722222222222221</v>
      </c>
      <c r="I12" s="10">
        <f t="shared" si="0"/>
        <v>1.3194444444444398E-2</v>
      </c>
      <c r="J12" s="11">
        <v>2</v>
      </c>
      <c r="K12" s="11">
        <f>21*5</f>
        <v>105</v>
      </c>
      <c r="L12" s="16">
        <f t="shared" si="1"/>
        <v>165.78947368421112</v>
      </c>
      <c r="M12" s="11">
        <v>105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22" t="s">
        <v>2125</v>
      </c>
      <c r="F13" s="55" t="s">
        <v>229</v>
      </c>
      <c r="G13" s="9">
        <v>0.80972222222222223</v>
      </c>
      <c r="H13" s="9">
        <v>0.88541666666666663</v>
      </c>
      <c r="I13" s="10">
        <f t="shared" si="0"/>
        <v>7.5694444444444398E-2</v>
      </c>
      <c r="J13" s="11">
        <v>6</v>
      </c>
      <c r="K13" s="11">
        <f>18.33*5</f>
        <v>91.649999999999991</v>
      </c>
      <c r="L13" s="16">
        <f t="shared" si="1"/>
        <v>8.4082568807339495</v>
      </c>
      <c r="M13" s="11"/>
      <c r="N13" s="11"/>
      <c r="O13" s="11"/>
      <c r="P13" s="11"/>
      <c r="Q13" s="11"/>
      <c r="R13" s="12"/>
      <c r="S13" s="12">
        <v>109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 t="s">
        <v>1432</v>
      </c>
      <c r="E14" s="15" t="s">
        <v>806</v>
      </c>
      <c r="F14" s="55" t="s">
        <v>232</v>
      </c>
      <c r="G14" s="9">
        <v>0.81666666666666665</v>
      </c>
      <c r="H14" s="9">
        <v>0.81944444444444442</v>
      </c>
      <c r="I14" s="10">
        <f t="shared" si="0"/>
        <v>2.7777777777777679E-3</v>
      </c>
      <c r="J14" s="11">
        <v>2</v>
      </c>
      <c r="K14" s="11">
        <v>1</v>
      </c>
      <c r="L14" s="16">
        <f t="shared" si="1"/>
        <v>7.5000000000000275</v>
      </c>
      <c r="M14" s="11">
        <v>4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 t="s">
        <v>807</v>
      </c>
      <c r="F15" s="55" t="s">
        <v>234</v>
      </c>
      <c r="G15" s="9">
        <v>0.84791666666666665</v>
      </c>
      <c r="H15" s="9">
        <v>0.85069444444444442</v>
      </c>
      <c r="I15" s="10">
        <f t="shared" si="0"/>
        <v>2.7777777777777679E-3</v>
      </c>
      <c r="J15" s="11">
        <v>2</v>
      </c>
      <c r="K15" s="11">
        <v>5</v>
      </c>
      <c r="L15" s="16">
        <f t="shared" si="1"/>
        <v>37.500000000000135</v>
      </c>
      <c r="M15" s="11">
        <v>4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732</v>
      </c>
      <c r="F16" s="57">
        <v>0.5</v>
      </c>
      <c r="G16" s="9">
        <v>0.86875000000000002</v>
      </c>
      <c r="H16" s="9">
        <v>0.875</v>
      </c>
      <c r="I16" s="10">
        <f t="shared" si="0"/>
        <v>6.2499999999999778E-3</v>
      </c>
      <c r="J16" s="11">
        <v>2</v>
      </c>
      <c r="K16" s="11">
        <f>5.33*5</f>
        <v>26.65</v>
      </c>
      <c r="L16" s="16">
        <f t="shared" si="1"/>
        <v>88.833333333333641</v>
      </c>
      <c r="M16" s="11">
        <v>9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71" t="s">
        <v>808</v>
      </c>
      <c r="F17" s="55" t="s">
        <v>237</v>
      </c>
      <c r="G17" s="9">
        <v>0.80625000000000002</v>
      </c>
      <c r="H17" s="9">
        <v>0.80902777777777779</v>
      </c>
      <c r="I17" s="10">
        <f t="shared" si="0"/>
        <v>2.7777777777777679E-3</v>
      </c>
      <c r="J17" s="11">
        <v>1</v>
      </c>
      <c r="K17" s="11">
        <f>0.02*5</f>
        <v>0.1</v>
      </c>
      <c r="L17" s="16">
        <f t="shared" si="1"/>
        <v>1.5000000000000053</v>
      </c>
      <c r="M17" s="11"/>
      <c r="N17" s="11"/>
      <c r="O17" s="11"/>
      <c r="P17" s="11"/>
      <c r="Q17" s="11"/>
      <c r="R17" s="12"/>
      <c r="S17" s="12">
        <v>4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31"/>
      <c r="E18" s="134" t="s">
        <v>458</v>
      </c>
      <c r="F18" s="55" t="s">
        <v>239</v>
      </c>
      <c r="G18" s="9">
        <v>0.90694444444444444</v>
      </c>
      <c r="H18" s="9">
        <v>0.92361111111111116</v>
      </c>
      <c r="I18" s="10">
        <f t="shared" si="0"/>
        <v>1.6666666666666718E-2</v>
      </c>
      <c r="J18" s="11">
        <v>1</v>
      </c>
      <c r="K18" s="11">
        <f>0.53*5</f>
        <v>2.6500000000000004</v>
      </c>
      <c r="L18" s="16" t="str">
        <f>IFERROR(((#REF!/(J18*I18)/24)),"0")</f>
        <v>0</v>
      </c>
      <c r="M18" s="11">
        <v>24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 t="s">
        <v>1890</v>
      </c>
      <c r="E19" s="121" t="s">
        <v>2126</v>
      </c>
      <c r="F19" s="152" t="s">
        <v>2127</v>
      </c>
      <c r="G19" s="9">
        <v>0.88958333333333328</v>
      </c>
      <c r="H19" s="9">
        <v>46094.03125</v>
      </c>
      <c r="I19" s="10">
        <f t="shared" si="0"/>
        <v>46093.14166666667</v>
      </c>
      <c r="J19" s="11">
        <v>8</v>
      </c>
      <c r="K19" s="118">
        <f>0.75*4</f>
        <v>3</v>
      </c>
      <c r="L19" s="16">
        <f>IFERROR(((K18/(J19*I19)/24)),"0")</f>
        <v>2.9943898016642751E-7</v>
      </c>
      <c r="M19" s="11"/>
      <c r="N19" s="11"/>
      <c r="O19" s="11"/>
      <c r="P19" s="11"/>
      <c r="Q19" s="11"/>
      <c r="R19" s="12"/>
      <c r="S19" s="12">
        <v>204</v>
      </c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5" customHeight="1">
      <c r="B20" s="13"/>
      <c r="C20" s="14"/>
      <c r="D20" s="31"/>
      <c r="E20" s="153" t="s">
        <v>2128</v>
      </c>
      <c r="F20" s="154" t="s">
        <v>2127</v>
      </c>
      <c r="G20" s="135">
        <v>8.3333333333333329E-2</v>
      </c>
      <c r="H20" s="9">
        <v>0.14583333333333334</v>
      </c>
      <c r="I20" s="10">
        <f t="shared" si="0"/>
        <v>6.2500000000000014E-2</v>
      </c>
      <c r="J20" s="137">
        <v>7</v>
      </c>
      <c r="K20" s="154">
        <f>0.75*1.5</f>
        <v>1.125</v>
      </c>
      <c r="L20" s="16">
        <f>IFERROR(((K19/(J20*I20)/24)),"0")</f>
        <v>0.28571428571428564</v>
      </c>
      <c r="M20" s="11"/>
      <c r="N20" s="11"/>
      <c r="O20" s="11"/>
      <c r="P20" s="11"/>
      <c r="Q20" s="11"/>
      <c r="R20" s="12"/>
      <c r="S20" s="12">
        <v>90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11" t="s">
        <v>2129</v>
      </c>
      <c r="F21" s="136" t="s">
        <v>213</v>
      </c>
      <c r="G21" s="9">
        <v>8.3333333333333329E-2</v>
      </c>
      <c r="H21" s="9">
        <v>0.16666666666666666</v>
      </c>
      <c r="I21" s="10">
        <f t="shared" si="0"/>
        <v>8.3333333333333329E-2</v>
      </c>
      <c r="J21" s="11">
        <v>2</v>
      </c>
      <c r="K21" s="138">
        <f>87.8*5.5</f>
        <v>482.9</v>
      </c>
      <c r="L21" s="16">
        <f>IFERROR(((K20/(J21*I21)/24)),"0")</f>
        <v>0.28125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2130</v>
      </c>
      <c r="F22" s="55" t="s">
        <v>2131</v>
      </c>
      <c r="G22" s="9">
        <v>8.3333333333333329E-2</v>
      </c>
      <c r="H22" s="9">
        <v>0.17708333333333334</v>
      </c>
      <c r="I22" s="10">
        <f t="shared" si="0"/>
        <v>9.3750000000000014E-2</v>
      </c>
      <c r="J22" s="11">
        <v>5</v>
      </c>
      <c r="K22" s="11">
        <f>30.55*2</f>
        <v>61.1</v>
      </c>
      <c r="L22" s="16">
        <f>IFERROR(((K22/(J22*I22)/24)),"0")</f>
        <v>5.431111111111111</v>
      </c>
      <c r="M22" s="11"/>
      <c r="N22" s="11"/>
      <c r="O22" s="11"/>
      <c r="P22" s="11"/>
      <c r="Q22" s="11"/>
      <c r="R22" s="12"/>
      <c r="S22" s="12">
        <v>135</v>
      </c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/>
      <c r="F23" s="55"/>
      <c r="G23" s="9"/>
      <c r="H23" s="9"/>
      <c r="I23" s="10">
        <f t="shared" si="0"/>
        <v>0</v>
      </c>
      <c r="J23" s="11"/>
      <c r="K23" s="11"/>
      <c r="L23" s="16" t="str">
        <f>IFERROR(((K23/(J23*I23)/24)),"0")</f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s="28" customFormat="1" ht="25.05" customHeight="1">
      <c r="A24" s="2"/>
      <c r="B24" s="21"/>
      <c r="C24" s="22"/>
      <c r="D24" s="23"/>
      <c r="E24" s="24"/>
      <c r="F24" s="24"/>
      <c r="G24" s="25"/>
      <c r="H24" s="25"/>
      <c r="I24" s="26"/>
      <c r="J24" s="27"/>
      <c r="K24" s="27">
        <f t="shared" ref="K24:AL24" si="2">SUM(K4:K23)</f>
        <v>1706.875</v>
      </c>
      <c r="L24" s="39">
        <f t="shared" si="2"/>
        <v>1307.4313952336395</v>
      </c>
      <c r="M24" s="27">
        <f t="shared" si="2"/>
        <v>254</v>
      </c>
      <c r="N24" s="27">
        <f t="shared" si="2"/>
        <v>0</v>
      </c>
      <c r="O24" s="27">
        <f t="shared" si="2"/>
        <v>0</v>
      </c>
      <c r="P24" s="27">
        <f t="shared" si="2"/>
        <v>0</v>
      </c>
      <c r="Q24" s="27">
        <f t="shared" si="2"/>
        <v>39</v>
      </c>
      <c r="R24" s="27">
        <f t="shared" si="2"/>
        <v>0</v>
      </c>
      <c r="S24" s="27">
        <f t="shared" si="2"/>
        <v>542</v>
      </c>
      <c r="T24" s="27">
        <f t="shared" si="2"/>
        <v>0</v>
      </c>
      <c r="U24" s="27">
        <f t="shared" si="2"/>
        <v>0</v>
      </c>
      <c r="V24" s="27">
        <f t="shared" si="2"/>
        <v>0</v>
      </c>
      <c r="W24" s="27">
        <f t="shared" si="2"/>
        <v>0</v>
      </c>
      <c r="X24" s="27">
        <f t="shared" si="2"/>
        <v>0</v>
      </c>
      <c r="Y24" s="27">
        <f t="shared" si="2"/>
        <v>0</v>
      </c>
      <c r="Z24" s="27">
        <f t="shared" si="2"/>
        <v>0</v>
      </c>
      <c r="AA24" s="27">
        <f t="shared" si="2"/>
        <v>0</v>
      </c>
      <c r="AB24" s="27">
        <f t="shared" si="2"/>
        <v>0</v>
      </c>
      <c r="AC24" s="27">
        <f t="shared" si="2"/>
        <v>0</v>
      </c>
      <c r="AD24" s="27">
        <f t="shared" si="2"/>
        <v>0</v>
      </c>
      <c r="AE24" s="27">
        <f t="shared" si="2"/>
        <v>0</v>
      </c>
      <c r="AF24" s="27">
        <f t="shared" si="2"/>
        <v>0</v>
      </c>
      <c r="AG24" s="27">
        <f t="shared" si="2"/>
        <v>0</v>
      </c>
      <c r="AH24" s="27">
        <f t="shared" si="2"/>
        <v>0</v>
      </c>
      <c r="AI24" s="27">
        <f t="shared" si="2"/>
        <v>0</v>
      </c>
      <c r="AJ24" s="27">
        <f t="shared" si="2"/>
        <v>0</v>
      </c>
      <c r="AK24" s="27">
        <f t="shared" si="2"/>
        <v>0</v>
      </c>
      <c r="AL24" s="27">
        <f t="shared" si="2"/>
        <v>0</v>
      </c>
    </row>
    <row r="25" spans="1:38" ht="25.05" customHeight="1">
      <c r="B25" s="13"/>
      <c r="C25" s="14" t="s">
        <v>43</v>
      </c>
      <c r="D25" s="6"/>
      <c r="E25" s="7" t="s">
        <v>41</v>
      </c>
      <c r="F25" s="8" t="s">
        <v>42</v>
      </c>
      <c r="G25" s="9"/>
      <c r="H25" s="9"/>
      <c r="I25" s="10">
        <f>H25-G25</f>
        <v>0</v>
      </c>
      <c r="J25" s="11"/>
      <c r="K25" s="11"/>
      <c r="L25" s="16" t="str">
        <f>IFERROR(((K25/(J25*I25)/24)),"0")</f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18"/>
      <c r="E26" s="6"/>
      <c r="F26" s="14"/>
      <c r="G26" s="9"/>
      <c r="H26" s="9"/>
      <c r="I26" s="10"/>
      <c r="J26" s="11"/>
      <c r="K26" s="11"/>
      <c r="L26" s="16"/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s="28" customFormat="1" ht="25.05" customHeight="1">
      <c r="A27" s="2"/>
      <c r="B27" s="21"/>
      <c r="C27" s="22"/>
      <c r="D27" s="23"/>
      <c r="E27" s="24"/>
      <c r="F27" s="22"/>
      <c r="G27" s="25"/>
      <c r="H27" s="25"/>
      <c r="I27" s="26"/>
      <c r="J27" s="27"/>
      <c r="K27" s="27">
        <f t="shared" ref="K27:AL27" si="3">SUM(K25:K26)</f>
        <v>0</v>
      </c>
      <c r="L27" s="27">
        <f t="shared" si="3"/>
        <v>0</v>
      </c>
      <c r="M27" s="27">
        <f t="shared" si="3"/>
        <v>0</v>
      </c>
      <c r="N27" s="27">
        <f t="shared" si="3"/>
        <v>0</v>
      </c>
      <c r="O27" s="27">
        <f t="shared" si="3"/>
        <v>0</v>
      </c>
      <c r="P27" s="27">
        <f t="shared" si="3"/>
        <v>0</v>
      </c>
      <c r="Q27" s="27">
        <f t="shared" si="3"/>
        <v>0</v>
      </c>
      <c r="R27" s="27">
        <f t="shared" si="3"/>
        <v>0</v>
      </c>
      <c r="S27" s="27">
        <f t="shared" si="3"/>
        <v>0</v>
      </c>
      <c r="T27" s="27">
        <f t="shared" si="3"/>
        <v>0</v>
      </c>
      <c r="U27" s="27">
        <f t="shared" si="3"/>
        <v>0</v>
      </c>
      <c r="V27" s="27">
        <f t="shared" si="3"/>
        <v>0</v>
      </c>
      <c r="W27" s="27">
        <f t="shared" si="3"/>
        <v>0</v>
      </c>
      <c r="X27" s="27">
        <f t="shared" si="3"/>
        <v>0</v>
      </c>
      <c r="Y27" s="27">
        <f t="shared" si="3"/>
        <v>0</v>
      </c>
      <c r="Z27" s="27">
        <f t="shared" si="3"/>
        <v>0</v>
      </c>
      <c r="AA27" s="27">
        <f t="shared" si="3"/>
        <v>0</v>
      </c>
      <c r="AB27" s="27">
        <f t="shared" si="3"/>
        <v>0</v>
      </c>
      <c r="AC27" s="27">
        <f t="shared" si="3"/>
        <v>0</v>
      </c>
      <c r="AD27" s="27">
        <f t="shared" si="3"/>
        <v>0</v>
      </c>
      <c r="AE27" s="27">
        <f t="shared" si="3"/>
        <v>0</v>
      </c>
      <c r="AF27" s="27">
        <f t="shared" si="3"/>
        <v>0</v>
      </c>
      <c r="AG27" s="27">
        <f t="shared" si="3"/>
        <v>0</v>
      </c>
      <c r="AH27" s="27">
        <f t="shared" si="3"/>
        <v>0</v>
      </c>
      <c r="AI27" s="27">
        <f t="shared" si="3"/>
        <v>0</v>
      </c>
      <c r="AJ27" s="27">
        <f t="shared" si="3"/>
        <v>0</v>
      </c>
      <c r="AK27" s="27">
        <f t="shared" si="3"/>
        <v>0</v>
      </c>
      <c r="AL27" s="27">
        <f t="shared" si="3"/>
        <v>0</v>
      </c>
    </row>
    <row r="28" spans="1:38" ht="25.05" customHeight="1">
      <c r="B28" s="13"/>
      <c r="C28" s="29" t="s">
        <v>44</v>
      </c>
      <c r="D28" s="30"/>
      <c r="E28" s="7" t="s">
        <v>41</v>
      </c>
      <c r="F28" s="8" t="s">
        <v>42</v>
      </c>
      <c r="G28" s="9">
        <v>0.79166666666666663</v>
      </c>
      <c r="H28" s="9">
        <v>0.8125</v>
      </c>
      <c r="I28" s="10">
        <f t="shared" ref="I28:I51" si="4">H28-G28</f>
        <v>2.083333333333337E-2</v>
      </c>
      <c r="J28" s="11">
        <v>4</v>
      </c>
      <c r="K28" s="11">
        <v>0</v>
      </c>
      <c r="L28" s="16">
        <f t="shared" ref="L28:L51" si="5">IFERROR(((K28/(J28*I28)/24)),"0")</f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141" t="s">
        <v>1890</v>
      </c>
      <c r="E29" s="19" t="s">
        <v>2132</v>
      </c>
      <c r="F29" s="8" t="s">
        <v>42</v>
      </c>
      <c r="G29" s="9">
        <v>0.84375</v>
      </c>
      <c r="H29" s="9">
        <v>0.84722222222222221</v>
      </c>
      <c r="I29" s="10">
        <f t="shared" si="4"/>
        <v>3.4722222222222099E-3</v>
      </c>
      <c r="J29" s="11">
        <v>1</v>
      </c>
      <c r="K29" s="11">
        <f>0.75*5</f>
        <v>3.75</v>
      </c>
      <c r="L29" s="16">
        <f t="shared" si="5"/>
        <v>45.000000000000163</v>
      </c>
      <c r="M29" s="11"/>
      <c r="N29" s="11"/>
      <c r="O29" s="11"/>
      <c r="P29" s="11"/>
      <c r="Q29" s="11"/>
      <c r="R29" s="12"/>
      <c r="S29" s="12"/>
      <c r="T29" s="11"/>
      <c r="U29" s="11"/>
      <c r="V29" s="12">
        <v>5</v>
      </c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2133</v>
      </c>
      <c r="F30" s="8" t="s">
        <v>42</v>
      </c>
      <c r="G30" s="9">
        <v>0.84375</v>
      </c>
      <c r="H30" s="9">
        <v>0.84722222222222221</v>
      </c>
      <c r="I30" s="10">
        <f t="shared" si="4"/>
        <v>3.4722222222222099E-3</v>
      </c>
      <c r="J30" s="11">
        <v>1</v>
      </c>
      <c r="K30" s="12">
        <f>3.7*5</f>
        <v>18.5</v>
      </c>
      <c r="L30" s="16">
        <f t="shared" si="5"/>
        <v>222.0000000000008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>
        <v>5</v>
      </c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2134</v>
      </c>
      <c r="F31" s="8" t="s">
        <v>42</v>
      </c>
      <c r="G31" s="9">
        <v>0.84375</v>
      </c>
      <c r="H31" s="9">
        <v>0.84722222222222221</v>
      </c>
      <c r="I31" s="10">
        <f t="shared" si="4"/>
        <v>3.4722222222222099E-3</v>
      </c>
      <c r="J31" s="11">
        <v>1</v>
      </c>
      <c r="K31" s="11">
        <f>6.33*5</f>
        <v>31.65</v>
      </c>
      <c r="L31" s="16">
        <f t="shared" si="5"/>
        <v>379.80000000000132</v>
      </c>
      <c r="M31" s="11"/>
      <c r="N31" s="11"/>
      <c r="O31" s="11"/>
      <c r="P31" s="11"/>
      <c r="Q31" s="11"/>
      <c r="R31" s="12"/>
      <c r="S31" s="12"/>
      <c r="T31" s="11"/>
      <c r="U31" s="11"/>
      <c r="V31" s="12">
        <v>5</v>
      </c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2135</v>
      </c>
      <c r="F32" s="8" t="s">
        <v>42</v>
      </c>
      <c r="G32" s="9">
        <v>0.15555555555555556</v>
      </c>
      <c r="H32" s="9">
        <v>0.1673611111111111</v>
      </c>
      <c r="I32" s="10">
        <f t="shared" si="4"/>
        <v>1.1805555555555541E-2</v>
      </c>
      <c r="J32" s="11">
        <v>4</v>
      </c>
      <c r="K32" s="12">
        <v>3.9</v>
      </c>
      <c r="L32" s="16">
        <f t="shared" si="5"/>
        <v>3.4411764705882391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10</v>
      </c>
      <c r="X32" s="11"/>
      <c r="Y32" s="11"/>
      <c r="Z32" s="11"/>
      <c r="AA32" s="11"/>
      <c r="AB32" s="11"/>
      <c r="AC32" s="11"/>
      <c r="AD32" s="11">
        <v>17</v>
      </c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2136</v>
      </c>
      <c r="F33" s="8" t="s">
        <v>42</v>
      </c>
      <c r="G33" s="9">
        <v>0.85138888888888886</v>
      </c>
      <c r="H33" s="9">
        <v>0.86875000000000002</v>
      </c>
      <c r="I33" s="10">
        <f t="shared" si="4"/>
        <v>1.736111111111116E-2</v>
      </c>
      <c r="J33" s="11">
        <v>1</v>
      </c>
      <c r="K33" s="12">
        <f>7.5*5</f>
        <v>37.5</v>
      </c>
      <c r="L33" s="16">
        <f t="shared" si="5"/>
        <v>89.999999999999758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25</v>
      </c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40" t="s">
        <v>2137</v>
      </c>
      <c r="F34" s="8" t="s">
        <v>42</v>
      </c>
      <c r="G34" s="9">
        <v>0.85416666666666663</v>
      </c>
      <c r="H34" s="9">
        <v>0.87222222222222223</v>
      </c>
      <c r="I34" s="10">
        <f t="shared" si="4"/>
        <v>1.8055555555555602E-2</v>
      </c>
      <c r="J34" s="11">
        <v>4</v>
      </c>
      <c r="K34" s="11">
        <v>214.16</v>
      </c>
      <c r="L34" s="16">
        <f t="shared" si="5"/>
        <v>123.55384615384583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/>
      <c r="AA34" s="11"/>
      <c r="AB34" s="11"/>
      <c r="AC34" s="11"/>
      <c r="AD34" s="11">
        <v>25</v>
      </c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40" t="s">
        <v>2138</v>
      </c>
      <c r="F35" s="8" t="s">
        <v>42</v>
      </c>
      <c r="G35" s="9">
        <v>0.88402777777777775</v>
      </c>
      <c r="H35" s="9">
        <v>0.90208333333333335</v>
      </c>
      <c r="I35" s="10">
        <f t="shared" si="4"/>
        <v>1.8055555555555602E-2</v>
      </c>
      <c r="J35" s="11">
        <v>4</v>
      </c>
      <c r="K35" s="12">
        <v>215.2</v>
      </c>
      <c r="L35" s="16">
        <f t="shared" si="5"/>
        <v>124.15384615384583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/>
      <c r="AC35" s="11"/>
      <c r="AD35" s="11">
        <v>26</v>
      </c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55" t="s">
        <v>2139</v>
      </c>
      <c r="F36" s="8" t="s">
        <v>42</v>
      </c>
      <c r="G36" s="9">
        <v>0.91111111111111109</v>
      </c>
      <c r="H36" s="9">
        <v>0.92500000000000004</v>
      </c>
      <c r="I36" s="10">
        <f t="shared" si="4"/>
        <v>1.3888888888888951E-2</v>
      </c>
      <c r="J36" s="11">
        <v>4</v>
      </c>
      <c r="K36" s="12">
        <v>159.19999999999999</v>
      </c>
      <c r="L36" s="16">
        <f t="shared" si="5"/>
        <v>119.39999999999947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/>
      <c r="AB36" s="11"/>
      <c r="AC36" s="11"/>
      <c r="AD36" s="11">
        <v>20</v>
      </c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1800</v>
      </c>
      <c r="F37" s="8" t="s">
        <v>42</v>
      </c>
      <c r="G37" s="9">
        <v>8.2638888888888887E-2</v>
      </c>
      <c r="H37" s="9">
        <v>0.11388888888888889</v>
      </c>
      <c r="I37" s="10">
        <f t="shared" si="4"/>
        <v>3.125E-2</v>
      </c>
      <c r="J37" s="11">
        <v>5</v>
      </c>
      <c r="K37" s="11">
        <f>20*3.95</f>
        <v>79</v>
      </c>
      <c r="L37" s="16">
        <f t="shared" si="5"/>
        <v>21.066666666666666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>
        <v>45</v>
      </c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1801</v>
      </c>
      <c r="F38" s="8" t="s">
        <v>42</v>
      </c>
      <c r="G38" s="9">
        <v>8.6805555555555552E-2</v>
      </c>
      <c r="H38" s="9">
        <v>0.11805555555555555</v>
      </c>
      <c r="I38" s="10">
        <f t="shared" si="4"/>
        <v>3.125E-2</v>
      </c>
      <c r="J38" s="11">
        <v>5</v>
      </c>
      <c r="K38" s="12">
        <f>18*3.95</f>
        <v>71.100000000000009</v>
      </c>
      <c r="L38" s="16">
        <f t="shared" si="5"/>
        <v>18.960000000000004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>
        <v>45</v>
      </c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1802</v>
      </c>
      <c r="F39" s="8" t="s">
        <v>42</v>
      </c>
      <c r="G39" s="9">
        <v>8.6805555555555552E-2</v>
      </c>
      <c r="H39" s="9">
        <v>0.11805555555555555</v>
      </c>
      <c r="I39" s="10">
        <f t="shared" si="4"/>
        <v>3.125E-2</v>
      </c>
      <c r="J39" s="11">
        <v>5</v>
      </c>
      <c r="K39" s="12">
        <f>2*3.95</f>
        <v>7.9</v>
      </c>
      <c r="L39" s="16">
        <f t="shared" si="5"/>
        <v>2.1066666666666669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>
        <v>45</v>
      </c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1803</v>
      </c>
      <c r="F40" s="8" t="s">
        <v>42</v>
      </c>
      <c r="G40" s="9">
        <v>9.166666666666666E-2</v>
      </c>
      <c r="H40" s="9">
        <v>0.12291666666666666</v>
      </c>
      <c r="I40" s="10">
        <f t="shared" si="4"/>
        <v>3.125E-2</v>
      </c>
      <c r="J40" s="11">
        <v>5</v>
      </c>
      <c r="K40" s="12">
        <f>20*3.95</f>
        <v>79</v>
      </c>
      <c r="L40" s="16">
        <f t="shared" si="5"/>
        <v>21.066666666666666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>
        <v>45</v>
      </c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2140</v>
      </c>
      <c r="F41" s="8" t="s">
        <v>42</v>
      </c>
      <c r="G41" s="9">
        <v>9.6527777777777782E-2</v>
      </c>
      <c r="H41" s="9">
        <v>0.12777777777777777</v>
      </c>
      <c r="I41" s="10">
        <f t="shared" si="4"/>
        <v>3.1249999999999986E-2</v>
      </c>
      <c r="J41" s="11">
        <v>5</v>
      </c>
      <c r="K41" s="12">
        <f>16*3.95</f>
        <v>63.2</v>
      </c>
      <c r="L41" s="16">
        <f t="shared" si="5"/>
        <v>16.853333333333342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>
        <v>45</v>
      </c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1804</v>
      </c>
      <c r="F42" s="8" t="s">
        <v>42</v>
      </c>
      <c r="G42" s="9">
        <v>9.6527777777777782E-2</v>
      </c>
      <c r="H42" s="9">
        <v>0.12777777777777777</v>
      </c>
      <c r="I42" s="10">
        <f t="shared" si="4"/>
        <v>3.1249999999999986E-2</v>
      </c>
      <c r="J42" s="11">
        <v>5</v>
      </c>
      <c r="K42" s="12">
        <f>4*3.95</f>
        <v>15.8</v>
      </c>
      <c r="L42" s="16">
        <f t="shared" si="5"/>
        <v>4.2133333333333356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>
        <v>45</v>
      </c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1805</v>
      </c>
      <c r="F43" s="8" t="s">
        <v>42</v>
      </c>
      <c r="G43" s="9">
        <v>0.11458333333333333</v>
      </c>
      <c r="H43" s="9">
        <v>0.14583333333333334</v>
      </c>
      <c r="I43" s="10">
        <f t="shared" si="4"/>
        <v>3.1250000000000014E-2</v>
      </c>
      <c r="J43" s="11">
        <v>5</v>
      </c>
      <c r="K43" s="12">
        <f>20*3.95</f>
        <v>79</v>
      </c>
      <c r="L43" s="16">
        <f t="shared" si="5"/>
        <v>21.066666666666659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>
        <v>45</v>
      </c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2141</v>
      </c>
      <c r="F44" s="8" t="s">
        <v>42</v>
      </c>
      <c r="G44" s="9">
        <v>0.12152777777777778</v>
      </c>
      <c r="H44" s="9">
        <v>0.15277777777777779</v>
      </c>
      <c r="I44" s="10">
        <f t="shared" si="4"/>
        <v>3.1250000000000014E-2</v>
      </c>
      <c r="J44" s="11">
        <v>5</v>
      </c>
      <c r="K44" s="12">
        <f>14*3.95</f>
        <v>55.300000000000004</v>
      </c>
      <c r="L44" s="16">
        <f t="shared" si="5"/>
        <v>14.746666666666663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>
        <v>45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1806</v>
      </c>
      <c r="F45" s="8" t="s">
        <v>42</v>
      </c>
      <c r="G45" s="9">
        <v>0.12152777777777778</v>
      </c>
      <c r="H45" s="9">
        <v>0.15277777777777779</v>
      </c>
      <c r="I45" s="10">
        <f t="shared" si="4"/>
        <v>3.1250000000000014E-2</v>
      </c>
      <c r="J45" s="11">
        <v>5</v>
      </c>
      <c r="K45" s="12">
        <f>6*3.95</f>
        <v>23.700000000000003</v>
      </c>
      <c r="L45" s="16">
        <f t="shared" si="5"/>
        <v>6.3199999999999994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>
        <v>45</v>
      </c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1807</v>
      </c>
      <c r="F46" s="8" t="s">
        <v>42</v>
      </c>
      <c r="G46" s="9">
        <v>0.12361111111111112</v>
      </c>
      <c r="H46" s="9">
        <v>0.15486111111111112</v>
      </c>
      <c r="I46" s="10">
        <f t="shared" si="4"/>
        <v>3.125E-2</v>
      </c>
      <c r="J46" s="11">
        <v>5</v>
      </c>
      <c r="K46" s="12">
        <f>20*3.95</f>
        <v>79</v>
      </c>
      <c r="L46" s="16">
        <f t="shared" si="5"/>
        <v>21.066666666666666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>
        <v>45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2142</v>
      </c>
      <c r="F47" s="8" t="s">
        <v>42</v>
      </c>
      <c r="G47" s="9">
        <v>0.13125000000000001</v>
      </c>
      <c r="H47" s="9">
        <v>0.16250000000000001</v>
      </c>
      <c r="I47" s="10">
        <f t="shared" si="4"/>
        <v>3.125E-2</v>
      </c>
      <c r="J47" s="11">
        <v>5</v>
      </c>
      <c r="K47" s="12">
        <f>12*3.95</f>
        <v>47.400000000000006</v>
      </c>
      <c r="L47" s="16">
        <f t="shared" si="5"/>
        <v>12.64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>
        <v>45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1808</v>
      </c>
      <c r="F48" s="8" t="s">
        <v>42</v>
      </c>
      <c r="G48" s="9">
        <v>0.13125000000000001</v>
      </c>
      <c r="H48" s="9">
        <v>0.16250000000000001</v>
      </c>
      <c r="I48" s="10">
        <f t="shared" si="4"/>
        <v>3.125E-2</v>
      </c>
      <c r="J48" s="11">
        <v>5</v>
      </c>
      <c r="K48" s="12">
        <f>8*3.95</f>
        <v>31.6</v>
      </c>
      <c r="L48" s="16">
        <f t="shared" si="5"/>
        <v>8.4266666666666676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>
        <v>45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1809</v>
      </c>
      <c r="F49" s="8" t="s">
        <v>42</v>
      </c>
      <c r="G49" s="9">
        <v>0.14791666666666667</v>
      </c>
      <c r="H49" s="9">
        <v>0.17916666666666667</v>
      </c>
      <c r="I49" s="10">
        <f t="shared" si="4"/>
        <v>3.125E-2</v>
      </c>
      <c r="J49" s="11">
        <v>5</v>
      </c>
      <c r="K49" s="12">
        <f>20*3.95</f>
        <v>79</v>
      </c>
      <c r="L49" s="16">
        <f t="shared" si="5"/>
        <v>21.066666666666666</v>
      </c>
      <c r="M49" s="11"/>
      <c r="N49" s="11"/>
      <c r="O49" s="11"/>
      <c r="P49" s="11"/>
      <c r="Q49" s="11"/>
      <c r="R49" s="12"/>
      <c r="S49" s="12"/>
      <c r="T49" s="11"/>
      <c r="U49" s="11"/>
      <c r="V49" s="12" t="s">
        <v>2143</v>
      </c>
      <c r="W49" s="12">
        <v>2</v>
      </c>
      <c r="X49" s="11">
        <v>45</v>
      </c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2144</v>
      </c>
      <c r="F50" s="8" t="s">
        <v>42</v>
      </c>
      <c r="G50" s="9">
        <v>0.15416666666666667</v>
      </c>
      <c r="H50" s="9">
        <v>0.18541666666666667</v>
      </c>
      <c r="I50" s="10">
        <f t="shared" si="4"/>
        <v>3.125E-2</v>
      </c>
      <c r="J50" s="11">
        <v>5</v>
      </c>
      <c r="K50" s="12">
        <f>20*3.95</f>
        <v>79</v>
      </c>
      <c r="L50" s="16">
        <f t="shared" si="5"/>
        <v>21.066666666666666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/>
      <c r="Y50" s="11">
        <v>45</v>
      </c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2145</v>
      </c>
      <c r="F51" s="8" t="s">
        <v>42</v>
      </c>
      <c r="G51" s="9">
        <v>0.15833333333333333</v>
      </c>
      <c r="H51" s="9">
        <v>0.18958333333333333</v>
      </c>
      <c r="I51" s="10">
        <f t="shared" si="4"/>
        <v>3.125E-2</v>
      </c>
      <c r="J51" s="11">
        <v>5</v>
      </c>
      <c r="K51" s="11">
        <f>10*3.95</f>
        <v>39.5</v>
      </c>
      <c r="L51" s="16">
        <f t="shared" si="5"/>
        <v>10.533333333333333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>
        <v>45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/>
      <c r="F52" s="8"/>
      <c r="G52" s="9"/>
      <c r="H52" s="9"/>
      <c r="I52" s="10"/>
      <c r="J52" s="11"/>
      <c r="K52" s="11"/>
      <c r="L52" s="16"/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 t="s">
        <v>2146</v>
      </c>
      <c r="E53" s="19" t="s">
        <v>2147</v>
      </c>
      <c r="F53" s="8" t="s">
        <v>42</v>
      </c>
      <c r="G53" s="9">
        <v>0.89861111111111114</v>
      </c>
      <c r="H53" s="9">
        <v>0.90416666666666667</v>
      </c>
      <c r="I53" s="10">
        <f t="shared" ref="I53:I80" si="6">H53-G53</f>
        <v>5.5555555555555358E-3</v>
      </c>
      <c r="J53" s="139">
        <v>4</v>
      </c>
      <c r="K53" s="12">
        <f>5*5</f>
        <v>25</v>
      </c>
      <c r="L53" s="16">
        <f t="shared" ref="L53:L80" si="7">IFERROR(((K53/(J53*I53)/24)),"0")</f>
        <v>46.875000000000171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8</v>
      </c>
      <c r="W53" s="12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1033</v>
      </c>
      <c r="F54" s="8" t="s">
        <v>42</v>
      </c>
      <c r="G54" s="9">
        <v>0.82152777777777775</v>
      </c>
      <c r="H54" s="9">
        <v>0.83194444444444449</v>
      </c>
      <c r="I54" s="10">
        <f t="shared" si="6"/>
        <v>1.0416666666666741E-2</v>
      </c>
      <c r="J54" s="139">
        <v>4</v>
      </c>
      <c r="K54" s="11">
        <v>62.78</v>
      </c>
      <c r="L54" s="16">
        <f t="shared" si="7"/>
        <v>62.779999999999553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2">
        <f>15/2</f>
        <v>7.5</v>
      </c>
      <c r="Y54" s="12">
        <f>15/2</f>
        <v>7.5</v>
      </c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1034</v>
      </c>
      <c r="F55" s="8" t="s">
        <v>42</v>
      </c>
      <c r="G55" s="9">
        <v>0.82847222222222228</v>
      </c>
      <c r="H55" s="9">
        <v>0.84236111111111112</v>
      </c>
      <c r="I55" s="10">
        <f t="shared" si="6"/>
        <v>1.388888888888884E-2</v>
      </c>
      <c r="J55" s="139">
        <v>4</v>
      </c>
      <c r="K55" s="11">
        <v>65.41</v>
      </c>
      <c r="L55" s="16">
        <f t="shared" si="7"/>
        <v>49.057500000000175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2"/>
      <c r="Z55" s="12">
        <v>10</v>
      </c>
      <c r="AA55" s="12">
        <v>10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1035</v>
      </c>
      <c r="F56" s="8" t="s">
        <v>42</v>
      </c>
      <c r="G56" s="9">
        <v>0.83958333333333335</v>
      </c>
      <c r="H56" s="9">
        <v>0.85347222222222219</v>
      </c>
      <c r="I56" s="10">
        <f t="shared" si="6"/>
        <v>1.388888888888884E-2</v>
      </c>
      <c r="J56" s="139">
        <v>4</v>
      </c>
      <c r="K56" s="11">
        <v>64.540000000000006</v>
      </c>
      <c r="L56" s="16">
        <f t="shared" si="7"/>
        <v>48.405000000000179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2">
        <v>10</v>
      </c>
      <c r="Y56" s="12">
        <v>10</v>
      </c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1036</v>
      </c>
      <c r="F57" s="8" t="s">
        <v>42</v>
      </c>
      <c r="G57" s="9">
        <v>0.84791666666666665</v>
      </c>
      <c r="H57" s="9">
        <v>0.86041666666666672</v>
      </c>
      <c r="I57" s="10">
        <f t="shared" si="6"/>
        <v>1.2500000000000067E-2</v>
      </c>
      <c r="J57" s="139">
        <v>4</v>
      </c>
      <c r="K57" s="11">
        <v>62.88</v>
      </c>
      <c r="L57" s="16">
        <f t="shared" si="7"/>
        <v>52.399999999999721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2">
        <f>18/2</f>
        <v>9</v>
      </c>
      <c r="AA57" s="12">
        <f>18/2</f>
        <v>9</v>
      </c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1037</v>
      </c>
      <c r="F58" s="8" t="s">
        <v>42</v>
      </c>
      <c r="G58" s="9">
        <v>0.85347222222222219</v>
      </c>
      <c r="H58" s="9">
        <v>0.86736111111111114</v>
      </c>
      <c r="I58" s="10">
        <f t="shared" si="6"/>
        <v>1.3888888888888951E-2</v>
      </c>
      <c r="J58" s="139">
        <v>4</v>
      </c>
      <c r="K58" s="11">
        <v>64.95</v>
      </c>
      <c r="L58" s="16">
        <f t="shared" si="7"/>
        <v>48.712499999999785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2">
        <v>10</v>
      </c>
      <c r="Y58" s="12">
        <v>10</v>
      </c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1047</v>
      </c>
      <c r="F59" s="8" t="s">
        <v>42</v>
      </c>
      <c r="G59" s="9">
        <v>0.85902777777777772</v>
      </c>
      <c r="H59" s="9">
        <v>0.88749999999999996</v>
      </c>
      <c r="I59" s="10">
        <f t="shared" si="6"/>
        <v>2.8472222222222232E-2</v>
      </c>
      <c r="J59" s="139">
        <v>4</v>
      </c>
      <c r="K59" s="11">
        <v>126.21</v>
      </c>
      <c r="L59" s="16">
        <f t="shared" si="7"/>
        <v>46.174390243902423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/>
      <c r="Z59" s="11"/>
      <c r="AA59" s="11"/>
      <c r="AB59" s="11">
        <v>41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1048</v>
      </c>
      <c r="F60" s="14"/>
      <c r="G60" s="9">
        <v>0.90069444444444446</v>
      </c>
      <c r="H60" s="9">
        <v>0.93194444444444446</v>
      </c>
      <c r="I60" s="10">
        <f t="shared" si="6"/>
        <v>3.125E-2</v>
      </c>
      <c r="J60" s="139">
        <v>4</v>
      </c>
      <c r="K60" s="11">
        <v>125.7</v>
      </c>
      <c r="L60" s="16">
        <f t="shared" si="7"/>
        <v>41.9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/>
      <c r="Z60" s="11"/>
      <c r="AA60" s="11"/>
      <c r="AB60" s="11"/>
      <c r="AC60" s="11"/>
      <c r="AD60" s="11">
        <v>45</v>
      </c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1049</v>
      </c>
      <c r="F61" s="8" t="s">
        <v>42</v>
      </c>
      <c r="G61" s="9">
        <v>0.93541666666666667</v>
      </c>
      <c r="H61" s="9">
        <v>0.96805555555555556</v>
      </c>
      <c r="I61" s="10">
        <f t="shared" si="6"/>
        <v>3.2638888888888884E-2</v>
      </c>
      <c r="J61" s="139">
        <v>4</v>
      </c>
      <c r="K61" s="11">
        <v>124.83</v>
      </c>
      <c r="L61" s="16">
        <f t="shared" si="7"/>
        <v>39.839361702127668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/>
      <c r="AA61" s="11"/>
      <c r="AB61" s="11">
        <v>47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1050</v>
      </c>
      <c r="F62" s="8" t="s">
        <v>42</v>
      </c>
      <c r="G62" s="9">
        <v>0.94236111111111109</v>
      </c>
      <c r="H62" s="9">
        <v>0.97430555555555554</v>
      </c>
      <c r="I62" s="10">
        <f t="shared" si="6"/>
        <v>3.1944444444444442E-2</v>
      </c>
      <c r="J62" s="139">
        <v>4</v>
      </c>
      <c r="K62" s="11">
        <v>126.23</v>
      </c>
      <c r="L62" s="16">
        <f t="shared" si="7"/>
        <v>41.161956521739135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2</v>
      </c>
      <c r="X62" s="11"/>
      <c r="Y62" s="11"/>
      <c r="Z62" s="11"/>
      <c r="AA62" s="11"/>
      <c r="AB62" s="11"/>
      <c r="AC62" s="11"/>
      <c r="AD62" s="11">
        <v>46</v>
      </c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1051</v>
      </c>
      <c r="F63" s="8" t="s">
        <v>42</v>
      </c>
      <c r="G63" s="9">
        <v>0.93194444444444446</v>
      </c>
      <c r="H63" s="9">
        <v>0.96180555555555558</v>
      </c>
      <c r="I63" s="10">
        <f t="shared" si="6"/>
        <v>2.9861111111111116E-2</v>
      </c>
      <c r="J63" s="139">
        <v>4</v>
      </c>
      <c r="K63" s="11">
        <v>126.93</v>
      </c>
      <c r="L63" s="16">
        <f t="shared" si="7"/>
        <v>44.277906976744184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>
        <v>43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/>
      <c r="F64" s="8" t="s">
        <v>42</v>
      </c>
      <c r="G64" s="9"/>
      <c r="H64" s="9"/>
      <c r="I64" s="10">
        <f t="shared" si="6"/>
        <v>0</v>
      </c>
      <c r="J64" s="11"/>
      <c r="K64" s="11"/>
      <c r="L64" s="16" t="str">
        <f t="shared" si="7"/>
        <v>0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 t="s">
        <v>2148</v>
      </c>
      <c r="E65" s="19" t="s">
        <v>2149</v>
      </c>
      <c r="F65" s="8" t="s">
        <v>42</v>
      </c>
      <c r="G65" s="9">
        <v>0.98333333333333328</v>
      </c>
      <c r="H65" s="9">
        <v>0.99930555555555556</v>
      </c>
      <c r="I65" s="10">
        <f t="shared" si="6"/>
        <v>1.5972222222222276E-2</v>
      </c>
      <c r="J65" s="11">
        <v>4</v>
      </c>
      <c r="K65" s="11">
        <v>138.28</v>
      </c>
      <c r="L65" s="16">
        <f t="shared" si="7"/>
        <v>90.182608695651865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/>
      <c r="AC65" s="11"/>
      <c r="AD65" s="11">
        <v>23</v>
      </c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2150</v>
      </c>
      <c r="F66" s="8" t="s">
        <v>42</v>
      </c>
      <c r="G66" s="9">
        <v>6.8750000000000006E-2</v>
      </c>
      <c r="H66" s="9">
        <v>8.1250000000000003E-2</v>
      </c>
      <c r="I66" s="10">
        <f t="shared" si="6"/>
        <v>1.2499999999999997E-2</v>
      </c>
      <c r="J66" s="11">
        <v>4</v>
      </c>
      <c r="K66" s="11">
        <v>139.47999999999999</v>
      </c>
      <c r="L66" s="16">
        <f t="shared" si="7"/>
        <v>116.23333333333335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2</v>
      </c>
      <c r="X66" s="11"/>
      <c r="Y66" s="11"/>
      <c r="Z66" s="11"/>
      <c r="AA66" s="11"/>
      <c r="AB66" s="11">
        <v>18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2151</v>
      </c>
      <c r="F67" s="8" t="s">
        <v>42</v>
      </c>
      <c r="G67" s="9">
        <v>7.013888888888889E-2</v>
      </c>
      <c r="H67" s="9">
        <v>8.6805555555555552E-2</v>
      </c>
      <c r="I67" s="10">
        <f t="shared" si="6"/>
        <v>1.6666666666666663E-2</v>
      </c>
      <c r="J67" s="11">
        <v>4</v>
      </c>
      <c r="K67" s="11">
        <v>137.02000000000001</v>
      </c>
      <c r="L67" s="16">
        <f t="shared" si="7"/>
        <v>85.637500000000031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/>
      <c r="AC67" s="11"/>
      <c r="AD67" s="11">
        <v>24</v>
      </c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2152</v>
      </c>
      <c r="F68" s="8" t="s">
        <v>42</v>
      </c>
      <c r="G68" s="9">
        <v>8.4722222222222227E-2</v>
      </c>
      <c r="H68" s="9">
        <v>9.8611111111111108E-2</v>
      </c>
      <c r="I68" s="10">
        <f t="shared" si="6"/>
        <v>1.3888888888888881E-2</v>
      </c>
      <c r="J68" s="11">
        <v>4</v>
      </c>
      <c r="K68" s="11">
        <v>139.13</v>
      </c>
      <c r="L68" s="16">
        <f t="shared" si="7"/>
        <v>104.34750000000007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2</v>
      </c>
      <c r="X68" s="11"/>
      <c r="Y68" s="11"/>
      <c r="Z68" s="11"/>
      <c r="AA68" s="11"/>
      <c r="AB68" s="11">
        <v>20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2153</v>
      </c>
      <c r="F69" s="8" t="s">
        <v>42</v>
      </c>
      <c r="G69" s="9">
        <v>9.0972222222222218E-2</v>
      </c>
      <c r="H69" s="9">
        <v>0.10555555555555556</v>
      </c>
      <c r="I69" s="10">
        <f t="shared" si="6"/>
        <v>1.4583333333333337E-2</v>
      </c>
      <c r="J69" s="11">
        <v>4</v>
      </c>
      <c r="K69" s="11">
        <v>138.36000000000001</v>
      </c>
      <c r="L69" s="16">
        <f t="shared" si="7"/>
        <v>98.828571428571422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/>
      <c r="AC69" s="11"/>
      <c r="AD69" s="11">
        <v>21</v>
      </c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2154</v>
      </c>
      <c r="F70" s="8" t="s">
        <v>42</v>
      </c>
      <c r="G70" s="9">
        <v>0.10208333333333333</v>
      </c>
      <c r="H70" s="9">
        <v>0.11527777777777778</v>
      </c>
      <c r="I70" s="10">
        <f t="shared" si="6"/>
        <v>1.3194444444444453E-2</v>
      </c>
      <c r="J70" s="11">
        <v>4</v>
      </c>
      <c r="K70" s="11">
        <v>136.84</v>
      </c>
      <c r="L70" s="16">
        <f t="shared" si="7"/>
        <v>108.03157894736836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2</v>
      </c>
      <c r="X70" s="11"/>
      <c r="Y70" s="11"/>
      <c r="Z70" s="11"/>
      <c r="AA70" s="11"/>
      <c r="AB70" s="11">
        <v>19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2155</v>
      </c>
      <c r="F71" s="8" t="s">
        <v>42</v>
      </c>
      <c r="G71" s="9">
        <v>0.11041666666666666</v>
      </c>
      <c r="H71" s="9">
        <v>0.12569444444444444</v>
      </c>
      <c r="I71" s="10">
        <f t="shared" si="6"/>
        <v>1.5277777777777779E-2</v>
      </c>
      <c r="J71" s="11">
        <v>4</v>
      </c>
      <c r="K71" s="11">
        <v>138.28</v>
      </c>
      <c r="L71" s="16">
        <f t="shared" si="7"/>
        <v>94.281818181818167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/>
      <c r="AB71" s="11"/>
      <c r="AC71" s="11"/>
      <c r="AD71" s="11">
        <v>22</v>
      </c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2156</v>
      </c>
      <c r="F72" s="8" t="s">
        <v>42</v>
      </c>
      <c r="G72" s="9">
        <v>0.11874999999999999</v>
      </c>
      <c r="H72" s="9">
        <v>0.13333333333333333</v>
      </c>
      <c r="I72" s="10">
        <f t="shared" si="6"/>
        <v>1.4583333333333337E-2</v>
      </c>
      <c r="J72" s="11">
        <v>4</v>
      </c>
      <c r="K72" s="11">
        <v>138.15</v>
      </c>
      <c r="L72" s="16">
        <f t="shared" si="7"/>
        <v>98.678571428571402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/>
      <c r="Z72" s="11"/>
      <c r="AA72" s="11"/>
      <c r="AB72" s="11">
        <v>21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2157</v>
      </c>
      <c r="F73" s="14"/>
      <c r="G73" s="9">
        <v>0.13055555555555556</v>
      </c>
      <c r="H73" s="9">
        <v>0.14722222222222223</v>
      </c>
      <c r="I73" s="10">
        <f t="shared" si="6"/>
        <v>1.6666666666666663E-2</v>
      </c>
      <c r="J73" s="11">
        <v>4</v>
      </c>
      <c r="K73" s="11">
        <v>139.91</v>
      </c>
      <c r="L73" s="16">
        <f t="shared" si="7"/>
        <v>87.443750000000023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2</v>
      </c>
      <c r="W73" s="12"/>
      <c r="X73" s="11"/>
      <c r="Y73" s="11"/>
      <c r="Z73" s="11"/>
      <c r="AA73" s="11"/>
      <c r="AB73" s="11"/>
      <c r="AC73" s="11"/>
      <c r="AD73" s="11">
        <v>24</v>
      </c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2158</v>
      </c>
      <c r="F74" s="8" t="s">
        <v>42</v>
      </c>
      <c r="G74" s="9">
        <v>0.13541666666666666</v>
      </c>
      <c r="H74" s="9">
        <v>0.14861111111111111</v>
      </c>
      <c r="I74" s="10">
        <f t="shared" si="6"/>
        <v>1.3194444444444453E-2</v>
      </c>
      <c r="J74" s="11">
        <v>4</v>
      </c>
      <c r="K74" s="11">
        <v>138.28</v>
      </c>
      <c r="L74" s="16">
        <f t="shared" si="7"/>
        <v>109.16842105263152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/>
      <c r="Z74" s="11"/>
      <c r="AA74" s="11"/>
      <c r="AB74" s="11">
        <v>19</v>
      </c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2159</v>
      </c>
      <c r="F75" s="8" t="s">
        <v>42</v>
      </c>
      <c r="G75" s="9">
        <v>0.89236111111111116</v>
      </c>
      <c r="H75" s="9">
        <v>0.8979166666666667</v>
      </c>
      <c r="I75" s="10">
        <f t="shared" si="6"/>
        <v>5.5555555555555358E-3</v>
      </c>
      <c r="J75" s="11">
        <v>4</v>
      </c>
      <c r="K75" s="11">
        <f>10*10</f>
        <v>100</v>
      </c>
      <c r="L75" s="16">
        <f t="shared" si="7"/>
        <v>187.50000000000068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8</v>
      </c>
      <c r="W75" s="12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2160</v>
      </c>
      <c r="F76" s="8" t="s">
        <v>42</v>
      </c>
      <c r="G76" s="9">
        <v>0.9</v>
      </c>
      <c r="H76" s="9">
        <v>0.90555555555555556</v>
      </c>
      <c r="I76" s="10">
        <f t="shared" si="6"/>
        <v>5.5555555555555358E-3</v>
      </c>
      <c r="J76" s="11">
        <v>4</v>
      </c>
      <c r="K76" s="11">
        <f>10*10</f>
        <v>100</v>
      </c>
      <c r="L76" s="16">
        <f t="shared" si="7"/>
        <v>187.50000000000068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8</v>
      </c>
      <c r="W76" s="12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/>
      <c r="F77" s="8" t="s">
        <v>42</v>
      </c>
      <c r="G77" s="9"/>
      <c r="H77" s="9"/>
      <c r="I77" s="10">
        <f t="shared" si="6"/>
        <v>0</v>
      </c>
      <c r="J77" s="11"/>
      <c r="K77" s="11"/>
      <c r="L77" s="16" t="str">
        <f t="shared" si="7"/>
        <v>0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 t="s">
        <v>1432</v>
      </c>
      <c r="E78" s="19" t="s">
        <v>1667</v>
      </c>
      <c r="F78" s="8" t="s">
        <v>42</v>
      </c>
      <c r="G78" s="9">
        <v>0.15416666666666667</v>
      </c>
      <c r="H78" s="9">
        <v>0.15902777777777777</v>
      </c>
      <c r="I78" s="10">
        <f t="shared" si="6"/>
        <v>4.8611111111110938E-3</v>
      </c>
      <c r="J78" s="11">
        <v>4</v>
      </c>
      <c r="K78" s="11">
        <v>38.65</v>
      </c>
      <c r="L78" s="16">
        <f t="shared" si="7"/>
        <v>82.821428571428854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/>
      <c r="X78" s="11"/>
      <c r="Y78" s="11"/>
      <c r="Z78" s="11"/>
      <c r="AA78" s="11"/>
      <c r="AB78" s="11"/>
      <c r="AC78" s="11"/>
      <c r="AD78" s="11">
        <v>7</v>
      </c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/>
      <c r="F79" s="8" t="s">
        <v>42</v>
      </c>
      <c r="G79" s="9"/>
      <c r="H79" s="9"/>
      <c r="I79" s="10">
        <f t="shared" si="6"/>
        <v>0</v>
      </c>
      <c r="J79" s="11"/>
      <c r="K79" s="11"/>
      <c r="L79" s="16" t="str">
        <f t="shared" si="7"/>
        <v>0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/>
      <c r="F80" s="8" t="s">
        <v>42</v>
      </c>
      <c r="G80" s="9"/>
      <c r="H80" s="9"/>
      <c r="I80" s="10">
        <f t="shared" si="6"/>
        <v>0</v>
      </c>
      <c r="J80" s="11"/>
      <c r="K80" s="11"/>
      <c r="L80" s="16" t="str">
        <f t="shared" si="7"/>
        <v>0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1:38" s="28" customFormat="1" ht="25.5" customHeight="1" thickBot="1">
      <c r="A81" s="2"/>
      <c r="B81" s="32"/>
      <c r="C81" s="33"/>
      <c r="D81" s="34"/>
      <c r="E81" s="35"/>
      <c r="F81" s="35"/>
      <c r="G81" s="36"/>
      <c r="H81" s="36"/>
      <c r="I81" s="37"/>
      <c r="J81" s="38"/>
      <c r="K81" s="38">
        <f t="shared" ref="K81:AL81" si="8">SUM(K28:K80)</f>
        <v>4111.2000000000007</v>
      </c>
      <c r="L81" s="39">
        <f t="shared" si="8"/>
        <v>3300.7875658621701</v>
      </c>
      <c r="M81" s="38">
        <f t="shared" si="8"/>
        <v>0</v>
      </c>
      <c r="N81" s="38">
        <f t="shared" si="8"/>
        <v>0</v>
      </c>
      <c r="O81" s="38">
        <f t="shared" si="8"/>
        <v>0</v>
      </c>
      <c r="P81" s="38">
        <f t="shared" si="8"/>
        <v>0</v>
      </c>
      <c r="Q81" s="38">
        <f t="shared" si="8"/>
        <v>0</v>
      </c>
      <c r="R81" s="38">
        <f t="shared" si="8"/>
        <v>0</v>
      </c>
      <c r="S81" s="38">
        <f t="shared" si="8"/>
        <v>0</v>
      </c>
      <c r="T81" s="38">
        <f t="shared" si="8"/>
        <v>0</v>
      </c>
      <c r="U81" s="38">
        <f t="shared" si="8"/>
        <v>0</v>
      </c>
      <c r="V81" s="38">
        <f t="shared" si="8"/>
        <v>107</v>
      </c>
      <c r="W81" s="38">
        <f t="shared" si="8"/>
        <v>43</v>
      </c>
      <c r="X81" s="38">
        <f t="shared" si="8"/>
        <v>207.5</v>
      </c>
      <c r="Y81" s="38">
        <f t="shared" si="8"/>
        <v>162.5</v>
      </c>
      <c r="Z81" s="38">
        <f t="shared" si="8"/>
        <v>289</v>
      </c>
      <c r="AA81" s="38">
        <f t="shared" si="8"/>
        <v>109</v>
      </c>
      <c r="AB81" s="38">
        <f t="shared" si="8"/>
        <v>228</v>
      </c>
      <c r="AC81" s="38">
        <f t="shared" si="8"/>
        <v>0</v>
      </c>
      <c r="AD81" s="38">
        <f t="shared" si="8"/>
        <v>300</v>
      </c>
      <c r="AE81" s="38">
        <f t="shared" si="8"/>
        <v>0</v>
      </c>
      <c r="AF81" s="38">
        <f t="shared" si="8"/>
        <v>0</v>
      </c>
      <c r="AG81" s="38">
        <f t="shared" si="8"/>
        <v>0</v>
      </c>
      <c r="AH81" s="38">
        <f t="shared" si="8"/>
        <v>0</v>
      </c>
      <c r="AI81" s="38">
        <f t="shared" si="8"/>
        <v>0</v>
      </c>
      <c r="AJ81" s="38">
        <f t="shared" si="8"/>
        <v>0</v>
      </c>
      <c r="AK81" s="38">
        <f t="shared" si="8"/>
        <v>0</v>
      </c>
      <c r="AL81" s="38">
        <f t="shared" si="8"/>
        <v>0</v>
      </c>
    </row>
    <row r="82" spans="1:38" ht="38.1" customHeight="1" thickBot="1">
      <c r="B82" s="40" t="s">
        <v>45</v>
      </c>
      <c r="C82" s="41"/>
      <c r="D82" s="41"/>
      <c r="E82" s="41"/>
      <c r="F82" s="41"/>
      <c r="G82" s="41"/>
      <c r="H82" s="41"/>
      <c r="I82" s="41"/>
      <c r="J82" s="41"/>
      <c r="K82" s="42">
        <f>K24+K27+K81</f>
        <v>5818.0750000000007</v>
      </c>
      <c r="L82" s="42">
        <f>L24+L27+L81</f>
        <v>4608.2189610958094</v>
      </c>
      <c r="M82" s="43">
        <f t="shared" ref="M82:AL82" si="9">(M24+M27+M81)/(480-15-30)</f>
        <v>0.58390804597701151</v>
      </c>
      <c r="N82" s="43">
        <f t="shared" si="9"/>
        <v>0</v>
      </c>
      <c r="O82" s="43">
        <f t="shared" si="9"/>
        <v>0</v>
      </c>
      <c r="P82" s="43">
        <f t="shared" si="9"/>
        <v>0</v>
      </c>
      <c r="Q82" s="43">
        <f t="shared" si="9"/>
        <v>8.9655172413793102E-2</v>
      </c>
      <c r="R82" s="43">
        <f t="shared" si="9"/>
        <v>0</v>
      </c>
      <c r="S82" s="43">
        <f t="shared" si="9"/>
        <v>1.2459770114942528</v>
      </c>
      <c r="T82" s="43">
        <f t="shared" si="9"/>
        <v>0</v>
      </c>
      <c r="U82" s="43">
        <f t="shared" si="9"/>
        <v>0</v>
      </c>
      <c r="V82" s="43">
        <f t="shared" si="9"/>
        <v>0.24597701149425288</v>
      </c>
      <c r="W82" s="43">
        <f t="shared" si="9"/>
        <v>9.8850574712643677E-2</v>
      </c>
      <c r="X82" s="43">
        <f t="shared" si="9"/>
        <v>0.47701149425287354</v>
      </c>
      <c r="Y82" s="43">
        <f t="shared" si="9"/>
        <v>0.37356321839080459</v>
      </c>
      <c r="Z82" s="43">
        <f t="shared" si="9"/>
        <v>0.66436781609195406</v>
      </c>
      <c r="AA82" s="43">
        <f t="shared" si="9"/>
        <v>0.25057471264367814</v>
      </c>
      <c r="AB82" s="43">
        <f t="shared" si="9"/>
        <v>0.52413793103448281</v>
      </c>
      <c r="AC82" s="43">
        <f t="shared" si="9"/>
        <v>0</v>
      </c>
      <c r="AD82" s="43">
        <f t="shared" si="9"/>
        <v>0.68965517241379315</v>
      </c>
      <c r="AE82" s="43">
        <f t="shared" si="9"/>
        <v>0</v>
      </c>
      <c r="AF82" s="43">
        <f t="shared" si="9"/>
        <v>0</v>
      </c>
      <c r="AG82" s="43">
        <f t="shared" si="9"/>
        <v>0</v>
      </c>
      <c r="AH82" s="43">
        <f t="shared" si="9"/>
        <v>0</v>
      </c>
      <c r="AI82" s="43">
        <f t="shared" si="9"/>
        <v>0</v>
      </c>
      <c r="AJ82" s="43">
        <f t="shared" si="9"/>
        <v>0</v>
      </c>
      <c r="AK82" s="43">
        <f t="shared" si="9"/>
        <v>0</v>
      </c>
      <c r="AL82" s="43">
        <f t="shared" si="9"/>
        <v>0</v>
      </c>
    </row>
    <row r="83" spans="1:38" ht="25.05" customHeight="1">
      <c r="B83" s="44"/>
      <c r="C83" s="44"/>
      <c r="D83" s="44"/>
      <c r="E83" s="45"/>
      <c r="F83" s="45"/>
      <c r="G83" s="45"/>
      <c r="H83" s="45"/>
      <c r="I83" s="46"/>
      <c r="J83" s="46"/>
      <c r="K83" s="45"/>
      <c r="L83" s="47"/>
      <c r="M83" s="47"/>
      <c r="N83" s="47"/>
      <c r="O83" s="47"/>
      <c r="P83" s="47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  <c r="AI83" s="45"/>
      <c r="AJ83" s="45"/>
    </row>
    <row r="84" spans="1:38" ht="25.05" customHeight="1">
      <c r="B84" s="44"/>
      <c r="C84" s="44"/>
      <c r="D84" s="44"/>
      <c r="E84" s="45"/>
      <c r="F84" s="45"/>
      <c r="G84" s="45"/>
      <c r="H84" s="45"/>
      <c r="I84" s="48" t="s">
        <v>46</v>
      </c>
      <c r="J84" s="46"/>
      <c r="K84" s="45"/>
      <c r="L84" s="47"/>
      <c r="M84" s="47"/>
      <c r="N84" s="47"/>
      <c r="O84" s="47"/>
      <c r="P84" s="47"/>
      <c r="Q84" s="45"/>
      <c r="R84" s="45"/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  <c r="AE84" s="45"/>
      <c r="AF84" s="45"/>
      <c r="AG84" s="45"/>
      <c r="AH84" s="45"/>
      <c r="AI84" s="45"/>
      <c r="AJ84" s="45"/>
    </row>
    <row r="85" spans="1:38" ht="25.05" customHeight="1">
      <c r="B85" s="44"/>
      <c r="C85" s="44"/>
      <c r="D85" s="44"/>
      <c r="E85" s="45"/>
      <c r="F85" s="45"/>
      <c r="G85" s="45"/>
      <c r="H85" s="45"/>
      <c r="I85" s="49" t="s">
        <v>47</v>
      </c>
      <c r="J85" s="9">
        <v>0</v>
      </c>
      <c r="K85" s="11">
        <v>8</v>
      </c>
      <c r="L85" s="11" t="s">
        <v>48</v>
      </c>
      <c r="M85" s="47"/>
      <c r="N85" s="14">
        <v>3</v>
      </c>
      <c r="O85" s="14"/>
      <c r="P85" s="14"/>
      <c r="Q85" s="50" t="s">
        <v>49</v>
      </c>
      <c r="R85" s="51"/>
      <c r="S85" s="45"/>
      <c r="T85" s="45"/>
      <c r="U85" s="45"/>
      <c r="V85" s="45"/>
      <c r="W85" s="45"/>
      <c r="X85" s="45"/>
      <c r="Y85" s="45"/>
      <c r="Z85" s="45"/>
      <c r="AA85" s="45"/>
      <c r="AC85" s="45"/>
      <c r="AD85" s="45"/>
      <c r="AE85" s="45"/>
      <c r="AF85" s="45"/>
      <c r="AG85" s="45"/>
      <c r="AH85" s="45"/>
    </row>
    <row r="86" spans="1:38" ht="25.05" customHeight="1">
      <c r="B86" s="44"/>
      <c r="C86" s="44"/>
      <c r="D86" s="44"/>
      <c r="E86" s="45"/>
      <c r="F86" s="45"/>
      <c r="G86" s="45"/>
      <c r="H86" s="45"/>
      <c r="I86" s="49" t="s">
        <v>50</v>
      </c>
      <c r="J86" s="9">
        <v>0</v>
      </c>
      <c r="K86" s="11">
        <v>0</v>
      </c>
      <c r="L86" s="11" t="s">
        <v>48</v>
      </c>
      <c r="M86" s="47"/>
      <c r="N86" s="14">
        <v>0</v>
      </c>
      <c r="O86" s="14"/>
      <c r="P86" s="14"/>
      <c r="Q86" s="50" t="s">
        <v>51</v>
      </c>
      <c r="R86" s="51"/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  <c r="AE86" s="45"/>
      <c r="AF86" s="45"/>
      <c r="AG86" s="45"/>
      <c r="AH86" s="45"/>
    </row>
    <row r="87" spans="1:38" ht="25.05" customHeight="1">
      <c r="B87" s="44"/>
      <c r="C87" s="44"/>
      <c r="D87" s="44"/>
      <c r="E87" s="45"/>
      <c r="F87" s="45"/>
      <c r="G87" s="45"/>
      <c r="H87" s="45"/>
      <c r="I87" s="49" t="s">
        <v>52</v>
      </c>
      <c r="J87" s="9">
        <v>0</v>
      </c>
      <c r="K87" s="11">
        <v>19</v>
      </c>
      <c r="L87" s="11" t="s">
        <v>48</v>
      </c>
      <c r="M87" s="47"/>
      <c r="N87" s="14">
        <v>0</v>
      </c>
      <c r="O87" s="14"/>
      <c r="P87" s="14"/>
      <c r="Q87" s="50" t="s">
        <v>53</v>
      </c>
      <c r="R87" s="51"/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  <c r="AE87" s="45"/>
      <c r="AF87" s="45"/>
      <c r="AG87" s="45"/>
      <c r="AH87" s="45"/>
    </row>
    <row r="88" spans="1:38" ht="25.05" customHeight="1">
      <c r="B88" s="44"/>
      <c r="C88" s="44"/>
      <c r="D88" s="44"/>
      <c r="E88" s="45"/>
      <c r="F88" s="45"/>
      <c r="G88" s="45"/>
      <c r="H88" s="45"/>
      <c r="I88" s="52" t="s">
        <v>54</v>
      </c>
      <c r="J88" s="53">
        <v>0</v>
      </c>
      <c r="K88" s="11">
        <v>2</v>
      </c>
      <c r="L88" s="54" t="s">
        <v>48</v>
      </c>
      <c r="M88" s="47"/>
      <c r="N88" s="14">
        <v>4</v>
      </c>
      <c r="O88" s="14"/>
      <c r="P88" s="14"/>
      <c r="Q88" s="50" t="s">
        <v>55</v>
      </c>
      <c r="R88" s="51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</row>
    <row r="89" spans="1:38" ht="25.05" customHeight="1">
      <c r="B89" s="44"/>
      <c r="C89" s="44"/>
      <c r="D89" s="44"/>
      <c r="E89" s="45"/>
      <c r="F89" s="45"/>
      <c r="G89" s="45"/>
      <c r="H89" s="45"/>
      <c r="I89" s="49" t="s">
        <v>56</v>
      </c>
      <c r="J89" s="9">
        <v>0</v>
      </c>
      <c r="K89" s="11">
        <f>SUM(K85:K88)</f>
        <v>29</v>
      </c>
      <c r="L89" s="11" t="s">
        <v>48</v>
      </c>
      <c r="M89" s="47"/>
      <c r="N89"/>
      <c r="O89"/>
      <c r="P89"/>
      <c r="Q89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</row>
    <row r="90" spans="1:38" ht="25.05" customHeight="1">
      <c r="B90" s="44"/>
      <c r="C90" s="44"/>
      <c r="D90" s="44"/>
      <c r="E90" s="45"/>
      <c r="F90" s="45"/>
      <c r="G90" s="45"/>
      <c r="H90" s="45"/>
      <c r="M90" s="47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  <c r="AE90" s="45"/>
      <c r="AF90" s="45"/>
      <c r="AG90" s="45"/>
      <c r="AH90" s="45"/>
    </row>
    <row r="91" spans="1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8587-7818-49F1-A8E8-59D07B7316AF}">
  <sheetPr>
    <pageSetUpPr fitToPage="1"/>
  </sheetPr>
  <dimension ref="A1:AL108"/>
  <sheetViews>
    <sheetView zoomScale="70" zoomScaleNormal="7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46091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0.80555555555555558</v>
      </c>
      <c r="I4" s="10">
        <f t="shared" ref="I4:I31" si="0">H4-G4</f>
        <v>1.3888888888888951E-2</v>
      </c>
      <c r="J4" s="11">
        <v>8</v>
      </c>
      <c r="K4" s="11">
        <v>0</v>
      </c>
      <c r="L4" s="16">
        <f t="shared" ref="L4:L31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1432</v>
      </c>
      <c r="E5" s="117" t="s">
        <v>2161</v>
      </c>
      <c r="F5" s="118" t="s">
        <v>59</v>
      </c>
      <c r="G5" s="9">
        <v>0.80625000000000002</v>
      </c>
      <c r="H5" s="9">
        <v>0.80902777777777779</v>
      </c>
      <c r="I5" s="10">
        <f t="shared" si="0"/>
        <v>2.7777777777777679E-3</v>
      </c>
      <c r="J5" s="11">
        <v>2</v>
      </c>
      <c r="K5" s="11">
        <f>0.65*14</f>
        <v>9.1</v>
      </c>
      <c r="L5" s="16">
        <f t="shared" si="1"/>
        <v>68.250000000000242</v>
      </c>
      <c r="M5" s="11">
        <v>4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17" t="s">
        <v>2162</v>
      </c>
      <c r="F6" s="55" t="s">
        <v>66</v>
      </c>
      <c r="G6" s="9">
        <v>0.82013888888888886</v>
      </c>
      <c r="H6" s="9">
        <v>0.82986111111111116</v>
      </c>
      <c r="I6" s="10">
        <f t="shared" si="0"/>
        <v>9.7222222222222987E-3</v>
      </c>
      <c r="J6" s="11">
        <v>2</v>
      </c>
      <c r="K6" s="11">
        <f>6*14</f>
        <v>84</v>
      </c>
      <c r="L6" s="16">
        <f t="shared" si="1"/>
        <v>179.99999999999861</v>
      </c>
      <c r="M6" s="11">
        <v>14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5" customHeight="1">
      <c r="B7" s="13"/>
      <c r="C7" s="14"/>
      <c r="D7" s="6"/>
      <c r="E7" s="15" t="s">
        <v>387</v>
      </c>
      <c r="F7" s="55" t="s">
        <v>42</v>
      </c>
      <c r="G7" s="9">
        <v>0.80625000000000002</v>
      </c>
      <c r="H7" s="9">
        <v>0.875</v>
      </c>
      <c r="I7" s="10">
        <f>H7-G7</f>
        <v>6.8749999999999978E-2</v>
      </c>
      <c r="J7" s="11">
        <v>2</v>
      </c>
      <c r="K7" s="11">
        <f>150*4.03</f>
        <v>604.5</v>
      </c>
      <c r="L7" s="16">
        <f>IFERROR(((K7/(J7*I7)/24)),"0")</f>
        <v>183.18181818181824</v>
      </c>
      <c r="M7" s="11"/>
      <c r="N7" s="11"/>
      <c r="O7" s="11"/>
      <c r="P7" s="11"/>
      <c r="Q7" s="11">
        <v>99</v>
      </c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17" t="s">
        <v>2163</v>
      </c>
      <c r="F8" s="57">
        <v>0.75</v>
      </c>
      <c r="G8" s="9">
        <v>0.85138888888888886</v>
      </c>
      <c r="H8" s="9">
        <v>0.88541666666666663</v>
      </c>
      <c r="I8" s="10">
        <f t="shared" si="0"/>
        <v>3.4027777777777768E-2</v>
      </c>
      <c r="J8" s="11">
        <v>2</v>
      </c>
      <c r="K8" s="11">
        <f>41*14</f>
        <v>574</v>
      </c>
      <c r="L8" s="16">
        <f t="shared" si="1"/>
        <v>351.42857142857156</v>
      </c>
      <c r="M8" s="11">
        <v>49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29" t="s">
        <v>2164</v>
      </c>
      <c r="F9" s="55" t="s">
        <v>42</v>
      </c>
      <c r="G9" s="9">
        <v>0.88194444444444442</v>
      </c>
      <c r="H9" s="9">
        <v>46092.041666666664</v>
      </c>
      <c r="I9" s="10">
        <f>H9-G9</f>
        <v>46091.159722222219</v>
      </c>
      <c r="J9" s="11">
        <v>2</v>
      </c>
      <c r="K9" s="11">
        <v>15.53</v>
      </c>
      <c r="L9" s="16">
        <f>IFERROR(((K9/(J9*I9)/24)),"0")</f>
        <v>7.0196035121823049E-6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13" t="s">
        <v>2165</v>
      </c>
      <c r="F10" s="55" t="s">
        <v>232</v>
      </c>
      <c r="G10" s="9">
        <v>0.10069444444444445</v>
      </c>
      <c r="H10" s="9">
        <v>0.125</v>
      </c>
      <c r="I10" s="10">
        <f t="shared" si="0"/>
        <v>2.4305555555555552E-2</v>
      </c>
      <c r="J10" s="11">
        <v>2</v>
      </c>
      <c r="K10" s="11">
        <f>1.22*14</f>
        <v>17.079999999999998</v>
      </c>
      <c r="L10" s="16">
        <f t="shared" si="1"/>
        <v>14.64</v>
      </c>
      <c r="M10" s="11">
        <v>35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21" t="s">
        <v>2166</v>
      </c>
      <c r="F11" s="8" t="s">
        <v>42</v>
      </c>
      <c r="G11" s="9">
        <v>0.10069444444444445</v>
      </c>
      <c r="H11" s="9">
        <v>0.22916666666666666</v>
      </c>
      <c r="I11" s="10">
        <f t="shared" si="0"/>
        <v>0.12847222222222221</v>
      </c>
      <c r="J11" s="11">
        <v>10</v>
      </c>
      <c r="K11" s="11">
        <f>54*14</f>
        <v>756</v>
      </c>
      <c r="L11" s="16">
        <f t="shared" si="1"/>
        <v>24.518918918918924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31"/>
      <c r="E12" s="117" t="s">
        <v>2167</v>
      </c>
      <c r="F12" s="55" t="s">
        <v>63</v>
      </c>
      <c r="G12" s="9">
        <v>0.10069444444444445</v>
      </c>
      <c r="H12" s="9">
        <v>0.16666666666666666</v>
      </c>
      <c r="I12" s="10">
        <f t="shared" si="0"/>
        <v>6.597222222222221E-2</v>
      </c>
      <c r="J12" s="11">
        <v>5</v>
      </c>
      <c r="K12" s="11">
        <f>28.8*5</f>
        <v>144</v>
      </c>
      <c r="L12" s="16">
        <f t="shared" si="1"/>
        <v>18.18947368421053</v>
      </c>
      <c r="M12" s="11"/>
      <c r="N12" s="11"/>
      <c r="O12" s="11"/>
      <c r="P12" s="11"/>
      <c r="Q12" s="11"/>
      <c r="R12" s="12"/>
      <c r="S12" s="12">
        <v>95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5" t="s">
        <v>712</v>
      </c>
      <c r="E13" s="116" t="s">
        <v>2168</v>
      </c>
      <c r="F13" s="55" t="s">
        <v>232</v>
      </c>
      <c r="G13" s="9">
        <v>0.80972222222222223</v>
      </c>
      <c r="H13" s="9">
        <v>0.81736111111111109</v>
      </c>
      <c r="I13" s="10">
        <f t="shared" si="0"/>
        <v>7.6388888888888618E-3</v>
      </c>
      <c r="J13" s="11">
        <v>2</v>
      </c>
      <c r="K13" s="11">
        <f>3.8*7</f>
        <v>26.599999999999998</v>
      </c>
      <c r="L13" s="16">
        <f t="shared" si="1"/>
        <v>72.545454545454803</v>
      </c>
      <c r="M13" s="11">
        <v>11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16" t="s">
        <v>2169</v>
      </c>
      <c r="F14" s="55" t="s">
        <v>798</v>
      </c>
      <c r="G14" s="9">
        <v>0.8305555555555556</v>
      </c>
      <c r="H14" s="9">
        <v>0.84722222222222221</v>
      </c>
      <c r="I14" s="10">
        <f t="shared" si="0"/>
        <v>1.6666666666666607E-2</v>
      </c>
      <c r="J14" s="11">
        <v>2</v>
      </c>
      <c r="K14" s="11">
        <f>28.5*7</f>
        <v>199.5</v>
      </c>
      <c r="L14" s="16">
        <f t="shared" si="1"/>
        <v>249.37500000000088</v>
      </c>
      <c r="M14" s="11">
        <v>24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16" t="s">
        <v>2019</v>
      </c>
      <c r="F15" s="55" t="s">
        <v>61</v>
      </c>
      <c r="G15" s="9">
        <v>0.80625000000000002</v>
      </c>
      <c r="H15" s="9">
        <v>46092.052083333336</v>
      </c>
      <c r="I15" s="10">
        <f t="shared" si="0"/>
        <v>46091.245833333334</v>
      </c>
      <c r="J15" s="11">
        <v>5</v>
      </c>
      <c r="K15" s="11">
        <f>39*7</f>
        <v>273</v>
      </c>
      <c r="L15" s="16">
        <f t="shared" si="1"/>
        <v>4.9358613742540944E-5</v>
      </c>
      <c r="M15" s="11"/>
      <c r="N15" s="11"/>
      <c r="O15" s="11"/>
      <c r="P15" s="11"/>
      <c r="Q15" s="11"/>
      <c r="R15" s="12"/>
      <c r="S15" s="12">
        <v>354</v>
      </c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2017</v>
      </c>
      <c r="F16" s="55" t="s">
        <v>2018</v>
      </c>
      <c r="G16" s="9">
        <v>0.80625000000000002</v>
      </c>
      <c r="H16" s="9">
        <v>0.83333333333333337</v>
      </c>
      <c r="I16" s="10">
        <f t="shared" si="0"/>
        <v>2.7083333333333348E-2</v>
      </c>
      <c r="J16" s="11">
        <v>1</v>
      </c>
      <c r="K16" s="11">
        <f>11*7</f>
        <v>77</v>
      </c>
      <c r="L16" s="16">
        <f t="shared" si="1"/>
        <v>118.4615384615384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30" t="s">
        <v>1813</v>
      </c>
      <c r="E17" s="15" t="s">
        <v>2170</v>
      </c>
      <c r="F17" s="55" t="s">
        <v>232</v>
      </c>
      <c r="G17" s="9">
        <v>0.81805555555555554</v>
      </c>
      <c r="H17" s="9">
        <v>0.81944444444444442</v>
      </c>
      <c r="I17" s="10">
        <f t="shared" si="0"/>
        <v>1.388888888888884E-3</v>
      </c>
      <c r="J17" s="11">
        <v>2</v>
      </c>
      <c r="K17" s="11">
        <f>0.2*6</f>
        <v>1.2000000000000002</v>
      </c>
      <c r="L17" s="16">
        <f t="shared" si="1"/>
        <v>18.000000000000068</v>
      </c>
      <c r="M17" s="11">
        <v>2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/>
      <c r="E18" s="15" t="s">
        <v>2171</v>
      </c>
      <c r="F18" s="55" t="s">
        <v>234</v>
      </c>
      <c r="G18" s="9">
        <v>0.84791666666666665</v>
      </c>
      <c r="H18" s="9">
        <v>0.85069444444444442</v>
      </c>
      <c r="I18" s="10">
        <f t="shared" si="0"/>
        <v>2.7777777777777679E-3</v>
      </c>
      <c r="J18" s="11">
        <v>2</v>
      </c>
      <c r="K18" s="11">
        <f>1*6</f>
        <v>6</v>
      </c>
      <c r="L18" s="16">
        <f t="shared" si="1"/>
        <v>45.000000000000163</v>
      </c>
      <c r="M18" s="11">
        <v>4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6"/>
      <c r="E19" s="15" t="s">
        <v>2172</v>
      </c>
      <c r="F19" s="57">
        <v>0.5</v>
      </c>
      <c r="G19" s="9">
        <v>0.88611111111111107</v>
      </c>
      <c r="H19" s="9">
        <v>0.89583333333333337</v>
      </c>
      <c r="I19" s="10">
        <f t="shared" si="0"/>
        <v>9.7222222222222987E-3</v>
      </c>
      <c r="J19" s="11">
        <v>2</v>
      </c>
      <c r="K19" s="11">
        <f>5.33*6</f>
        <v>31.98</v>
      </c>
      <c r="L19" s="16">
        <f t="shared" si="1"/>
        <v>68.528571428570885</v>
      </c>
      <c r="M19" s="11">
        <v>14</v>
      </c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2173</v>
      </c>
      <c r="F20" s="55" t="s">
        <v>237</v>
      </c>
      <c r="G20" s="9">
        <v>0.80625000000000002</v>
      </c>
      <c r="H20" s="9">
        <v>0.81944444444444442</v>
      </c>
      <c r="I20" s="10">
        <f t="shared" si="0"/>
        <v>1.3194444444444398E-2</v>
      </c>
      <c r="J20" s="11">
        <v>1</v>
      </c>
      <c r="K20" s="11">
        <f>0.02*6</f>
        <v>0.12</v>
      </c>
      <c r="L20" s="16">
        <f t="shared" si="1"/>
        <v>0.37894736842105398</v>
      </c>
      <c r="M20" s="11"/>
      <c r="N20" s="11"/>
      <c r="O20" s="11"/>
      <c r="P20" s="11"/>
      <c r="Q20" s="11"/>
      <c r="R20" s="12"/>
      <c r="S20" s="12">
        <v>19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5" customHeight="1">
      <c r="B21" s="13"/>
      <c r="C21" s="14"/>
      <c r="D21" s="6"/>
      <c r="E21" s="71" t="s">
        <v>2174</v>
      </c>
      <c r="F21" s="55" t="s">
        <v>239</v>
      </c>
      <c r="G21" s="9">
        <v>0.10069444444444445</v>
      </c>
      <c r="H21" s="9">
        <v>0.125</v>
      </c>
      <c r="I21" s="10">
        <f t="shared" si="0"/>
        <v>2.4305555555555552E-2</v>
      </c>
      <c r="J21" s="11">
        <v>2</v>
      </c>
      <c r="K21" s="11">
        <f>0.53*6</f>
        <v>3.18</v>
      </c>
      <c r="L21" s="16">
        <f t="shared" si="1"/>
        <v>2.725714285714286</v>
      </c>
      <c r="M21" s="11">
        <v>35</v>
      </c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5" customHeight="1">
      <c r="B22" s="13"/>
      <c r="C22" s="14"/>
      <c r="D22" s="6" t="s">
        <v>2069</v>
      </c>
      <c r="E22" s="15" t="s">
        <v>2175</v>
      </c>
      <c r="F22" s="55" t="s">
        <v>42</v>
      </c>
      <c r="G22" s="9">
        <v>0.82013888888888886</v>
      </c>
      <c r="H22" s="9">
        <v>0.85416666666666663</v>
      </c>
      <c r="I22" s="10">
        <f t="shared" si="0"/>
        <v>3.4027777777777768E-2</v>
      </c>
      <c r="J22" s="11">
        <v>2</v>
      </c>
      <c r="K22" s="11">
        <f>0.65*6</f>
        <v>3.9000000000000004</v>
      </c>
      <c r="L22" s="16">
        <f t="shared" si="1"/>
        <v>2.3877551020408174</v>
      </c>
      <c r="M22" s="11"/>
      <c r="N22" s="11"/>
      <c r="O22" s="11">
        <v>49</v>
      </c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 t="s">
        <v>2176</v>
      </c>
      <c r="F23" s="57">
        <v>1</v>
      </c>
      <c r="G23" s="9">
        <v>0.90694444444444444</v>
      </c>
      <c r="H23" s="9">
        <v>0.92013888888888884</v>
      </c>
      <c r="I23" s="10">
        <f t="shared" si="0"/>
        <v>1.3194444444444398E-2</v>
      </c>
      <c r="J23" s="11">
        <v>2</v>
      </c>
      <c r="K23" s="11">
        <f>9*5</f>
        <v>45</v>
      </c>
      <c r="L23" s="16">
        <f t="shared" si="1"/>
        <v>71.052631578947612</v>
      </c>
      <c r="M23" s="11">
        <v>19</v>
      </c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 t="s">
        <v>2177</v>
      </c>
      <c r="F24" s="55" t="s">
        <v>42</v>
      </c>
      <c r="G24" s="9">
        <v>0.80625000000000002</v>
      </c>
      <c r="H24" s="9">
        <v>0.84027777777777779</v>
      </c>
      <c r="I24" s="10">
        <f t="shared" si="0"/>
        <v>3.4027777777777768E-2</v>
      </c>
      <c r="J24" s="11">
        <v>1</v>
      </c>
      <c r="K24" s="11">
        <f>3.6*5</f>
        <v>18</v>
      </c>
      <c r="L24" s="16">
        <f t="shared" si="1"/>
        <v>22.040816326530617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 t="s">
        <v>2178</v>
      </c>
      <c r="F25" s="57">
        <v>1</v>
      </c>
      <c r="G25" s="9">
        <v>0.92083333333333328</v>
      </c>
      <c r="H25" s="9">
        <v>0.95138888888888884</v>
      </c>
      <c r="I25" s="10">
        <f t="shared" si="0"/>
        <v>3.0555555555555558E-2</v>
      </c>
      <c r="J25" s="11">
        <v>2</v>
      </c>
      <c r="K25" s="11">
        <f>36*5</f>
        <v>180</v>
      </c>
      <c r="L25" s="16">
        <f t="shared" si="1"/>
        <v>122.72727272727271</v>
      </c>
      <c r="M25" s="11">
        <v>44</v>
      </c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15" t="s">
        <v>2179</v>
      </c>
      <c r="F26" s="57">
        <v>1</v>
      </c>
      <c r="G26" s="9">
        <v>0.95208333333333328</v>
      </c>
      <c r="H26" s="9">
        <v>0.98263888888888884</v>
      </c>
      <c r="I26" s="10">
        <f t="shared" si="0"/>
        <v>3.0555555555555558E-2</v>
      </c>
      <c r="J26" s="11">
        <v>2</v>
      </c>
      <c r="K26" s="11">
        <f>3*6</f>
        <v>18</v>
      </c>
      <c r="L26" s="16">
        <f t="shared" si="1"/>
        <v>12.272727272727272</v>
      </c>
      <c r="M26" s="11">
        <v>44</v>
      </c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15" t="s">
        <v>2180</v>
      </c>
      <c r="F27" s="55" t="s">
        <v>42</v>
      </c>
      <c r="G27" s="9">
        <v>0.97986111111111107</v>
      </c>
      <c r="H27" s="9">
        <v>46092</v>
      </c>
      <c r="I27" s="10">
        <f t="shared" si="0"/>
        <v>46091.020138888889</v>
      </c>
      <c r="J27" s="11">
        <v>2</v>
      </c>
      <c r="K27" s="11">
        <f>42.25*6</f>
        <v>253.5</v>
      </c>
      <c r="L27" s="16">
        <f t="shared" si="1"/>
        <v>1.1458305726550826E-4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/>
      <c r="E28" s="15" t="s">
        <v>2181</v>
      </c>
      <c r="F28" s="57">
        <v>1</v>
      </c>
      <c r="G28" s="9">
        <v>0.98333333333333328</v>
      </c>
      <c r="H28" s="9">
        <v>0.99305555555555558</v>
      </c>
      <c r="I28" s="10">
        <f t="shared" si="0"/>
        <v>9.7222222222222987E-3</v>
      </c>
      <c r="J28" s="11">
        <v>2</v>
      </c>
      <c r="K28" s="11">
        <f>6.55*6</f>
        <v>39.299999999999997</v>
      </c>
      <c r="L28" s="16">
        <f t="shared" si="1"/>
        <v>84.214285714285054</v>
      </c>
      <c r="M28" s="11">
        <v>14</v>
      </c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/>
      <c r="E29" s="15" t="s">
        <v>2182</v>
      </c>
      <c r="F29" s="57">
        <v>0.9</v>
      </c>
      <c r="G29" s="9">
        <v>0.99375000000000002</v>
      </c>
      <c r="H29" s="9">
        <v>46092.010416666664</v>
      </c>
      <c r="I29" s="10">
        <f t="shared" si="0"/>
        <v>46091.016666666663</v>
      </c>
      <c r="J29" s="11">
        <v>2</v>
      </c>
      <c r="K29" s="11">
        <v>44</v>
      </c>
      <c r="L29" s="16">
        <f t="shared" si="1"/>
        <v>1.9888185007852218E-5</v>
      </c>
      <c r="M29" s="11">
        <v>24</v>
      </c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6"/>
      <c r="E30" s="15" t="s">
        <v>2183</v>
      </c>
      <c r="F30" s="57">
        <v>0.9</v>
      </c>
      <c r="G30" s="9">
        <v>0.14583333333333334</v>
      </c>
      <c r="H30" s="9">
        <v>0.1875</v>
      </c>
      <c r="I30" s="10">
        <f t="shared" si="0"/>
        <v>4.1666666666666657E-2</v>
      </c>
      <c r="J30" s="11">
        <v>2</v>
      </c>
      <c r="K30" s="11">
        <v>88</v>
      </c>
      <c r="L30" s="16">
        <f t="shared" si="1"/>
        <v>44.000000000000007</v>
      </c>
      <c r="M30" s="11">
        <v>60</v>
      </c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4"/>
      <c r="D31" s="6"/>
      <c r="E31" s="15"/>
      <c r="F31" s="55"/>
      <c r="G31" s="9"/>
      <c r="H31" s="9"/>
      <c r="I31" s="10">
        <f t="shared" si="0"/>
        <v>0</v>
      </c>
      <c r="J31" s="11"/>
      <c r="K31" s="11"/>
      <c r="L31" s="16" t="str">
        <f t="shared" si="1"/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s="28" customFormat="1" ht="25.05" customHeight="1">
      <c r="A32" s="2"/>
      <c r="B32" s="21"/>
      <c r="C32" s="22"/>
      <c r="D32" s="23"/>
      <c r="E32" s="24"/>
      <c r="F32" s="24"/>
      <c r="G32" s="25"/>
      <c r="H32" s="25"/>
      <c r="I32" s="26"/>
      <c r="J32" s="27"/>
      <c r="K32" s="27">
        <f t="shared" ref="K32:AI32" si="2">SUM(K4:K28)</f>
        <v>3380.49</v>
      </c>
      <c r="L32" s="39">
        <f t="shared" si="2"/>
        <v>1729.9196679862966</v>
      </c>
      <c r="M32" s="27">
        <f t="shared" si="2"/>
        <v>313</v>
      </c>
      <c r="N32" s="27">
        <f t="shared" si="2"/>
        <v>0</v>
      </c>
      <c r="O32" s="27">
        <f t="shared" si="2"/>
        <v>49</v>
      </c>
      <c r="P32" s="27">
        <f t="shared" si="2"/>
        <v>0</v>
      </c>
      <c r="Q32" s="27">
        <f t="shared" si="2"/>
        <v>99</v>
      </c>
      <c r="R32" s="27">
        <f t="shared" si="2"/>
        <v>0</v>
      </c>
      <c r="S32" s="27">
        <f t="shared" si="2"/>
        <v>468</v>
      </c>
      <c r="T32" s="27">
        <f t="shared" si="2"/>
        <v>0</v>
      </c>
      <c r="U32" s="27">
        <f t="shared" si="2"/>
        <v>0</v>
      </c>
      <c r="V32" s="27">
        <f t="shared" si="2"/>
        <v>0</v>
      </c>
      <c r="W32" s="27">
        <f t="shared" si="2"/>
        <v>0</v>
      </c>
      <c r="X32" s="27">
        <f t="shared" si="2"/>
        <v>0</v>
      </c>
      <c r="Y32" s="27">
        <f t="shared" si="2"/>
        <v>0</v>
      </c>
      <c r="Z32" s="27">
        <f t="shared" si="2"/>
        <v>0</v>
      </c>
      <c r="AA32" s="27">
        <f t="shared" si="2"/>
        <v>0</v>
      </c>
      <c r="AB32" s="27">
        <f t="shared" si="2"/>
        <v>0</v>
      </c>
      <c r="AC32" s="27">
        <f t="shared" si="2"/>
        <v>0</v>
      </c>
      <c r="AD32" s="27">
        <f t="shared" si="2"/>
        <v>0</v>
      </c>
      <c r="AE32" s="27">
        <f t="shared" si="2"/>
        <v>0</v>
      </c>
      <c r="AF32" s="27">
        <f t="shared" si="2"/>
        <v>0</v>
      </c>
      <c r="AG32" s="27">
        <f t="shared" si="2"/>
        <v>0</v>
      </c>
      <c r="AH32" s="27">
        <f t="shared" si="2"/>
        <v>0</v>
      </c>
      <c r="AI32" s="27">
        <f t="shared" si="2"/>
        <v>0</v>
      </c>
      <c r="AJ32" s="27">
        <f>SUM(AJ4:AJ28)</f>
        <v>0</v>
      </c>
      <c r="AK32" s="27">
        <f>SUM(AK4:AK28)</f>
        <v>0</v>
      </c>
      <c r="AL32" s="27">
        <f>SUM(AL4:AL28)</f>
        <v>0</v>
      </c>
    </row>
    <row r="33" spans="1:38" ht="25.05" customHeight="1">
      <c r="B33" s="13"/>
      <c r="C33" s="14" t="s">
        <v>43</v>
      </c>
      <c r="D33" s="6"/>
      <c r="E33" s="7" t="s">
        <v>41</v>
      </c>
      <c r="F33" s="8" t="s">
        <v>42</v>
      </c>
      <c r="G33" s="9"/>
      <c r="H33" s="9"/>
      <c r="I33" s="10">
        <f>H33-G33</f>
        <v>0</v>
      </c>
      <c r="J33" s="11"/>
      <c r="K33" s="11"/>
      <c r="L33" s="16" t="str">
        <f>IFERROR(((K33/(J33*I33)/24)),"0")</f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ht="25.05" customHeight="1">
      <c r="B34" s="13"/>
      <c r="C34" s="14"/>
      <c r="D34" s="18"/>
      <c r="E34" s="6"/>
      <c r="F34" s="14"/>
      <c r="G34" s="9"/>
      <c r="H34" s="9"/>
      <c r="I34" s="10"/>
      <c r="J34" s="11"/>
      <c r="K34" s="11"/>
      <c r="L34" s="16"/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s="28" customFormat="1" ht="25.05" customHeight="1">
      <c r="A35" s="2"/>
      <c r="B35" s="21"/>
      <c r="C35" s="22"/>
      <c r="D35" s="23"/>
      <c r="E35" s="24"/>
      <c r="F35" s="22"/>
      <c r="G35" s="25"/>
      <c r="H35" s="25"/>
      <c r="I35" s="26"/>
      <c r="J35" s="27"/>
      <c r="K35" s="27">
        <f t="shared" ref="K35:AI35" si="3">SUM(K33:K34)</f>
        <v>0</v>
      </c>
      <c r="L35" s="27">
        <f t="shared" si="3"/>
        <v>0</v>
      </c>
      <c r="M35" s="27">
        <f t="shared" si="3"/>
        <v>0</v>
      </c>
      <c r="N35" s="27">
        <f t="shared" si="3"/>
        <v>0</v>
      </c>
      <c r="O35" s="27">
        <f t="shared" si="3"/>
        <v>0</v>
      </c>
      <c r="P35" s="27">
        <f t="shared" si="3"/>
        <v>0</v>
      </c>
      <c r="Q35" s="27">
        <f t="shared" si="3"/>
        <v>0</v>
      </c>
      <c r="R35" s="27">
        <f t="shared" si="3"/>
        <v>0</v>
      </c>
      <c r="S35" s="27">
        <f t="shared" si="3"/>
        <v>0</v>
      </c>
      <c r="T35" s="27">
        <f t="shared" si="3"/>
        <v>0</v>
      </c>
      <c r="U35" s="27">
        <f t="shared" si="3"/>
        <v>0</v>
      </c>
      <c r="V35" s="27">
        <f t="shared" si="3"/>
        <v>0</v>
      </c>
      <c r="W35" s="27">
        <f t="shared" si="3"/>
        <v>0</v>
      </c>
      <c r="X35" s="27">
        <f t="shared" si="3"/>
        <v>0</v>
      </c>
      <c r="Y35" s="27">
        <f t="shared" si="3"/>
        <v>0</v>
      </c>
      <c r="Z35" s="27">
        <f t="shared" si="3"/>
        <v>0</v>
      </c>
      <c r="AA35" s="27">
        <f t="shared" si="3"/>
        <v>0</v>
      </c>
      <c r="AB35" s="27">
        <f t="shared" si="3"/>
        <v>0</v>
      </c>
      <c r="AC35" s="27">
        <f t="shared" si="3"/>
        <v>0</v>
      </c>
      <c r="AD35" s="27">
        <f t="shared" si="3"/>
        <v>0</v>
      </c>
      <c r="AE35" s="27">
        <f t="shared" si="3"/>
        <v>0</v>
      </c>
      <c r="AF35" s="27">
        <f t="shared" si="3"/>
        <v>0</v>
      </c>
      <c r="AG35" s="27">
        <f t="shared" si="3"/>
        <v>0</v>
      </c>
      <c r="AH35" s="27">
        <f t="shared" si="3"/>
        <v>0</v>
      </c>
      <c r="AI35" s="27">
        <f t="shared" si="3"/>
        <v>0</v>
      </c>
      <c r="AJ35" s="27">
        <f>SUM(AJ33:AJ34)</f>
        <v>0</v>
      </c>
      <c r="AK35" s="27">
        <f>SUM(AK33:AK34)</f>
        <v>0</v>
      </c>
      <c r="AL35" s="27">
        <f>SUM(AL33:AL34)</f>
        <v>0</v>
      </c>
    </row>
    <row r="36" spans="1:38" ht="25.05" customHeight="1">
      <c r="B36" s="5"/>
      <c r="C36" s="29" t="s">
        <v>44</v>
      </c>
      <c r="D36" s="30"/>
      <c r="E36" s="7" t="s">
        <v>41</v>
      </c>
      <c r="F36" s="8" t="s">
        <v>42</v>
      </c>
      <c r="G36" s="9">
        <v>0.79166666666666663</v>
      </c>
      <c r="H36" s="9">
        <v>0.8125</v>
      </c>
      <c r="I36" s="10">
        <f t="shared" ref="I36:I62" si="4">H36-G36</f>
        <v>2.083333333333337E-2</v>
      </c>
      <c r="J36" s="11">
        <v>4</v>
      </c>
      <c r="K36" s="11" t="s">
        <v>209</v>
      </c>
      <c r="L36" s="16" t="str">
        <f t="shared" ref="L36:L62" si="5">IFERROR(((K36/(J36*I36)/24)),"0")</f>
        <v>0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1:38" ht="25.05" customHeight="1">
      <c r="B37" s="13"/>
      <c r="C37" s="29"/>
      <c r="D37" s="6" t="s">
        <v>1432</v>
      </c>
      <c r="E37" s="19" t="s">
        <v>2184</v>
      </c>
      <c r="F37" s="8" t="s">
        <v>42</v>
      </c>
      <c r="G37" s="9">
        <v>0.85763888888888884</v>
      </c>
      <c r="H37" s="9">
        <v>0.88055555555555554</v>
      </c>
      <c r="I37" s="10">
        <f t="shared" si="4"/>
        <v>2.2916666666666696E-2</v>
      </c>
      <c r="J37" s="11">
        <v>4</v>
      </c>
      <c r="K37" s="11">
        <v>135.31</v>
      </c>
      <c r="L37" s="16">
        <f t="shared" si="5"/>
        <v>61.504545454545372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>
        <v>33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/>
      <c r="E38" s="19" t="s">
        <v>2185</v>
      </c>
      <c r="F38" s="8" t="s">
        <v>42</v>
      </c>
      <c r="G38" s="9">
        <v>0.875</v>
      </c>
      <c r="H38" s="9">
        <v>0.89166666666666672</v>
      </c>
      <c r="I38" s="10">
        <f t="shared" si="4"/>
        <v>1.6666666666666718E-2</v>
      </c>
      <c r="J38" s="11">
        <v>4</v>
      </c>
      <c r="K38" s="11">
        <v>133.38999999999999</v>
      </c>
      <c r="L38" s="16">
        <f t="shared" si="5"/>
        <v>83.368749999999736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/>
      <c r="Z38" s="11"/>
      <c r="AA38" s="11"/>
      <c r="AB38" s="11"/>
      <c r="AC38" s="11"/>
      <c r="AD38" s="11">
        <v>24</v>
      </c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 t="s">
        <v>2186</v>
      </c>
      <c r="F39" s="8" t="s">
        <v>42</v>
      </c>
      <c r="G39" s="9">
        <v>0.88541666666666663</v>
      </c>
      <c r="H39" s="9">
        <v>0.90277777777777779</v>
      </c>
      <c r="I39" s="10">
        <f t="shared" si="4"/>
        <v>1.736111111111116E-2</v>
      </c>
      <c r="J39" s="11">
        <v>4</v>
      </c>
      <c r="K39" s="11">
        <v>135.52000000000001</v>
      </c>
      <c r="L39" s="16">
        <f t="shared" si="5"/>
        <v>81.31199999999977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>
        <v>25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 t="s">
        <v>2187</v>
      </c>
      <c r="F40" s="8" t="s">
        <v>42</v>
      </c>
      <c r="G40" s="9">
        <v>0.89722222222222225</v>
      </c>
      <c r="H40" s="9">
        <v>0.91527777777777775</v>
      </c>
      <c r="I40" s="10">
        <f t="shared" si="4"/>
        <v>1.8055555555555491E-2</v>
      </c>
      <c r="J40" s="11">
        <v>4</v>
      </c>
      <c r="K40" s="11">
        <v>135.26</v>
      </c>
      <c r="L40" s="16">
        <f t="shared" si="5"/>
        <v>78.034615384615662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/>
      <c r="AD40" s="11">
        <v>26</v>
      </c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2188</v>
      </c>
      <c r="F41" s="8" t="s">
        <v>42</v>
      </c>
      <c r="G41" s="9">
        <v>0.92291666666666672</v>
      </c>
      <c r="H41" s="9">
        <v>0.93472222222222223</v>
      </c>
      <c r="I41" s="10">
        <f t="shared" si="4"/>
        <v>1.1805555555555514E-2</v>
      </c>
      <c r="J41" s="11">
        <v>4</v>
      </c>
      <c r="K41" s="11">
        <v>90.19</v>
      </c>
      <c r="L41" s="16">
        <f t="shared" si="5"/>
        <v>79.579411764706165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/>
      <c r="AD41" s="11">
        <v>17</v>
      </c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903</v>
      </c>
      <c r="F42" s="8" t="s">
        <v>42</v>
      </c>
      <c r="G42" s="9">
        <v>0.90208333333333335</v>
      </c>
      <c r="H42" s="9">
        <v>0.92152777777777772</v>
      </c>
      <c r="I42" s="10">
        <f t="shared" si="4"/>
        <v>1.9444444444444375E-2</v>
      </c>
      <c r="J42" s="11">
        <v>5</v>
      </c>
      <c r="K42" s="11">
        <v>69.55</v>
      </c>
      <c r="L42" s="16">
        <f t="shared" si="5"/>
        <v>29.807142857142964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5</v>
      </c>
      <c r="W42" s="12"/>
      <c r="X42" s="11"/>
      <c r="Y42" s="11"/>
      <c r="Z42" s="11"/>
      <c r="AA42" s="11"/>
      <c r="AB42" s="11"/>
      <c r="AC42" s="11"/>
      <c r="AD42" s="11"/>
      <c r="AE42" s="11"/>
      <c r="AF42" s="11"/>
      <c r="AG42" s="11">
        <v>7</v>
      </c>
      <c r="AH42" s="11">
        <v>7</v>
      </c>
      <c r="AI42" s="11">
        <v>7</v>
      </c>
      <c r="AJ42" s="11">
        <v>7</v>
      </c>
      <c r="AK42" s="11"/>
      <c r="AL42" s="14"/>
    </row>
    <row r="43" spans="1:38" ht="25.05" customHeight="1">
      <c r="B43" s="13"/>
      <c r="C43" s="29"/>
      <c r="D43" s="30"/>
      <c r="E43" s="19" t="s">
        <v>904</v>
      </c>
      <c r="F43" s="8" t="s">
        <v>42</v>
      </c>
      <c r="G43" s="9">
        <v>0.92222222222222228</v>
      </c>
      <c r="H43" s="9">
        <v>0.93958333333333333</v>
      </c>
      <c r="I43" s="10">
        <f t="shared" si="4"/>
        <v>1.7361111111111049E-2</v>
      </c>
      <c r="J43" s="11">
        <v>5</v>
      </c>
      <c r="K43" s="11">
        <v>70.989999999999995</v>
      </c>
      <c r="L43" s="16">
        <f t="shared" si="5"/>
        <v>34.075200000000116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5</v>
      </c>
      <c r="W43" s="12"/>
      <c r="X43" s="11"/>
      <c r="Y43" s="11"/>
      <c r="Z43" s="11"/>
      <c r="AA43" s="11"/>
      <c r="AB43" s="11"/>
      <c r="AC43" s="11"/>
      <c r="AD43" s="11"/>
      <c r="AE43" s="11"/>
      <c r="AF43" s="11"/>
      <c r="AG43" s="11">
        <v>6.25</v>
      </c>
      <c r="AH43" s="11">
        <v>6.25</v>
      </c>
      <c r="AI43" s="11">
        <v>6.25</v>
      </c>
      <c r="AJ43" s="11">
        <v>6.25</v>
      </c>
      <c r="AK43" s="11"/>
      <c r="AL43" s="14"/>
    </row>
    <row r="44" spans="1:38" ht="25.05" customHeight="1">
      <c r="B44" s="13"/>
      <c r="C44" s="29"/>
      <c r="D44" s="30"/>
      <c r="E44" s="19" t="s">
        <v>905</v>
      </c>
      <c r="F44" s="8" t="s">
        <v>42</v>
      </c>
      <c r="G44" s="9">
        <v>0.94652777777777775</v>
      </c>
      <c r="H44" s="9">
        <v>0.96250000000000002</v>
      </c>
      <c r="I44" s="10">
        <f t="shared" si="4"/>
        <v>1.5972222222222276E-2</v>
      </c>
      <c r="J44" s="11">
        <v>5</v>
      </c>
      <c r="K44" s="11">
        <v>72.38</v>
      </c>
      <c r="L44" s="16">
        <f t="shared" si="5"/>
        <v>37.763478260869434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5</v>
      </c>
      <c r="W44" s="12"/>
      <c r="X44" s="11"/>
      <c r="Y44" s="11"/>
      <c r="Z44" s="11"/>
      <c r="AA44" s="11"/>
      <c r="AB44" s="11"/>
      <c r="AC44" s="11"/>
      <c r="AD44" s="11"/>
      <c r="AE44" s="11"/>
      <c r="AF44" s="11"/>
      <c r="AG44" s="11">
        <v>5.75</v>
      </c>
      <c r="AH44" s="11">
        <v>5.75</v>
      </c>
      <c r="AI44" s="11">
        <v>5.75</v>
      </c>
      <c r="AJ44" s="11">
        <v>5.75</v>
      </c>
      <c r="AK44" s="11"/>
      <c r="AL44" s="14"/>
    </row>
    <row r="45" spans="1:38" ht="25.05" customHeight="1">
      <c r="B45" s="13"/>
      <c r="C45" s="29"/>
      <c r="D45" s="30"/>
      <c r="E45" s="19" t="s">
        <v>2189</v>
      </c>
      <c r="F45" s="8" t="s">
        <v>42</v>
      </c>
      <c r="G45" s="9">
        <v>0.99722222222222223</v>
      </c>
      <c r="H45" s="9">
        <v>1.2500000000000001E-2</v>
      </c>
      <c r="I45" s="10">
        <v>1.5277777777777777E-2</v>
      </c>
      <c r="J45" s="11">
        <v>5</v>
      </c>
      <c r="K45" s="11">
        <v>73.319999999999993</v>
      </c>
      <c r="L45" s="16">
        <f t="shared" si="5"/>
        <v>39.992727272727272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5</v>
      </c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>
        <v>5.5</v>
      </c>
      <c r="AH45" s="11">
        <v>5.5</v>
      </c>
      <c r="AI45" s="11">
        <v>5.5</v>
      </c>
      <c r="AJ45" s="11">
        <v>5.5</v>
      </c>
      <c r="AK45" s="11"/>
      <c r="AL45" s="14"/>
    </row>
    <row r="46" spans="1:38" ht="25.05" customHeight="1">
      <c r="B46" s="13"/>
      <c r="C46" s="29"/>
      <c r="D46" s="30"/>
      <c r="E46" s="19" t="s">
        <v>2190</v>
      </c>
      <c r="F46" s="8" t="s">
        <v>42</v>
      </c>
      <c r="G46" s="9">
        <v>1.3888888888888888E-2</v>
      </c>
      <c r="H46" s="9">
        <v>2.7083333333333334E-2</v>
      </c>
      <c r="I46" s="10">
        <f t="shared" si="4"/>
        <v>1.3194444444444446E-2</v>
      </c>
      <c r="J46" s="11">
        <v>5</v>
      </c>
      <c r="K46" s="11">
        <v>79.52</v>
      </c>
      <c r="L46" s="16">
        <f t="shared" si="5"/>
        <v>50.223157894736829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5</v>
      </c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1">
        <v>4.75</v>
      </c>
      <c r="AH46" s="11">
        <v>4.75</v>
      </c>
      <c r="AI46" s="11">
        <v>4.75</v>
      </c>
      <c r="AJ46" s="11">
        <v>4.75</v>
      </c>
      <c r="AK46" s="11"/>
      <c r="AL46" s="14"/>
    </row>
    <row r="47" spans="1:38" ht="25.05" customHeight="1">
      <c r="B47" s="13"/>
      <c r="C47" s="29"/>
      <c r="D47" s="30"/>
      <c r="E47" s="19" t="s">
        <v>2191</v>
      </c>
      <c r="F47" s="8" t="s">
        <v>42</v>
      </c>
      <c r="G47" s="9">
        <v>0.16597222222222222</v>
      </c>
      <c r="H47" s="9">
        <v>0.19375000000000001</v>
      </c>
      <c r="I47" s="10">
        <f t="shared" si="4"/>
        <v>2.777777777777779E-2</v>
      </c>
      <c r="J47" s="11">
        <v>4</v>
      </c>
      <c r="K47" s="11">
        <v>93.86</v>
      </c>
      <c r="L47" s="16">
        <f t="shared" si="5"/>
        <v>35.197499999999984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>
        <v>40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 t="s">
        <v>2192</v>
      </c>
      <c r="F48" s="8" t="s">
        <v>42</v>
      </c>
      <c r="G48" s="9">
        <v>0.2013888888888889</v>
      </c>
      <c r="H48" s="9">
        <v>0.23194444444444445</v>
      </c>
      <c r="I48" s="10">
        <f t="shared" si="4"/>
        <v>3.0555555555555558E-2</v>
      </c>
      <c r="J48" s="11">
        <v>4</v>
      </c>
      <c r="K48" s="11">
        <v>88.84</v>
      </c>
      <c r="L48" s="16">
        <f t="shared" si="5"/>
        <v>30.286363636363635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>
        <v>44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/>
      <c r="F49" s="8" t="s">
        <v>42</v>
      </c>
      <c r="G49" s="9"/>
      <c r="H49" s="9"/>
      <c r="I49" s="10">
        <f t="shared" si="4"/>
        <v>0</v>
      </c>
      <c r="J49" s="11"/>
      <c r="K49" s="11"/>
      <c r="L49" s="16" t="str">
        <f t="shared" si="5"/>
        <v>0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 t="s">
        <v>712</v>
      </c>
      <c r="E50" s="19" t="s">
        <v>814</v>
      </c>
      <c r="F50" s="8" t="s">
        <v>42</v>
      </c>
      <c r="G50" s="9">
        <v>0.86597222222222225</v>
      </c>
      <c r="H50" s="9">
        <v>0.86944444444444446</v>
      </c>
      <c r="I50" s="10">
        <f t="shared" si="4"/>
        <v>3.4722222222222099E-3</v>
      </c>
      <c r="J50" s="11">
        <v>5</v>
      </c>
      <c r="K50" s="11">
        <v>10.8</v>
      </c>
      <c r="L50" s="16">
        <f t="shared" si="5"/>
        <v>25.920000000000091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>
        <v>5</v>
      </c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815</v>
      </c>
      <c r="F51" s="8" t="s">
        <v>42</v>
      </c>
      <c r="G51" s="9">
        <v>0.86597222222222225</v>
      </c>
      <c r="H51" s="9">
        <v>0.86944444444444446</v>
      </c>
      <c r="I51" s="10">
        <f t="shared" si="4"/>
        <v>3.4722222222222099E-3</v>
      </c>
      <c r="J51" s="11">
        <v>5</v>
      </c>
      <c r="K51" s="11">
        <v>10.72</v>
      </c>
      <c r="L51" s="16">
        <f t="shared" si="5"/>
        <v>25.728000000000094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>
        <v>5</v>
      </c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816</v>
      </c>
      <c r="F52" s="8" t="s">
        <v>42</v>
      </c>
      <c r="G52" s="9">
        <v>0.86597222222222225</v>
      </c>
      <c r="H52" s="9">
        <v>0.86944444444444446</v>
      </c>
      <c r="I52" s="10">
        <f t="shared" si="4"/>
        <v>3.4722222222222099E-3</v>
      </c>
      <c r="J52" s="11">
        <v>5</v>
      </c>
      <c r="K52" s="11">
        <v>10.83</v>
      </c>
      <c r="L52" s="16">
        <f t="shared" si="5"/>
        <v>25.992000000000093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>
        <v>5</v>
      </c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817</v>
      </c>
      <c r="F53" s="8" t="s">
        <v>42</v>
      </c>
      <c r="G53" s="9">
        <v>0.87430555555555556</v>
      </c>
      <c r="H53" s="9">
        <v>0.87777777777777777</v>
      </c>
      <c r="I53" s="10">
        <f t="shared" si="4"/>
        <v>3.4722222222222099E-3</v>
      </c>
      <c r="J53" s="11">
        <v>5</v>
      </c>
      <c r="K53" s="11">
        <v>10.67</v>
      </c>
      <c r="L53" s="16">
        <f t="shared" si="5"/>
        <v>25.608000000000089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>
        <v>5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818</v>
      </c>
      <c r="F54" s="8" t="s">
        <v>42</v>
      </c>
      <c r="G54" s="9">
        <v>0.87430555555555556</v>
      </c>
      <c r="H54" s="9">
        <v>0.87777777777777777</v>
      </c>
      <c r="I54" s="10">
        <f t="shared" si="4"/>
        <v>3.4722222222222099E-3</v>
      </c>
      <c r="J54" s="11">
        <v>5</v>
      </c>
      <c r="K54" s="11">
        <v>10.24</v>
      </c>
      <c r="L54" s="16">
        <f t="shared" si="5"/>
        <v>24.576000000000089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>
        <v>5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819</v>
      </c>
      <c r="F55" s="8" t="s">
        <v>42</v>
      </c>
      <c r="G55" s="9">
        <v>0.88402777777777775</v>
      </c>
      <c r="H55" s="9">
        <v>0.88749999999999996</v>
      </c>
      <c r="I55" s="10">
        <f t="shared" si="4"/>
        <v>3.4722222222222099E-3</v>
      </c>
      <c r="J55" s="11">
        <v>5</v>
      </c>
      <c r="K55" s="11">
        <v>10.56</v>
      </c>
      <c r="L55" s="16">
        <f t="shared" si="5"/>
        <v>25.344000000000094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>
        <v>5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820</v>
      </c>
      <c r="F56" s="8" t="s">
        <v>42</v>
      </c>
      <c r="G56" s="9">
        <v>0.88402777777777775</v>
      </c>
      <c r="H56" s="9">
        <v>0.88749999999999996</v>
      </c>
      <c r="I56" s="10">
        <f t="shared" si="4"/>
        <v>3.4722222222222099E-3</v>
      </c>
      <c r="J56" s="11">
        <v>5</v>
      </c>
      <c r="K56" s="12">
        <v>10.4</v>
      </c>
      <c r="L56" s="16">
        <f t="shared" si="5"/>
        <v>24.96000000000009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/>
      <c r="AA56" s="11">
        <v>5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2037</v>
      </c>
      <c r="F57" s="8" t="s">
        <v>42</v>
      </c>
      <c r="G57" s="9">
        <v>0.85763888888888884</v>
      </c>
      <c r="H57" s="9">
        <v>0.87430555555555556</v>
      </c>
      <c r="I57" s="10">
        <f t="shared" si="4"/>
        <v>1.6666666666666718E-2</v>
      </c>
      <c r="J57" s="11">
        <v>5</v>
      </c>
      <c r="K57" s="11">
        <v>56.72</v>
      </c>
      <c r="L57" s="16">
        <f t="shared" si="5"/>
        <v>28.359999999999911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>
        <v>12</v>
      </c>
      <c r="Y57" s="11">
        <v>12</v>
      </c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2038</v>
      </c>
      <c r="F58" s="8" t="s">
        <v>42</v>
      </c>
      <c r="G58" s="9">
        <v>0.87222222222222223</v>
      </c>
      <c r="H58" s="9">
        <v>0.88402777777777775</v>
      </c>
      <c r="I58" s="10">
        <f t="shared" si="4"/>
        <v>1.1805555555555514E-2</v>
      </c>
      <c r="J58" s="11">
        <v>5</v>
      </c>
      <c r="K58" s="11">
        <v>59.21</v>
      </c>
      <c r="L58" s="16">
        <f t="shared" si="5"/>
        <v>41.795294117647209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>
        <v>8.5</v>
      </c>
      <c r="Y58" s="11"/>
      <c r="Z58" s="11">
        <v>8.5</v>
      </c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2039</v>
      </c>
      <c r="F59" s="8" t="s">
        <v>42</v>
      </c>
      <c r="G59" s="9">
        <v>0.87847222222222221</v>
      </c>
      <c r="H59" s="9">
        <v>0.89027777777777772</v>
      </c>
      <c r="I59" s="10">
        <f t="shared" si="4"/>
        <v>1.1805555555555514E-2</v>
      </c>
      <c r="J59" s="11">
        <v>5</v>
      </c>
      <c r="K59" s="11">
        <v>58.38</v>
      </c>
      <c r="L59" s="16">
        <f t="shared" si="5"/>
        <v>41.209411764706026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>
        <v>8.5</v>
      </c>
      <c r="Z59" s="11">
        <v>8.5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2040</v>
      </c>
      <c r="F60" s="8" t="s">
        <v>42</v>
      </c>
      <c r="G60" s="9">
        <v>0.88541666666666663</v>
      </c>
      <c r="H60" s="9">
        <v>0.90069444444444446</v>
      </c>
      <c r="I60" s="10">
        <f t="shared" si="4"/>
        <v>1.5277777777777835E-2</v>
      </c>
      <c r="J60" s="11">
        <v>5</v>
      </c>
      <c r="K60" s="11">
        <v>63.43</v>
      </c>
      <c r="L60" s="16">
        <f t="shared" si="5"/>
        <v>34.598181818181693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>
        <v>11</v>
      </c>
      <c r="Y60" s="11"/>
      <c r="Z60" s="11">
        <v>11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2041</v>
      </c>
      <c r="F61" s="8" t="s">
        <v>42</v>
      </c>
      <c r="G61" s="9">
        <v>0.89166666666666672</v>
      </c>
      <c r="H61" s="9">
        <v>0.90416666666666667</v>
      </c>
      <c r="I61" s="10">
        <f t="shared" si="4"/>
        <v>1.2499999999999956E-2</v>
      </c>
      <c r="J61" s="11">
        <v>5</v>
      </c>
      <c r="K61" s="11">
        <v>58.21</v>
      </c>
      <c r="L61" s="16">
        <f t="shared" si="5"/>
        <v>38.806666666666807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/>
      <c r="Y61" s="11">
        <v>9</v>
      </c>
      <c r="Z61" s="11"/>
      <c r="AA61" s="11">
        <v>9</v>
      </c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2042</v>
      </c>
      <c r="F62" s="14"/>
      <c r="G62" s="9">
        <v>0.89583333333333337</v>
      </c>
      <c r="H62" s="9">
        <v>0.90833333333333333</v>
      </c>
      <c r="I62" s="10">
        <f t="shared" si="4"/>
        <v>1.2499999999999956E-2</v>
      </c>
      <c r="J62" s="11">
        <v>5</v>
      </c>
      <c r="K62" s="11">
        <v>59.3</v>
      </c>
      <c r="L62" s="16">
        <f t="shared" si="5"/>
        <v>39.533333333333474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2</v>
      </c>
      <c r="X62" s="11">
        <v>9</v>
      </c>
      <c r="Y62" s="11"/>
      <c r="Z62" s="11">
        <v>9</v>
      </c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2043</v>
      </c>
      <c r="F63" s="8" t="s">
        <v>42</v>
      </c>
      <c r="G63" s="9">
        <v>0.90486111111111112</v>
      </c>
      <c r="H63" s="9">
        <v>0.91597222222222219</v>
      </c>
      <c r="I63" s="10">
        <f t="shared" ref="I63:I84" si="6">H63-G63</f>
        <v>1.1111111111111072E-2</v>
      </c>
      <c r="J63" s="11">
        <v>5</v>
      </c>
      <c r="K63" s="11">
        <v>59.52</v>
      </c>
      <c r="L63" s="16">
        <f t="shared" ref="L63:L84" si="7">IFERROR(((K63/(J63*I63)/24)),"0")</f>
        <v>44.640000000000157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>
        <v>8</v>
      </c>
      <c r="Y63" s="11">
        <v>8</v>
      </c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2044</v>
      </c>
      <c r="F64" s="8" t="s">
        <v>42</v>
      </c>
      <c r="G64" s="9">
        <v>0.90972222222222221</v>
      </c>
      <c r="H64" s="9">
        <v>0.92083333333333328</v>
      </c>
      <c r="I64" s="10">
        <f t="shared" si="6"/>
        <v>1.1111111111111072E-2</v>
      </c>
      <c r="J64" s="11">
        <v>5</v>
      </c>
      <c r="K64" s="11">
        <v>57.73</v>
      </c>
      <c r="L64" s="16">
        <f t="shared" si="7"/>
        <v>43.297500000000156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2</v>
      </c>
      <c r="X64" s="11"/>
      <c r="Y64" s="11"/>
      <c r="Z64" s="11">
        <v>8</v>
      </c>
      <c r="AA64" s="11">
        <v>8</v>
      </c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2051</v>
      </c>
      <c r="F65" s="8" t="s">
        <v>42</v>
      </c>
      <c r="G65" s="9">
        <v>0.92777777777777781</v>
      </c>
      <c r="H65" s="9">
        <v>0.95625000000000004</v>
      </c>
      <c r="I65" s="10">
        <f t="shared" si="6"/>
        <v>2.8472222222222232E-2</v>
      </c>
      <c r="J65" s="11">
        <v>4</v>
      </c>
      <c r="K65" s="11">
        <v>140.03</v>
      </c>
      <c r="L65" s="16">
        <f t="shared" si="7"/>
        <v>51.230487804878031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>
        <v>41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2052</v>
      </c>
      <c r="F66" s="8" t="s">
        <v>42</v>
      </c>
      <c r="G66" s="9">
        <v>0.94374999999999998</v>
      </c>
      <c r="H66" s="9">
        <v>0.96805555555555556</v>
      </c>
      <c r="I66" s="10">
        <f t="shared" si="6"/>
        <v>2.430555555555558E-2</v>
      </c>
      <c r="J66" s="11">
        <v>4</v>
      </c>
      <c r="K66" s="11">
        <v>140.94999999999999</v>
      </c>
      <c r="L66" s="16">
        <f t="shared" si="7"/>
        <v>60.407142857142787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/>
      <c r="AA66" s="11"/>
      <c r="AB66" s="11"/>
      <c r="AC66" s="11"/>
      <c r="AD66" s="11">
        <v>35</v>
      </c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2053</v>
      </c>
      <c r="F67" s="8" t="s">
        <v>42</v>
      </c>
      <c r="G67" s="9">
        <v>0.94652777777777775</v>
      </c>
      <c r="H67" s="9">
        <v>0.97569444444444442</v>
      </c>
      <c r="I67" s="10">
        <f t="shared" si="6"/>
        <v>2.9166666666666674E-2</v>
      </c>
      <c r="J67" s="11">
        <v>4</v>
      </c>
      <c r="K67" s="11">
        <v>140.11000000000001</v>
      </c>
      <c r="L67" s="16">
        <f t="shared" si="7"/>
        <v>50.039285714285711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/>
      <c r="AC67" s="11">
        <v>42</v>
      </c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2054</v>
      </c>
      <c r="F68" s="8" t="s">
        <v>42</v>
      </c>
      <c r="G68" s="9">
        <v>0.96666666666666667</v>
      </c>
      <c r="H68" s="9">
        <v>0.99305555555555558</v>
      </c>
      <c r="I68" s="10">
        <f t="shared" si="6"/>
        <v>2.6388888888888906E-2</v>
      </c>
      <c r="J68" s="11">
        <v>4</v>
      </c>
      <c r="K68" s="11">
        <v>143.30000000000001</v>
      </c>
      <c r="L68" s="16">
        <f t="shared" si="7"/>
        <v>56.565789473684184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/>
      <c r="AA68" s="11"/>
      <c r="AB68" s="11">
        <v>38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2055</v>
      </c>
      <c r="F69" s="8" t="s">
        <v>42</v>
      </c>
      <c r="G69" s="9">
        <v>0.99930555555555556</v>
      </c>
      <c r="H69" s="9">
        <v>2.7083333333333334E-2</v>
      </c>
      <c r="I69" s="10">
        <v>2.7777777777777776E-2</v>
      </c>
      <c r="J69" s="11">
        <v>4</v>
      </c>
      <c r="K69" s="11">
        <v>140.65</v>
      </c>
      <c r="L69" s="16">
        <f t="shared" si="7"/>
        <v>52.743750000000006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>
        <v>40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2056</v>
      </c>
      <c r="F70" s="8" t="s">
        <v>42</v>
      </c>
      <c r="G70" s="9">
        <v>0.1</v>
      </c>
      <c r="H70" s="9">
        <v>0.12777777777777777</v>
      </c>
      <c r="I70" s="10">
        <f t="shared" si="6"/>
        <v>2.7777777777777762E-2</v>
      </c>
      <c r="J70" s="11">
        <v>4</v>
      </c>
      <c r="K70" s="11">
        <v>140</v>
      </c>
      <c r="L70" s="16">
        <f t="shared" si="7"/>
        <v>52.500000000000028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/>
      <c r="AA70" s="11"/>
      <c r="AB70" s="11">
        <v>40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2057</v>
      </c>
      <c r="F71" s="8" t="s">
        <v>42</v>
      </c>
      <c r="G71" s="9">
        <v>0.13402777777777777</v>
      </c>
      <c r="H71" s="9">
        <v>0.15694444444444444</v>
      </c>
      <c r="I71" s="10">
        <f t="shared" si="6"/>
        <v>2.2916666666666669E-2</v>
      </c>
      <c r="J71" s="11">
        <v>4</v>
      </c>
      <c r="K71" s="11">
        <v>140</v>
      </c>
      <c r="L71" s="16">
        <f t="shared" si="7"/>
        <v>63.636363636363633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/>
      <c r="AB71" s="11">
        <v>33</v>
      </c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2193</v>
      </c>
      <c r="F72" s="8" t="s">
        <v>42</v>
      </c>
      <c r="G72" s="9">
        <v>0.82638888888888884</v>
      </c>
      <c r="H72" s="9">
        <v>0.83680555555555558</v>
      </c>
      <c r="I72" s="10">
        <f t="shared" ref="I72" si="8">H72-G72</f>
        <v>1.0416666666666741E-2</v>
      </c>
      <c r="J72" s="11">
        <v>1</v>
      </c>
      <c r="K72" s="11">
        <v>0.7</v>
      </c>
      <c r="L72" s="16">
        <f t="shared" si="7"/>
        <v>2.7999999999999798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10</v>
      </c>
      <c r="W72" s="12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/>
      <c r="F73" s="8" t="s">
        <v>42</v>
      </c>
      <c r="G73" s="9"/>
      <c r="H73" s="9"/>
      <c r="I73" s="10"/>
      <c r="J73" s="11"/>
      <c r="K73" s="11"/>
      <c r="L73" s="16" t="str">
        <f t="shared" si="7"/>
        <v>0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 t="s">
        <v>2069</v>
      </c>
      <c r="E74" s="19" t="s">
        <v>2194</v>
      </c>
      <c r="F74" s="8" t="s">
        <v>42</v>
      </c>
      <c r="G74" s="9">
        <v>0.97986111111111107</v>
      </c>
      <c r="H74" s="9">
        <v>2.7777777777777776E-2</v>
      </c>
      <c r="I74" s="10">
        <v>4.791666666666667E-2</v>
      </c>
      <c r="J74" s="11">
        <v>4</v>
      </c>
      <c r="K74" s="11">
        <v>108.03</v>
      </c>
      <c r="L74" s="16">
        <f t="shared" si="7"/>
        <v>23.484782608695653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/>
      <c r="Y74" s="11"/>
      <c r="Z74" s="11"/>
      <c r="AA74" s="11"/>
      <c r="AB74" s="11"/>
      <c r="AC74" s="11"/>
      <c r="AD74" s="11">
        <v>69</v>
      </c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2195</v>
      </c>
      <c r="F75" s="8" t="s">
        <v>42</v>
      </c>
      <c r="G75" s="9">
        <v>0.98958333333333337</v>
      </c>
      <c r="H75" s="9">
        <v>3.6805555555555557E-2</v>
      </c>
      <c r="I75" s="10">
        <v>4.7222222222222221E-2</v>
      </c>
      <c r="J75" s="11">
        <v>4</v>
      </c>
      <c r="K75" s="11">
        <v>108.05</v>
      </c>
      <c r="L75" s="16">
        <f t="shared" si="7"/>
        <v>23.834558823529409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/>
      <c r="Z75" s="11"/>
      <c r="AA75" s="11"/>
      <c r="AB75" s="11"/>
      <c r="AC75" s="11">
        <v>68</v>
      </c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2196</v>
      </c>
      <c r="F76" s="8" t="s">
        <v>42</v>
      </c>
      <c r="G76" s="9">
        <v>0.10138888888888889</v>
      </c>
      <c r="H76" s="9">
        <v>0.14374999999999999</v>
      </c>
      <c r="I76" s="10">
        <f t="shared" si="6"/>
        <v>4.2361111111111099E-2</v>
      </c>
      <c r="J76" s="11">
        <v>4</v>
      </c>
      <c r="K76" s="11">
        <v>108</v>
      </c>
      <c r="L76" s="16">
        <f t="shared" si="7"/>
        <v>26.557377049180335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/>
      <c r="X76" s="11"/>
      <c r="Y76" s="11"/>
      <c r="Z76" s="11"/>
      <c r="AA76" s="11"/>
      <c r="AB76" s="11"/>
      <c r="AC76" s="11"/>
      <c r="AD76" s="11">
        <v>61</v>
      </c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2197</v>
      </c>
      <c r="F77" s="8" t="s">
        <v>42</v>
      </c>
      <c r="G77" s="9">
        <v>0.10138888888888889</v>
      </c>
      <c r="H77" s="9">
        <v>0.1451388888888889</v>
      </c>
      <c r="I77" s="10">
        <f t="shared" si="6"/>
        <v>4.3750000000000011E-2</v>
      </c>
      <c r="J77" s="11">
        <v>4</v>
      </c>
      <c r="K77" s="11">
        <v>108</v>
      </c>
      <c r="L77" s="16">
        <f t="shared" si="7"/>
        <v>25.714285714285708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/>
      <c r="X77" s="11"/>
      <c r="Y77" s="11"/>
      <c r="Z77" s="11"/>
      <c r="AA77" s="11"/>
      <c r="AB77" s="11"/>
      <c r="AC77" s="11">
        <v>63</v>
      </c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2198</v>
      </c>
      <c r="F78" s="8" t="s">
        <v>42</v>
      </c>
      <c r="G78" s="9">
        <v>0.15138888888888888</v>
      </c>
      <c r="H78" s="9">
        <v>0.19444444444444445</v>
      </c>
      <c r="I78" s="10">
        <f t="shared" si="6"/>
        <v>4.3055555555555569E-2</v>
      </c>
      <c r="J78" s="11">
        <v>4</v>
      </c>
      <c r="K78" s="11">
        <v>107.16</v>
      </c>
      <c r="L78" s="16">
        <f t="shared" si="7"/>
        <v>25.925806451612896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/>
      <c r="X78" s="11"/>
      <c r="Y78" s="11"/>
      <c r="Z78" s="11"/>
      <c r="AA78" s="11"/>
      <c r="AB78" s="11"/>
      <c r="AC78" s="11">
        <v>62</v>
      </c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2199</v>
      </c>
      <c r="F79" s="8" t="s">
        <v>42</v>
      </c>
      <c r="G79" s="9">
        <v>0.85763888888888884</v>
      </c>
      <c r="H79" s="9">
        <v>0.88888888888888884</v>
      </c>
      <c r="I79" s="10">
        <f t="shared" si="6"/>
        <v>3.125E-2</v>
      </c>
      <c r="J79" s="11">
        <v>2</v>
      </c>
      <c r="K79" s="11">
        <v>33.24</v>
      </c>
      <c r="L79" s="16">
        <f t="shared" si="7"/>
        <v>22.16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/>
      <c r="X79" s="11"/>
      <c r="Y79" s="11"/>
      <c r="Z79" s="11"/>
      <c r="AA79" s="11"/>
      <c r="AB79" s="11"/>
      <c r="AC79" s="11">
        <v>45</v>
      </c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2200</v>
      </c>
      <c r="F80" s="8" t="s">
        <v>42</v>
      </c>
      <c r="G80" s="9">
        <v>0.89930555555555558</v>
      </c>
      <c r="H80" s="9">
        <v>0.91319444444444442</v>
      </c>
      <c r="I80" s="10">
        <f t="shared" si="6"/>
        <v>1.388888888888884E-2</v>
      </c>
      <c r="J80" s="11">
        <v>2</v>
      </c>
      <c r="K80" s="11">
        <v>4.74</v>
      </c>
      <c r="L80" s="16">
        <f t="shared" si="7"/>
        <v>7.1100000000000252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/>
      <c r="AB80" s="11"/>
      <c r="AC80" s="11"/>
      <c r="AD80" s="11"/>
      <c r="AE80" s="11">
        <v>20</v>
      </c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2201</v>
      </c>
      <c r="F81" s="8" t="s">
        <v>42</v>
      </c>
      <c r="G81" s="9">
        <v>0.15069444444444444</v>
      </c>
      <c r="H81" s="9">
        <v>0.15625</v>
      </c>
      <c r="I81" s="10">
        <f t="shared" si="6"/>
        <v>5.5555555555555636E-3</v>
      </c>
      <c r="J81" s="11">
        <v>4</v>
      </c>
      <c r="K81" s="11" t="s">
        <v>209</v>
      </c>
      <c r="L81" s="16" t="str">
        <f t="shared" si="7"/>
        <v>0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/>
      <c r="X81" s="11"/>
      <c r="Y81" s="11"/>
      <c r="Z81" s="11"/>
      <c r="AA81" s="11"/>
      <c r="AB81" s="11"/>
      <c r="AC81" s="11"/>
      <c r="AD81" s="11">
        <v>8</v>
      </c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2202</v>
      </c>
      <c r="F82" s="8" t="s">
        <v>42</v>
      </c>
      <c r="G82" s="9">
        <v>0.16527777777777777</v>
      </c>
      <c r="H82" s="9">
        <v>0.17083333333333334</v>
      </c>
      <c r="I82" s="10">
        <f t="shared" si="6"/>
        <v>5.5555555555555636E-3</v>
      </c>
      <c r="J82" s="11">
        <v>4</v>
      </c>
      <c r="K82" s="11" t="s">
        <v>209</v>
      </c>
      <c r="L82" s="16" t="str">
        <f t="shared" si="7"/>
        <v>0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/>
      <c r="X82" s="11"/>
      <c r="Y82" s="11"/>
      <c r="Z82" s="11"/>
      <c r="AA82" s="11"/>
      <c r="AB82" s="11"/>
      <c r="AC82" s="11"/>
      <c r="AD82" s="11">
        <v>8</v>
      </c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2203</v>
      </c>
      <c r="F83" s="8" t="s">
        <v>42</v>
      </c>
      <c r="G83" s="9">
        <v>0.18055555555555555</v>
      </c>
      <c r="H83" s="9">
        <v>0.18611111111111112</v>
      </c>
      <c r="I83" s="10">
        <f t="shared" si="6"/>
        <v>5.5555555555555636E-3</v>
      </c>
      <c r="J83" s="11">
        <v>4</v>
      </c>
      <c r="K83" s="11" t="s">
        <v>209</v>
      </c>
      <c r="L83" s="16" t="str">
        <f t="shared" si="7"/>
        <v>0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/>
      <c r="X83" s="11"/>
      <c r="Y83" s="11"/>
      <c r="Z83" s="11"/>
      <c r="AA83" s="11"/>
      <c r="AB83" s="11"/>
      <c r="AC83" s="11"/>
      <c r="AD83" s="11">
        <v>8</v>
      </c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2204</v>
      </c>
      <c r="F84" s="8" t="s">
        <v>42</v>
      </c>
      <c r="G84" s="9">
        <v>0.20069444444444445</v>
      </c>
      <c r="H84" s="9">
        <v>0.20624999999999999</v>
      </c>
      <c r="I84" s="10">
        <f t="shared" si="6"/>
        <v>5.5555555555555358E-3</v>
      </c>
      <c r="J84" s="11">
        <v>4</v>
      </c>
      <c r="K84" s="11" t="s">
        <v>209</v>
      </c>
      <c r="L84" s="16" t="str">
        <f t="shared" si="7"/>
        <v>0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/>
      <c r="AD84" s="11">
        <v>8</v>
      </c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2205</v>
      </c>
      <c r="F85" s="8" t="s">
        <v>42</v>
      </c>
      <c r="G85" s="9">
        <v>0.20069444444444445</v>
      </c>
      <c r="H85" s="9">
        <v>0.20624999999999999</v>
      </c>
      <c r="I85" s="10">
        <f t="shared" ref="I85:I94" si="9">H85-G85</f>
        <v>5.5555555555555358E-3</v>
      </c>
      <c r="J85" s="11">
        <v>4</v>
      </c>
      <c r="K85" s="11" t="s">
        <v>209</v>
      </c>
      <c r="L85" s="16" t="str">
        <f t="shared" ref="L85:L94" si="10">IFERROR(((K85/(J85*I85)/24)),"0")</f>
        <v>0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/>
      <c r="X85" s="11"/>
      <c r="Y85" s="11"/>
      <c r="Z85" s="11"/>
      <c r="AA85" s="11"/>
      <c r="AB85" s="11"/>
      <c r="AC85" s="11">
        <v>8</v>
      </c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2206</v>
      </c>
      <c r="F86" s="8" t="s">
        <v>42</v>
      </c>
      <c r="G86" s="9">
        <v>0.21666666666666667</v>
      </c>
      <c r="H86" s="9">
        <v>0.22222222222222221</v>
      </c>
      <c r="I86" s="10">
        <f t="shared" si="9"/>
        <v>5.5555555555555358E-3</v>
      </c>
      <c r="J86" s="11">
        <v>4</v>
      </c>
      <c r="K86" s="11" t="s">
        <v>209</v>
      </c>
      <c r="L86" s="16" t="str">
        <f t="shared" si="10"/>
        <v>0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/>
      <c r="X86" s="11"/>
      <c r="Y86" s="11"/>
      <c r="Z86" s="11"/>
      <c r="AA86" s="11"/>
      <c r="AB86" s="11"/>
      <c r="AC86" s="11">
        <v>8</v>
      </c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2207</v>
      </c>
      <c r="F87" s="8" t="s">
        <v>42</v>
      </c>
      <c r="G87" s="9">
        <v>0.21666666666666667</v>
      </c>
      <c r="H87" s="9">
        <v>0.22222222222222221</v>
      </c>
      <c r="I87" s="10">
        <f t="shared" si="9"/>
        <v>5.5555555555555358E-3</v>
      </c>
      <c r="J87" s="11">
        <v>4</v>
      </c>
      <c r="K87" s="11" t="s">
        <v>209</v>
      </c>
      <c r="L87" s="16" t="str">
        <f t="shared" si="10"/>
        <v>0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/>
      <c r="X87" s="11"/>
      <c r="Y87" s="11"/>
      <c r="Z87" s="11"/>
      <c r="AA87" s="11"/>
      <c r="AB87" s="11"/>
      <c r="AC87" s="11"/>
      <c r="AD87" s="11">
        <v>8</v>
      </c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2208</v>
      </c>
      <c r="F88" s="8" t="s">
        <v>42</v>
      </c>
      <c r="G88" s="9">
        <v>0.16180555555555556</v>
      </c>
      <c r="H88" s="9">
        <v>0.17291666666666666</v>
      </c>
      <c r="I88" s="10">
        <f t="shared" si="9"/>
        <v>1.1111111111111099E-2</v>
      </c>
      <c r="J88" s="11">
        <v>4</v>
      </c>
      <c r="K88" s="11">
        <v>119.37</v>
      </c>
      <c r="L88" s="16">
        <f t="shared" si="10"/>
        <v>111.90937500000013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2</v>
      </c>
      <c r="W88" s="12"/>
      <c r="X88" s="11">
        <v>8</v>
      </c>
      <c r="Y88" s="11">
        <v>8</v>
      </c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2209</v>
      </c>
      <c r="F89" s="8" t="s">
        <v>42</v>
      </c>
      <c r="G89" s="9">
        <v>0.17708333333333334</v>
      </c>
      <c r="H89" s="9">
        <v>0.18888888888888888</v>
      </c>
      <c r="I89" s="10">
        <f t="shared" si="9"/>
        <v>1.1805555555555541E-2</v>
      </c>
      <c r="J89" s="11">
        <v>4</v>
      </c>
      <c r="K89" s="11">
        <v>119.98</v>
      </c>
      <c r="L89" s="16">
        <f t="shared" si="10"/>
        <v>105.86470588235306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/>
      <c r="Z89" s="11">
        <v>8.5</v>
      </c>
      <c r="AA89" s="11">
        <v>8.5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2210</v>
      </c>
      <c r="F90" s="8" t="s">
        <v>42</v>
      </c>
      <c r="G90" s="9">
        <v>0.19305555555555556</v>
      </c>
      <c r="H90" s="9">
        <v>0.20555555555555555</v>
      </c>
      <c r="I90" s="10">
        <f t="shared" si="9"/>
        <v>1.2499999999999983E-2</v>
      </c>
      <c r="J90" s="11">
        <v>4</v>
      </c>
      <c r="K90" s="11">
        <v>112.53</v>
      </c>
      <c r="L90" s="16">
        <f t="shared" si="10"/>
        <v>93.775000000000134</v>
      </c>
      <c r="M90" s="11"/>
      <c r="N90" s="11"/>
      <c r="O90" s="11"/>
      <c r="P90" s="11"/>
      <c r="Q90" s="11"/>
      <c r="R90" s="12"/>
      <c r="S90" s="12"/>
      <c r="T90" s="11"/>
      <c r="U90" s="11"/>
      <c r="V90" s="12">
        <v>2</v>
      </c>
      <c r="W90" s="12"/>
      <c r="X90" s="11">
        <v>9</v>
      </c>
      <c r="Y90" s="11">
        <v>9</v>
      </c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2211</v>
      </c>
      <c r="F91" s="8" t="s">
        <v>42</v>
      </c>
      <c r="G91" s="9">
        <v>0.21111111111111111</v>
      </c>
      <c r="H91" s="9">
        <v>0.22361111111111112</v>
      </c>
      <c r="I91" s="10">
        <f t="shared" si="9"/>
        <v>1.2500000000000011E-2</v>
      </c>
      <c r="J91" s="11">
        <v>4</v>
      </c>
      <c r="K91" s="11">
        <v>122.22</v>
      </c>
      <c r="L91" s="16">
        <f t="shared" si="10"/>
        <v>101.84999999999991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>
        <v>9</v>
      </c>
      <c r="Y91" s="11">
        <v>9</v>
      </c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2212</v>
      </c>
      <c r="F92" s="8" t="s">
        <v>42</v>
      </c>
      <c r="G92" s="9">
        <v>0.21319444444444444</v>
      </c>
      <c r="H92" s="9">
        <v>0.22500000000000001</v>
      </c>
      <c r="I92" s="10">
        <f t="shared" si="9"/>
        <v>1.1805555555555569E-2</v>
      </c>
      <c r="J92" s="11">
        <v>4</v>
      </c>
      <c r="K92" s="11">
        <v>123.6</v>
      </c>
      <c r="L92" s="16">
        <f t="shared" si="10"/>
        <v>109.05882352941164</v>
      </c>
      <c r="M92" s="11"/>
      <c r="N92" s="11"/>
      <c r="O92" s="11"/>
      <c r="P92" s="11"/>
      <c r="Q92" s="11"/>
      <c r="R92" s="12"/>
      <c r="S92" s="12"/>
      <c r="T92" s="11"/>
      <c r="U92" s="11"/>
      <c r="V92" s="12">
        <v>2</v>
      </c>
      <c r="W92" s="12"/>
      <c r="X92" s="11"/>
      <c r="Y92" s="11"/>
      <c r="Z92" s="11">
        <v>8.5</v>
      </c>
      <c r="AA92" s="11">
        <v>8.5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2213</v>
      </c>
      <c r="F93" s="8" t="s">
        <v>42</v>
      </c>
      <c r="G93" s="9">
        <v>0.22638888888888889</v>
      </c>
      <c r="H93" s="9">
        <v>0.2361111111111111</v>
      </c>
      <c r="I93" s="10">
        <f t="shared" si="9"/>
        <v>9.7222222222222154E-3</v>
      </c>
      <c r="J93" s="11">
        <v>4</v>
      </c>
      <c r="K93" s="11">
        <v>58.75</v>
      </c>
      <c r="L93" s="16">
        <f t="shared" si="10"/>
        <v>62.946428571428612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2</v>
      </c>
      <c r="X93" s="11">
        <v>14</v>
      </c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2214</v>
      </c>
      <c r="F94" s="8" t="s">
        <v>42</v>
      </c>
      <c r="G94" s="9">
        <v>0.23055555555555557</v>
      </c>
      <c r="H94" s="9">
        <v>0.24236111111111111</v>
      </c>
      <c r="I94" s="10">
        <f t="shared" si="9"/>
        <v>1.1805555555555541E-2</v>
      </c>
      <c r="J94" s="11">
        <v>4</v>
      </c>
      <c r="K94" s="11">
        <v>119.69</v>
      </c>
      <c r="L94" s="16">
        <f t="shared" si="10"/>
        <v>105.60882352941189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2</v>
      </c>
      <c r="W94" s="12"/>
      <c r="X94" s="11"/>
      <c r="Y94" s="11">
        <v>8.5</v>
      </c>
      <c r="Z94" s="11">
        <v>8.5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/>
      <c r="F95" s="8" t="s">
        <v>42</v>
      </c>
      <c r="G95" s="9"/>
      <c r="H95" s="9"/>
      <c r="I95" s="10">
        <f>H95-G95</f>
        <v>0</v>
      </c>
      <c r="J95" s="11"/>
      <c r="K95" s="11"/>
      <c r="L95" s="16" t="str">
        <f t="shared" ref="L95:L97" si="11">IFERROR(((K95/(J95*I95)/24)),"0")</f>
        <v>0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2</v>
      </c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 t="s">
        <v>1813</v>
      </c>
      <c r="E96" s="19" t="s">
        <v>2215</v>
      </c>
      <c r="F96" s="8" t="s">
        <v>42</v>
      </c>
      <c r="G96" s="9">
        <v>0.91527777777777775</v>
      </c>
      <c r="H96" s="9">
        <v>0.92083333333333328</v>
      </c>
      <c r="I96" s="10">
        <f>H96-G96</f>
        <v>5.5555555555555358E-3</v>
      </c>
      <c r="J96" s="11">
        <v>4</v>
      </c>
      <c r="K96" s="11">
        <v>46.08</v>
      </c>
      <c r="L96" s="16">
        <f t="shared" si="11"/>
        <v>86.400000000000304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/>
      <c r="X96" s="11"/>
      <c r="Y96" s="11"/>
      <c r="Z96" s="11"/>
      <c r="AA96" s="11"/>
      <c r="AB96" s="11">
        <v>8</v>
      </c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1:38" ht="25.05" customHeight="1">
      <c r="B97" s="13"/>
      <c r="C97" s="29"/>
      <c r="D97" s="30"/>
      <c r="E97" s="19"/>
      <c r="F97" s="8" t="s">
        <v>42</v>
      </c>
      <c r="G97" s="9"/>
      <c r="H97" s="9"/>
      <c r="I97" s="10">
        <f>H97-G97</f>
        <v>0</v>
      </c>
      <c r="J97" s="11"/>
      <c r="K97" s="11"/>
      <c r="L97" s="16" t="str">
        <f t="shared" si="11"/>
        <v>0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1:38" s="28" customFormat="1" ht="25.5" customHeight="1">
      <c r="A98" s="2"/>
      <c r="B98" s="32"/>
      <c r="C98" s="33"/>
      <c r="D98" s="34"/>
      <c r="E98" s="35"/>
      <c r="F98" s="35"/>
      <c r="G98" s="36"/>
      <c r="H98" s="36"/>
      <c r="I98" s="37"/>
      <c r="J98" s="38"/>
      <c r="K98" s="38">
        <f t="shared" ref="K98:AL98" si="12">SUM(K36:K97)</f>
        <v>4110.03</v>
      </c>
      <c r="L98" s="39">
        <f t="shared" si="12"/>
        <v>2453.6360668725069</v>
      </c>
      <c r="M98" s="38">
        <f t="shared" si="12"/>
        <v>0</v>
      </c>
      <c r="N98" s="38">
        <f t="shared" si="12"/>
        <v>0</v>
      </c>
      <c r="O98" s="38">
        <f t="shared" si="12"/>
        <v>0</v>
      </c>
      <c r="P98" s="38">
        <f t="shared" si="12"/>
        <v>0</v>
      </c>
      <c r="Q98" s="38">
        <f t="shared" si="12"/>
        <v>0</v>
      </c>
      <c r="R98" s="38">
        <f t="shared" si="12"/>
        <v>0</v>
      </c>
      <c r="S98" s="38">
        <f t="shared" si="12"/>
        <v>0</v>
      </c>
      <c r="T98" s="38">
        <f t="shared" si="12"/>
        <v>0</v>
      </c>
      <c r="U98" s="38">
        <f t="shared" si="12"/>
        <v>0</v>
      </c>
      <c r="V98" s="38">
        <f t="shared" si="12"/>
        <v>85</v>
      </c>
      <c r="W98" s="38">
        <f t="shared" si="12"/>
        <v>30</v>
      </c>
      <c r="X98" s="38">
        <f t="shared" si="12"/>
        <v>88.5</v>
      </c>
      <c r="Y98" s="38">
        <f t="shared" si="12"/>
        <v>72</v>
      </c>
      <c r="Z98" s="38">
        <f t="shared" si="12"/>
        <v>70.5</v>
      </c>
      <c r="AA98" s="38">
        <f t="shared" si="12"/>
        <v>69</v>
      </c>
      <c r="AB98" s="38">
        <f t="shared" si="12"/>
        <v>342</v>
      </c>
      <c r="AC98" s="38">
        <f t="shared" si="12"/>
        <v>296</v>
      </c>
      <c r="AD98" s="38">
        <f t="shared" si="12"/>
        <v>272</v>
      </c>
      <c r="AE98" s="38">
        <f t="shared" si="12"/>
        <v>20</v>
      </c>
      <c r="AF98" s="38">
        <f t="shared" si="12"/>
        <v>0</v>
      </c>
      <c r="AG98" s="38">
        <f t="shared" si="12"/>
        <v>29.25</v>
      </c>
      <c r="AH98" s="38">
        <f t="shared" si="12"/>
        <v>29.25</v>
      </c>
      <c r="AI98" s="38">
        <f t="shared" si="12"/>
        <v>29.25</v>
      </c>
      <c r="AJ98" s="38">
        <f t="shared" si="12"/>
        <v>29.25</v>
      </c>
      <c r="AK98" s="38">
        <f t="shared" si="12"/>
        <v>0</v>
      </c>
      <c r="AL98" s="38">
        <f t="shared" si="12"/>
        <v>0</v>
      </c>
    </row>
    <row r="99" spans="1:38" ht="38.1" customHeight="1">
      <c r="B99" s="40" t="s">
        <v>45</v>
      </c>
      <c r="C99" s="41"/>
      <c r="D99" s="41"/>
      <c r="E99" s="41"/>
      <c r="F99" s="41"/>
      <c r="G99" s="41"/>
      <c r="H99" s="41"/>
      <c r="I99" s="41"/>
      <c r="J99" s="41"/>
      <c r="K99" s="42">
        <f>K32+K35+K98</f>
        <v>7490.5199999999995</v>
      </c>
      <c r="L99" s="42">
        <f>L32+L35+L98</f>
        <v>4183.5557348588036</v>
      </c>
      <c r="M99" s="43">
        <f t="shared" ref="M99:AL99" si="13">(M32+M35+M98)/(480-15-30)</f>
        <v>0.7195402298850575</v>
      </c>
      <c r="N99" s="43">
        <f t="shared" si="13"/>
        <v>0</v>
      </c>
      <c r="O99" s="43">
        <f t="shared" si="13"/>
        <v>0.11264367816091954</v>
      </c>
      <c r="P99" s="43">
        <f t="shared" si="13"/>
        <v>0</v>
      </c>
      <c r="Q99" s="43">
        <f t="shared" si="13"/>
        <v>0.22758620689655173</v>
      </c>
      <c r="R99" s="43">
        <f t="shared" si="13"/>
        <v>0</v>
      </c>
      <c r="S99" s="43">
        <f t="shared" si="13"/>
        <v>1.0758620689655172</v>
      </c>
      <c r="T99" s="43">
        <f t="shared" si="13"/>
        <v>0</v>
      </c>
      <c r="U99" s="43">
        <f t="shared" si="13"/>
        <v>0</v>
      </c>
      <c r="V99" s="43">
        <f t="shared" si="13"/>
        <v>0.19540229885057472</v>
      </c>
      <c r="W99" s="43">
        <f t="shared" si="13"/>
        <v>6.8965517241379309E-2</v>
      </c>
      <c r="X99" s="43">
        <f t="shared" si="13"/>
        <v>0.20344827586206896</v>
      </c>
      <c r="Y99" s="43">
        <f t="shared" si="13"/>
        <v>0.16551724137931034</v>
      </c>
      <c r="Z99" s="43">
        <f t="shared" si="13"/>
        <v>0.16206896551724137</v>
      </c>
      <c r="AA99" s="43">
        <f t="shared" si="13"/>
        <v>0.15862068965517243</v>
      </c>
      <c r="AB99" s="43">
        <f t="shared" si="13"/>
        <v>0.78620689655172415</v>
      </c>
      <c r="AC99" s="43">
        <f t="shared" si="13"/>
        <v>0.68045977011494252</v>
      </c>
      <c r="AD99" s="43">
        <f t="shared" si="13"/>
        <v>0.62528735632183907</v>
      </c>
      <c r="AE99" s="43">
        <f t="shared" si="13"/>
        <v>4.5977011494252873E-2</v>
      </c>
      <c r="AF99" s="43">
        <f t="shared" si="13"/>
        <v>0</v>
      </c>
      <c r="AG99" s="43">
        <f t="shared" si="13"/>
        <v>6.7241379310344823E-2</v>
      </c>
      <c r="AH99" s="43">
        <f t="shared" si="13"/>
        <v>6.7241379310344823E-2</v>
      </c>
      <c r="AI99" s="43">
        <f t="shared" si="13"/>
        <v>6.7241379310344823E-2</v>
      </c>
      <c r="AJ99" s="43">
        <f t="shared" si="13"/>
        <v>6.7241379310344823E-2</v>
      </c>
      <c r="AK99" s="43">
        <f t="shared" si="13"/>
        <v>0</v>
      </c>
      <c r="AL99" s="43">
        <f t="shared" si="13"/>
        <v>0</v>
      </c>
    </row>
    <row r="100" spans="1:38" ht="25.05" customHeight="1">
      <c r="B100" s="44"/>
      <c r="C100" s="44"/>
      <c r="D100" s="44"/>
      <c r="E100" s="45"/>
      <c r="F100" s="45"/>
      <c r="G100" s="45"/>
      <c r="H100" s="45"/>
      <c r="I100" s="46"/>
      <c r="J100" s="46"/>
      <c r="K100" s="45"/>
      <c r="L100" s="47"/>
      <c r="M100" s="47"/>
      <c r="N100" s="47"/>
      <c r="O100" s="47"/>
      <c r="P100" s="47"/>
      <c r="Q100" s="45"/>
      <c r="R100" s="45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  <c r="AI100" s="45"/>
      <c r="AJ100" s="45"/>
    </row>
    <row r="101" spans="1:38" ht="25.05" customHeight="1">
      <c r="B101" s="44"/>
      <c r="C101" s="44"/>
      <c r="D101" s="44"/>
      <c r="E101" s="45"/>
      <c r="F101" s="45"/>
      <c r="G101" s="45"/>
      <c r="H101" s="45"/>
      <c r="I101" s="48" t="s">
        <v>46</v>
      </c>
      <c r="J101" s="46"/>
      <c r="K101" s="45"/>
      <c r="L101" s="47"/>
      <c r="M101" s="47"/>
      <c r="N101" s="47"/>
      <c r="O101" s="47"/>
      <c r="P101" s="47"/>
      <c r="Q101" s="45"/>
      <c r="R101" s="45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  <c r="AI101" s="45"/>
      <c r="AJ101" s="45"/>
    </row>
    <row r="102" spans="1:38" ht="25.05" customHeight="1">
      <c r="B102" s="44"/>
      <c r="C102" s="44"/>
      <c r="D102" s="44"/>
      <c r="E102" s="45"/>
      <c r="F102" s="45"/>
      <c r="G102" s="45"/>
      <c r="H102" s="45"/>
      <c r="I102" s="49" t="s">
        <v>47</v>
      </c>
      <c r="J102" s="9">
        <v>0</v>
      </c>
      <c r="K102" s="11">
        <v>8</v>
      </c>
      <c r="L102" s="11" t="s">
        <v>48</v>
      </c>
      <c r="M102" s="47"/>
      <c r="N102" s="14">
        <v>2</v>
      </c>
      <c r="O102" s="14"/>
      <c r="P102" s="14"/>
      <c r="Q102" s="50" t="s">
        <v>49</v>
      </c>
      <c r="R102" s="51"/>
      <c r="S102" s="45"/>
      <c r="T102" s="45"/>
      <c r="U102" s="45"/>
      <c r="V102" s="45"/>
      <c r="W102" s="45"/>
      <c r="X102" s="45"/>
      <c r="Y102" s="45"/>
      <c r="Z102" s="45"/>
      <c r="AA102" s="45"/>
      <c r="AC102" s="45"/>
      <c r="AD102" s="45"/>
      <c r="AE102" s="45"/>
      <c r="AF102" s="45"/>
      <c r="AG102" s="45"/>
      <c r="AH102" s="45"/>
    </row>
    <row r="103" spans="1:38" ht="25.05" customHeight="1">
      <c r="B103" s="44"/>
      <c r="C103" s="44"/>
      <c r="D103" s="44"/>
      <c r="E103" s="45"/>
      <c r="F103" s="45"/>
      <c r="G103" s="45"/>
      <c r="H103" s="45"/>
      <c r="I103" s="49" t="s">
        <v>50</v>
      </c>
      <c r="J103" s="9">
        <v>0</v>
      </c>
      <c r="K103" s="11">
        <v>0</v>
      </c>
      <c r="L103" s="11" t="s">
        <v>48</v>
      </c>
      <c r="M103" s="47"/>
      <c r="N103" s="14">
        <v>0</v>
      </c>
      <c r="O103" s="14"/>
      <c r="P103" s="14"/>
      <c r="Q103" s="50" t="s">
        <v>51</v>
      </c>
      <c r="R103" s="51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</row>
    <row r="104" spans="1:38" ht="25.05" customHeight="1">
      <c r="B104" s="44"/>
      <c r="C104" s="44"/>
      <c r="D104" s="44"/>
      <c r="E104" s="45"/>
      <c r="F104" s="45"/>
      <c r="G104" s="45"/>
      <c r="H104" s="45"/>
      <c r="I104" s="49" t="s">
        <v>52</v>
      </c>
      <c r="J104" s="9">
        <v>0</v>
      </c>
      <c r="K104" s="11">
        <v>19</v>
      </c>
      <c r="L104" s="11" t="s">
        <v>48</v>
      </c>
      <c r="M104" s="47"/>
      <c r="N104" s="14">
        <v>1</v>
      </c>
      <c r="O104" s="14"/>
      <c r="P104" s="14"/>
      <c r="Q104" s="50" t="s">
        <v>53</v>
      </c>
      <c r="R104" s="51"/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  <c r="AE104" s="45"/>
      <c r="AF104" s="45"/>
      <c r="AG104" s="45"/>
      <c r="AH104" s="45"/>
    </row>
    <row r="105" spans="1:38" ht="25.05" customHeight="1">
      <c r="B105" s="44"/>
      <c r="C105" s="44"/>
      <c r="D105" s="44"/>
      <c r="E105" s="45"/>
      <c r="F105" s="45"/>
      <c r="G105" s="45"/>
      <c r="H105" s="45"/>
      <c r="I105" s="52" t="s">
        <v>54</v>
      </c>
      <c r="J105" s="53">
        <v>0</v>
      </c>
      <c r="K105" s="11">
        <v>2</v>
      </c>
      <c r="L105" s="54" t="s">
        <v>48</v>
      </c>
      <c r="M105" s="47"/>
      <c r="N105" s="14">
        <v>4</v>
      </c>
      <c r="O105" s="14"/>
      <c r="P105" s="14"/>
      <c r="Q105" s="50" t="s">
        <v>55</v>
      </c>
      <c r="R105" s="51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</row>
    <row r="106" spans="1:38" ht="25.05" customHeight="1">
      <c r="B106" s="44"/>
      <c r="C106" s="44"/>
      <c r="D106" s="44"/>
      <c r="E106" s="45"/>
      <c r="F106" s="45"/>
      <c r="G106" s="45"/>
      <c r="H106" s="45"/>
      <c r="I106" s="49" t="s">
        <v>56</v>
      </c>
      <c r="J106" s="9">
        <v>0</v>
      </c>
      <c r="K106" s="11">
        <f>SUM(K102:K105)</f>
        <v>29</v>
      </c>
      <c r="L106" s="11" t="s">
        <v>48</v>
      </c>
      <c r="M106" s="47"/>
      <c r="N106"/>
      <c r="O106"/>
      <c r="P106"/>
      <c r="Q106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</row>
    <row r="107" spans="1:38" ht="25.05" customHeight="1">
      <c r="B107" s="44"/>
      <c r="C107" s="44"/>
      <c r="D107" s="44"/>
      <c r="E107" s="45"/>
      <c r="F107" s="45"/>
      <c r="G107" s="45"/>
      <c r="H107" s="45"/>
      <c r="M107" s="47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</row>
    <row r="108" spans="1:38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196C-A2A9-44D8-BCAD-766D20227DB9}">
  <sheetPr>
    <pageSetUpPr fitToPage="1"/>
  </sheetPr>
  <dimension ref="A1:AL124"/>
  <sheetViews>
    <sheetView zoomScale="85" zoomScaleNormal="85" workbookViewId="0">
      <pane xSplit="12" ySplit="3" topLeftCell="M3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56.5546875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46091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7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1432</v>
      </c>
      <c r="E5" s="15" t="s">
        <v>2216</v>
      </c>
      <c r="F5" s="8" t="s">
        <v>42</v>
      </c>
      <c r="G5" s="9">
        <v>0.29166666666666669</v>
      </c>
      <c r="H5" s="9">
        <v>0.2986111111111111</v>
      </c>
      <c r="I5" s="10">
        <f t="shared" si="0"/>
        <v>6.9444444444444198E-3</v>
      </c>
      <c r="J5" s="11">
        <v>1</v>
      </c>
      <c r="K5" s="27">
        <v>34.799999999999997</v>
      </c>
      <c r="L5" s="16">
        <f t="shared" ref="L5:L27" si="1">IFERROR(((K5/(J5*I5)/24)),"0")</f>
        <v>208.80000000000072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2217</v>
      </c>
      <c r="F6" s="8" t="s">
        <v>42</v>
      </c>
      <c r="G6" s="9">
        <v>0.3</v>
      </c>
      <c r="H6" s="9">
        <v>0.3125</v>
      </c>
      <c r="I6" s="10">
        <f t="shared" si="0"/>
        <v>1.2500000000000011E-2</v>
      </c>
      <c r="J6" s="11">
        <v>1</v>
      </c>
      <c r="K6" s="27">
        <v>6.84</v>
      </c>
      <c r="L6" s="16">
        <f t="shared" si="1"/>
        <v>22.799999999999979</v>
      </c>
      <c r="M6" s="11"/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114" t="s">
        <v>2218</v>
      </c>
      <c r="E7" s="15" t="s">
        <v>2216</v>
      </c>
      <c r="F7" s="8" t="s">
        <v>42</v>
      </c>
      <c r="G7" s="9">
        <v>0.3125</v>
      </c>
      <c r="H7" s="9">
        <v>0.32291666666666669</v>
      </c>
      <c r="I7" s="10">
        <f t="shared" si="0"/>
        <v>1.0416666666666685E-2</v>
      </c>
      <c r="J7" s="11">
        <v>1</v>
      </c>
      <c r="K7" s="27">
        <v>3</v>
      </c>
      <c r="L7" s="16">
        <f t="shared" si="1"/>
        <v>11.999999999999979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30" t="s">
        <v>2219</v>
      </c>
      <c r="E8" s="15" t="s">
        <v>2217</v>
      </c>
      <c r="F8" s="8" t="s">
        <v>42</v>
      </c>
      <c r="G8" s="9">
        <v>0.32430555555555557</v>
      </c>
      <c r="H8" s="9">
        <v>0.33333333333333331</v>
      </c>
      <c r="I8" s="10">
        <f t="shared" si="0"/>
        <v>9.0277777777777457E-3</v>
      </c>
      <c r="J8" s="11">
        <v>1</v>
      </c>
      <c r="K8" s="27">
        <v>9</v>
      </c>
      <c r="L8" s="16">
        <f t="shared" si="1"/>
        <v>41.538461538461682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2220</v>
      </c>
      <c r="F9" s="8" t="s">
        <v>42</v>
      </c>
      <c r="G9" s="9">
        <v>0.3347222222222222</v>
      </c>
      <c r="H9" s="9">
        <v>0.35069444444444442</v>
      </c>
      <c r="I9" s="10">
        <f t="shared" si="0"/>
        <v>1.5972222222222221E-2</v>
      </c>
      <c r="J9" s="11">
        <v>1</v>
      </c>
      <c r="K9" s="27">
        <v>3.5</v>
      </c>
      <c r="L9" s="16">
        <f t="shared" si="1"/>
        <v>9.1304347826086971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2221</v>
      </c>
      <c r="F10" s="8" t="s">
        <v>42</v>
      </c>
      <c r="G10" s="9">
        <v>0.29166666666666669</v>
      </c>
      <c r="H10" s="9">
        <v>0.375</v>
      </c>
      <c r="I10" s="10">
        <f t="shared" si="0"/>
        <v>8.3333333333333315E-2</v>
      </c>
      <c r="J10" s="11">
        <v>10</v>
      </c>
      <c r="K10" s="27">
        <v>207</v>
      </c>
      <c r="L10" s="16">
        <f t="shared" si="1"/>
        <v>10.350000000000003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114" t="s">
        <v>2218</v>
      </c>
      <c r="E11" s="15" t="s">
        <v>2222</v>
      </c>
      <c r="F11" s="8" t="s">
        <v>2223</v>
      </c>
      <c r="G11" s="9">
        <v>0.29166666666666669</v>
      </c>
      <c r="H11" s="9">
        <v>0.375</v>
      </c>
      <c r="I11" s="10">
        <f t="shared" si="0"/>
        <v>8.3333333333333315E-2</v>
      </c>
      <c r="J11" s="11">
        <v>2</v>
      </c>
      <c r="K11" s="27">
        <v>35</v>
      </c>
      <c r="L11" s="16">
        <f t="shared" si="1"/>
        <v>8.7500000000000018</v>
      </c>
      <c r="M11" s="11"/>
      <c r="N11" s="11"/>
      <c r="O11" s="11"/>
      <c r="P11" s="11"/>
      <c r="Q11" s="11"/>
      <c r="R11" s="12"/>
      <c r="S11" s="12">
        <v>120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2224</v>
      </c>
      <c r="F12" s="8" t="s">
        <v>42</v>
      </c>
      <c r="G12" s="9">
        <v>0.29166666666666669</v>
      </c>
      <c r="H12" s="9">
        <v>0.30555555555555558</v>
      </c>
      <c r="I12" s="10">
        <f t="shared" si="0"/>
        <v>1.3888888888888895E-2</v>
      </c>
      <c r="J12" s="11">
        <v>1</v>
      </c>
      <c r="K12" s="27">
        <v>34</v>
      </c>
      <c r="L12" s="16">
        <f t="shared" si="1"/>
        <v>101.99999999999996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1321</v>
      </c>
      <c r="F13" s="8" t="s">
        <v>42</v>
      </c>
      <c r="G13" s="9">
        <v>0.30902777777777779</v>
      </c>
      <c r="H13" s="9">
        <v>0.31597222222222221</v>
      </c>
      <c r="I13" s="10">
        <f t="shared" si="0"/>
        <v>6.9444444444444198E-3</v>
      </c>
      <c r="J13" s="11">
        <v>1</v>
      </c>
      <c r="K13" s="27">
        <v>31</v>
      </c>
      <c r="L13" s="16">
        <f t="shared" si="1"/>
        <v>186.00000000000065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2225</v>
      </c>
      <c r="F14" s="8" t="s">
        <v>2226</v>
      </c>
      <c r="G14" s="9">
        <v>0.37847222222222221</v>
      </c>
      <c r="H14" s="9">
        <v>0.39583333333333331</v>
      </c>
      <c r="I14" s="10">
        <f t="shared" si="0"/>
        <v>1.7361111111111105E-2</v>
      </c>
      <c r="J14" s="11">
        <v>2</v>
      </c>
      <c r="K14" s="27">
        <v>54</v>
      </c>
      <c r="L14" s="16">
        <f t="shared" si="1"/>
        <v>64.800000000000026</v>
      </c>
      <c r="M14" s="11"/>
      <c r="N14" s="11"/>
      <c r="O14" s="11"/>
      <c r="P14" s="11"/>
      <c r="Q14" s="11"/>
      <c r="R14" s="12"/>
      <c r="S14" s="12">
        <v>25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30" t="s">
        <v>2069</v>
      </c>
      <c r="E15" s="15" t="s">
        <v>2227</v>
      </c>
      <c r="F15" s="8" t="s">
        <v>42</v>
      </c>
      <c r="G15" s="9">
        <v>0.39583333333333331</v>
      </c>
      <c r="H15" s="9">
        <v>0.40972222222222221</v>
      </c>
      <c r="I15" s="10">
        <f t="shared" si="0"/>
        <v>1.3888888888888895E-2</v>
      </c>
      <c r="J15" s="11">
        <v>13</v>
      </c>
      <c r="K15" s="11">
        <v>2</v>
      </c>
      <c r="L15" s="16">
        <f t="shared" si="1"/>
        <v>0.46153846153846129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104</v>
      </c>
      <c r="F16" s="8" t="s">
        <v>42</v>
      </c>
      <c r="G16" s="9">
        <v>0.40972222222222221</v>
      </c>
      <c r="H16" s="9">
        <v>0.4236111111111111</v>
      </c>
      <c r="I16" s="10">
        <f t="shared" si="0"/>
        <v>1.3888888888888895E-2</v>
      </c>
      <c r="J16" s="11">
        <v>13</v>
      </c>
      <c r="K16" s="11"/>
      <c r="L16" s="16">
        <f t="shared" si="1"/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 t="s">
        <v>1432</v>
      </c>
      <c r="E17" s="15" t="s">
        <v>2228</v>
      </c>
      <c r="F17" s="8" t="s">
        <v>42</v>
      </c>
      <c r="G17" s="9">
        <v>0.46527777777777779</v>
      </c>
      <c r="H17" s="9">
        <v>0.50694444444444442</v>
      </c>
      <c r="I17" s="10">
        <f t="shared" si="0"/>
        <v>4.166666666666663E-2</v>
      </c>
      <c r="J17" s="11">
        <v>7</v>
      </c>
      <c r="K17" s="27">
        <v>130</v>
      </c>
      <c r="L17" s="16">
        <f t="shared" si="1"/>
        <v>18.571428571428587</v>
      </c>
      <c r="M17" s="11"/>
      <c r="N17" s="11"/>
      <c r="O17" s="11"/>
      <c r="P17" s="11"/>
      <c r="Q17" s="11"/>
      <c r="R17" s="12"/>
      <c r="S17" s="12">
        <v>60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30" t="s">
        <v>2069</v>
      </c>
      <c r="E18" s="15" t="s">
        <v>2227</v>
      </c>
      <c r="F18" s="8" t="s">
        <v>42</v>
      </c>
      <c r="G18" s="9">
        <v>0.46527777777777779</v>
      </c>
      <c r="H18" s="9">
        <v>0.54166666666666663</v>
      </c>
      <c r="I18" s="10">
        <f t="shared" si="0"/>
        <v>7.638888888888884E-2</v>
      </c>
      <c r="J18" s="11">
        <v>3</v>
      </c>
      <c r="K18" s="11">
        <v>5</v>
      </c>
      <c r="L18" s="16">
        <f t="shared" si="1"/>
        <v>0.90909090909090962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2229</v>
      </c>
      <c r="F19" s="8" t="s">
        <v>42</v>
      </c>
      <c r="G19" s="9">
        <v>0.46527777777777779</v>
      </c>
      <c r="H19" s="9">
        <v>0.50694444444444442</v>
      </c>
      <c r="I19" s="10">
        <f t="shared" si="0"/>
        <v>4.166666666666663E-2</v>
      </c>
      <c r="J19" s="11">
        <v>2</v>
      </c>
      <c r="K19" s="11">
        <v>22</v>
      </c>
      <c r="L19" s="16">
        <f t="shared" si="1"/>
        <v>11.000000000000009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2230</v>
      </c>
      <c r="F20" s="8" t="s">
        <v>42</v>
      </c>
      <c r="G20" s="9">
        <v>0.51041666666666663</v>
      </c>
      <c r="H20" s="9">
        <v>0.53472222222222221</v>
      </c>
      <c r="I20" s="10">
        <f t="shared" si="0"/>
        <v>2.430555555555558E-2</v>
      </c>
      <c r="J20" s="11">
        <v>2</v>
      </c>
      <c r="K20" s="11">
        <v>13</v>
      </c>
      <c r="L20" s="16">
        <f t="shared" si="1"/>
        <v>11.142857142857132</v>
      </c>
      <c r="M20" s="11"/>
      <c r="N20" s="11"/>
      <c r="O20" s="11"/>
      <c r="P20" s="11"/>
      <c r="Q20" s="11"/>
      <c r="R20" s="12"/>
      <c r="S20" s="12">
        <v>35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240</v>
      </c>
      <c r="F21" s="8" t="s">
        <v>42</v>
      </c>
      <c r="G21" s="9">
        <v>0.52083333333333337</v>
      </c>
      <c r="H21" s="9">
        <v>0.58333333333333337</v>
      </c>
      <c r="I21" s="10">
        <f t="shared" si="0"/>
        <v>6.25E-2</v>
      </c>
      <c r="J21" s="11">
        <v>6</v>
      </c>
      <c r="K21" s="11">
        <v>336.46</v>
      </c>
      <c r="L21" s="16">
        <f t="shared" si="1"/>
        <v>37.384444444444441</v>
      </c>
      <c r="M21" s="11"/>
      <c r="N21" s="11"/>
      <c r="O21" s="11"/>
      <c r="P21" s="11"/>
      <c r="Q21" s="11"/>
      <c r="R21" s="12"/>
      <c r="S21" s="12">
        <v>90</v>
      </c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30" t="s">
        <v>2069</v>
      </c>
      <c r="E22" s="15" t="s">
        <v>2231</v>
      </c>
      <c r="F22" s="8" t="s">
        <v>42</v>
      </c>
      <c r="G22" s="9">
        <v>0.52083333333333337</v>
      </c>
      <c r="H22" s="9">
        <v>0.55555555555555558</v>
      </c>
      <c r="I22" s="10">
        <f t="shared" si="0"/>
        <v>3.472222222222221E-2</v>
      </c>
      <c r="J22" s="11">
        <v>4</v>
      </c>
      <c r="K22" s="11">
        <v>17</v>
      </c>
      <c r="L22" s="16">
        <f t="shared" si="1"/>
        <v>5.1000000000000023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 t="s">
        <v>1432</v>
      </c>
      <c r="E23" s="15" t="s">
        <v>1677</v>
      </c>
      <c r="F23" s="8" t="s">
        <v>42</v>
      </c>
      <c r="G23" s="9">
        <v>0.58333333333333337</v>
      </c>
      <c r="H23" s="9">
        <v>0.625</v>
      </c>
      <c r="I23" s="10">
        <f t="shared" si="0"/>
        <v>4.166666666666663E-2</v>
      </c>
      <c r="J23" s="11">
        <v>2</v>
      </c>
      <c r="K23" s="27">
        <v>540</v>
      </c>
      <c r="L23" s="16">
        <f t="shared" si="1"/>
        <v>270.00000000000023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 t="s">
        <v>2232</v>
      </c>
      <c r="F24" s="8" t="s">
        <v>42</v>
      </c>
      <c r="G24" s="9">
        <v>0.58680555555555558</v>
      </c>
      <c r="H24" s="9">
        <v>0.61111111111111116</v>
      </c>
      <c r="I24" s="10">
        <f t="shared" si="0"/>
        <v>2.430555555555558E-2</v>
      </c>
      <c r="J24" s="11">
        <v>10</v>
      </c>
      <c r="K24" s="27">
        <v>294</v>
      </c>
      <c r="L24" s="16">
        <f t="shared" si="1"/>
        <v>50.399999999999949</v>
      </c>
      <c r="M24" s="11"/>
      <c r="N24" s="11"/>
      <c r="O24" s="11"/>
      <c r="P24" s="11"/>
      <c r="Q24" s="11"/>
      <c r="R24" s="12"/>
      <c r="S24" s="12">
        <v>35</v>
      </c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 t="s">
        <v>96</v>
      </c>
      <c r="F25" s="8" t="s">
        <v>42</v>
      </c>
      <c r="G25" s="9">
        <v>0.61111111111111116</v>
      </c>
      <c r="H25" s="9">
        <v>0.625</v>
      </c>
      <c r="I25" s="10">
        <f t="shared" si="0"/>
        <v>1.388888888888884E-2</v>
      </c>
      <c r="J25" s="11"/>
      <c r="K25" s="11"/>
      <c r="L25" s="16" t="str">
        <f t="shared" si="1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15"/>
      <c r="F26" s="8" t="s">
        <v>42</v>
      </c>
      <c r="G26" s="9"/>
      <c r="H26" s="9"/>
      <c r="I26" s="10">
        <f t="shared" si="0"/>
        <v>0</v>
      </c>
      <c r="J26" s="11"/>
      <c r="K26" s="11"/>
      <c r="L26" s="16" t="str">
        <f t="shared" si="1"/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15"/>
      <c r="F27" s="8" t="s">
        <v>42</v>
      </c>
      <c r="G27" s="9"/>
      <c r="H27" s="9"/>
      <c r="I27" s="10">
        <f t="shared" si="0"/>
        <v>0</v>
      </c>
      <c r="J27" s="11"/>
      <c r="K27" s="11"/>
      <c r="L27" s="16" t="str">
        <f t="shared" si="1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s="28" customFormat="1" ht="25.05" customHeight="1">
      <c r="A28" s="2"/>
      <c r="B28" s="21"/>
      <c r="C28" s="22"/>
      <c r="D28" s="23"/>
      <c r="E28" s="24"/>
      <c r="F28" s="24"/>
      <c r="G28" s="25"/>
      <c r="H28" s="25"/>
      <c r="I28" s="26"/>
      <c r="J28" s="27"/>
      <c r="K28" s="27">
        <f t="shared" ref="K28:AL28" si="2">SUM(K4:K25)</f>
        <v>1777.6</v>
      </c>
      <c r="L28" s="39">
        <f t="shared" si="2"/>
        <v>1071.1382558504313</v>
      </c>
      <c r="M28" s="27">
        <f t="shared" si="2"/>
        <v>0</v>
      </c>
      <c r="N28" s="27">
        <f t="shared" si="2"/>
        <v>0</v>
      </c>
      <c r="O28" s="27">
        <f t="shared" si="2"/>
        <v>0</v>
      </c>
      <c r="P28" s="27">
        <f t="shared" si="2"/>
        <v>0</v>
      </c>
      <c r="Q28" s="27">
        <f t="shared" si="2"/>
        <v>0</v>
      </c>
      <c r="R28" s="27">
        <f t="shared" si="2"/>
        <v>0</v>
      </c>
      <c r="S28" s="27">
        <f t="shared" si="2"/>
        <v>365</v>
      </c>
      <c r="T28" s="27">
        <f t="shared" si="2"/>
        <v>0</v>
      </c>
      <c r="U28" s="27">
        <f t="shared" si="2"/>
        <v>0</v>
      </c>
      <c r="V28" s="27">
        <f t="shared" si="2"/>
        <v>0</v>
      </c>
      <c r="W28" s="27">
        <f t="shared" si="2"/>
        <v>0</v>
      </c>
      <c r="X28" s="27">
        <f t="shared" si="2"/>
        <v>0</v>
      </c>
      <c r="Y28" s="27">
        <f t="shared" si="2"/>
        <v>0</v>
      </c>
      <c r="Z28" s="27">
        <f t="shared" si="2"/>
        <v>0</v>
      </c>
      <c r="AA28" s="27">
        <f t="shared" si="2"/>
        <v>0</v>
      </c>
      <c r="AB28" s="27">
        <f t="shared" si="2"/>
        <v>0</v>
      </c>
      <c r="AC28" s="27">
        <f t="shared" si="2"/>
        <v>0</v>
      </c>
      <c r="AD28" s="27">
        <f t="shared" si="2"/>
        <v>0</v>
      </c>
      <c r="AE28" s="27">
        <f t="shared" si="2"/>
        <v>0</v>
      </c>
      <c r="AF28" s="27">
        <f t="shared" si="2"/>
        <v>0</v>
      </c>
      <c r="AG28" s="27">
        <f t="shared" si="2"/>
        <v>0</v>
      </c>
      <c r="AH28" s="27">
        <f t="shared" si="2"/>
        <v>0</v>
      </c>
      <c r="AI28" s="27">
        <f t="shared" si="2"/>
        <v>0</v>
      </c>
      <c r="AJ28" s="27">
        <f t="shared" si="2"/>
        <v>0</v>
      </c>
      <c r="AK28" s="27">
        <f t="shared" si="2"/>
        <v>0</v>
      </c>
      <c r="AL28" s="27">
        <f t="shared" si="2"/>
        <v>0</v>
      </c>
    </row>
    <row r="29" spans="1:38" ht="25.05" customHeight="1">
      <c r="B29" s="13">
        <v>46091</v>
      </c>
      <c r="C29" s="14" t="s">
        <v>43</v>
      </c>
      <c r="D29" s="6"/>
      <c r="E29" s="7" t="s">
        <v>41</v>
      </c>
      <c r="F29" s="8" t="s">
        <v>42</v>
      </c>
      <c r="G29" s="9">
        <v>0.29166666666666669</v>
      </c>
      <c r="H29" s="9">
        <v>0.33333333333333331</v>
      </c>
      <c r="I29" s="10">
        <f t="shared" ref="I29:I33" si="3">H29-G29</f>
        <v>4.166666666666663E-2</v>
      </c>
      <c r="J29" s="11">
        <v>3</v>
      </c>
      <c r="K29" s="62" t="s">
        <v>42</v>
      </c>
      <c r="L29" s="64" t="s">
        <v>42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6" t="s">
        <v>1432</v>
      </c>
      <c r="E30" s="19" t="s">
        <v>1537</v>
      </c>
      <c r="F30" s="8" t="s">
        <v>42</v>
      </c>
      <c r="G30" s="9">
        <v>0.34027777777777779</v>
      </c>
      <c r="H30" s="9">
        <v>0.49305555555555558</v>
      </c>
      <c r="I30" s="10">
        <f t="shared" si="3"/>
        <v>0.15277777777777779</v>
      </c>
      <c r="J30" s="11">
        <v>12</v>
      </c>
      <c r="K30" s="11">
        <v>352</v>
      </c>
      <c r="L30" s="16">
        <f t="shared" ref="L30:L33" si="4">IFERROR(((K30/(J30*I30)/24)),"0")</f>
        <v>7.9999999999999991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4"/>
      <c r="D31" s="86" t="s">
        <v>42</v>
      </c>
      <c r="E31" s="86" t="s">
        <v>42</v>
      </c>
      <c r="F31" s="8" t="s">
        <v>42</v>
      </c>
      <c r="G31" s="9">
        <v>0.49305555555555558</v>
      </c>
      <c r="H31" s="9">
        <v>0.5</v>
      </c>
      <c r="I31" s="10">
        <f t="shared" si="3"/>
        <v>6.9444444444444198E-3</v>
      </c>
      <c r="J31" s="11">
        <v>12</v>
      </c>
      <c r="K31" s="62" t="s">
        <v>42</v>
      </c>
      <c r="L31" s="64" t="s">
        <v>42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5.05" customHeight="1">
      <c r="B32" s="13"/>
      <c r="C32" s="14"/>
      <c r="D32" s="6" t="s">
        <v>1432</v>
      </c>
      <c r="E32" s="19" t="s">
        <v>1537</v>
      </c>
      <c r="F32" s="8" t="s">
        <v>42</v>
      </c>
      <c r="G32" s="9">
        <v>0.54166666666666663</v>
      </c>
      <c r="H32" s="9">
        <v>0.72916666666666663</v>
      </c>
      <c r="I32" s="10">
        <f t="shared" si="3"/>
        <v>0.1875</v>
      </c>
      <c r="J32" s="11">
        <v>12</v>
      </c>
      <c r="K32" s="11">
        <v>352</v>
      </c>
      <c r="L32" s="16">
        <f t="shared" si="4"/>
        <v>6.518518518518519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25.05" customHeight="1">
      <c r="B33" s="13"/>
      <c r="C33" s="14"/>
      <c r="D33" s="18"/>
      <c r="E33" s="6"/>
      <c r="F33" s="8" t="s">
        <v>42</v>
      </c>
      <c r="G33" s="9"/>
      <c r="H33" s="9"/>
      <c r="I33" s="10">
        <f t="shared" si="3"/>
        <v>0</v>
      </c>
      <c r="J33" s="11"/>
      <c r="K33" s="11"/>
      <c r="L33" s="16" t="str">
        <f t="shared" si="4"/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s="28" customFormat="1" ht="25.05" customHeight="1">
      <c r="A34" s="2"/>
      <c r="B34" s="21"/>
      <c r="C34" s="22"/>
      <c r="D34" s="23"/>
      <c r="E34" s="24"/>
      <c r="F34" s="22"/>
      <c r="G34" s="25"/>
      <c r="H34" s="25"/>
      <c r="I34" s="26"/>
      <c r="J34" s="27"/>
      <c r="K34" s="27">
        <f t="shared" ref="K34:AL34" si="5">SUM(K29:K33)</f>
        <v>704</v>
      </c>
      <c r="L34" s="27">
        <f t="shared" si="5"/>
        <v>14.518518518518519</v>
      </c>
      <c r="M34" s="27">
        <f t="shared" si="5"/>
        <v>0</v>
      </c>
      <c r="N34" s="27">
        <f t="shared" si="5"/>
        <v>0</v>
      </c>
      <c r="O34" s="27">
        <f t="shared" si="5"/>
        <v>0</v>
      </c>
      <c r="P34" s="27">
        <f t="shared" si="5"/>
        <v>0</v>
      </c>
      <c r="Q34" s="27">
        <f t="shared" si="5"/>
        <v>0</v>
      </c>
      <c r="R34" s="27">
        <f t="shared" si="5"/>
        <v>0</v>
      </c>
      <c r="S34" s="27">
        <f t="shared" si="5"/>
        <v>0</v>
      </c>
      <c r="T34" s="27">
        <f t="shared" si="5"/>
        <v>0</v>
      </c>
      <c r="U34" s="27">
        <f t="shared" si="5"/>
        <v>0</v>
      </c>
      <c r="V34" s="27">
        <f t="shared" si="5"/>
        <v>0</v>
      </c>
      <c r="W34" s="27">
        <f t="shared" si="5"/>
        <v>0</v>
      </c>
      <c r="X34" s="27">
        <f t="shared" si="5"/>
        <v>0</v>
      </c>
      <c r="Y34" s="27">
        <f t="shared" si="5"/>
        <v>0</v>
      </c>
      <c r="Z34" s="27">
        <f t="shared" si="5"/>
        <v>0</v>
      </c>
      <c r="AA34" s="27">
        <f t="shared" si="5"/>
        <v>0</v>
      </c>
      <c r="AB34" s="27">
        <f t="shared" si="5"/>
        <v>0</v>
      </c>
      <c r="AC34" s="27">
        <f t="shared" si="5"/>
        <v>0</v>
      </c>
      <c r="AD34" s="27">
        <f t="shared" si="5"/>
        <v>0</v>
      </c>
      <c r="AE34" s="27">
        <f t="shared" si="5"/>
        <v>0</v>
      </c>
      <c r="AF34" s="27">
        <f t="shared" si="5"/>
        <v>0</v>
      </c>
      <c r="AG34" s="27">
        <f t="shared" si="5"/>
        <v>0</v>
      </c>
      <c r="AH34" s="27">
        <f t="shared" si="5"/>
        <v>0</v>
      </c>
      <c r="AI34" s="27">
        <f t="shared" si="5"/>
        <v>0</v>
      </c>
      <c r="AJ34" s="27">
        <f t="shared" si="5"/>
        <v>0</v>
      </c>
      <c r="AK34" s="27">
        <f t="shared" si="5"/>
        <v>0</v>
      </c>
      <c r="AL34" s="27">
        <f t="shared" si="5"/>
        <v>0</v>
      </c>
    </row>
    <row r="35" spans="1:38" ht="25.05" customHeight="1">
      <c r="B35" s="13">
        <v>46091</v>
      </c>
      <c r="C35" s="29" t="s">
        <v>44</v>
      </c>
      <c r="D35" s="30"/>
      <c r="E35" s="7" t="s">
        <v>41</v>
      </c>
      <c r="F35" s="8" t="s">
        <v>42</v>
      </c>
      <c r="G35" s="9">
        <v>0.29166666666666669</v>
      </c>
      <c r="H35" s="9">
        <v>0.2986111111111111</v>
      </c>
      <c r="I35" s="10">
        <f t="shared" ref="I35:I97" si="6">H35-G35</f>
        <v>6.9444444444444198E-3</v>
      </c>
      <c r="J35" s="11">
        <v>4</v>
      </c>
      <c r="K35" s="62" t="s">
        <v>42</v>
      </c>
      <c r="L35" s="64" t="s">
        <v>42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1:38" ht="25.05" customHeight="1">
      <c r="B36" s="13"/>
      <c r="C36" s="29"/>
      <c r="D36" s="30" t="s">
        <v>2219</v>
      </c>
      <c r="E36" s="19" t="s">
        <v>918</v>
      </c>
      <c r="F36" s="8" t="s">
        <v>42</v>
      </c>
      <c r="G36" s="9">
        <v>0.34375</v>
      </c>
      <c r="H36" s="9">
        <v>0.34652777777777777</v>
      </c>
      <c r="I36" s="10">
        <f t="shared" si="6"/>
        <v>2.7777777777777679E-3</v>
      </c>
      <c r="J36" s="11">
        <v>4</v>
      </c>
      <c r="K36" s="11">
        <v>53.06</v>
      </c>
      <c r="L36" s="16">
        <f t="shared" ref="L36:L98" si="7">IFERROR(((K36/(J36*I36)/24)),"0")</f>
        <v>198.9750000000007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3</v>
      </c>
      <c r="W36" s="12"/>
      <c r="X36" s="11"/>
      <c r="Y36" s="11"/>
      <c r="Z36" s="11"/>
      <c r="AA36" s="11"/>
      <c r="AB36" s="11"/>
      <c r="AC36" s="11">
        <v>4</v>
      </c>
      <c r="AD36" s="11"/>
      <c r="AE36" s="11"/>
      <c r="AF36" s="11"/>
      <c r="AG36" s="11"/>
      <c r="AH36" s="11"/>
      <c r="AI36" s="11"/>
      <c r="AJ36" s="11"/>
      <c r="AK36" s="11"/>
      <c r="AL36" s="14"/>
    </row>
    <row r="37" spans="1:38" ht="25.05" customHeight="1">
      <c r="B37" s="13"/>
      <c r="C37" s="29"/>
      <c r="D37" s="30"/>
      <c r="E37" s="19" t="s">
        <v>919</v>
      </c>
      <c r="F37" s="8" t="s">
        <v>42</v>
      </c>
      <c r="G37" s="9">
        <v>0.35347222222222224</v>
      </c>
      <c r="H37" s="9">
        <v>0.35625000000000001</v>
      </c>
      <c r="I37" s="10">
        <f t="shared" si="6"/>
        <v>2.7777777777777679E-3</v>
      </c>
      <c r="J37" s="11">
        <v>4</v>
      </c>
      <c r="K37" s="11">
        <v>48.82</v>
      </c>
      <c r="L37" s="16">
        <f t="shared" si="7"/>
        <v>183.07500000000064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3</v>
      </c>
      <c r="X37" s="11"/>
      <c r="Y37" s="11"/>
      <c r="Z37" s="11"/>
      <c r="AA37" s="11"/>
      <c r="AB37" s="11">
        <v>4</v>
      </c>
      <c r="AC37" s="11"/>
      <c r="AD37" s="11">
        <v>4</v>
      </c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/>
      <c r="E38" s="19" t="s">
        <v>920</v>
      </c>
      <c r="F38" s="8" t="s">
        <v>42</v>
      </c>
      <c r="G38" s="9">
        <v>0.35972222222222222</v>
      </c>
      <c r="H38" s="9">
        <v>0.36249999999999999</v>
      </c>
      <c r="I38" s="10">
        <f t="shared" si="6"/>
        <v>2.7777777777777679E-3</v>
      </c>
      <c r="J38" s="11">
        <v>4</v>
      </c>
      <c r="K38" s="11">
        <v>50.24</v>
      </c>
      <c r="L38" s="16">
        <f t="shared" si="7"/>
        <v>188.40000000000066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3</v>
      </c>
      <c r="W38" s="12"/>
      <c r="X38" s="11"/>
      <c r="Y38" s="11"/>
      <c r="Z38" s="11"/>
      <c r="AA38" s="11"/>
      <c r="AB38" s="11"/>
      <c r="AC38" s="11">
        <v>4</v>
      </c>
      <c r="AD38" s="11"/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 t="s">
        <v>921</v>
      </c>
      <c r="F39" s="8" t="s">
        <v>42</v>
      </c>
      <c r="G39" s="9">
        <v>0.36249999999999999</v>
      </c>
      <c r="H39" s="9">
        <v>0.36527777777777776</v>
      </c>
      <c r="I39" s="10">
        <f t="shared" si="6"/>
        <v>2.7777777777777679E-3</v>
      </c>
      <c r="J39" s="11">
        <v>4</v>
      </c>
      <c r="K39" s="11">
        <v>48.14</v>
      </c>
      <c r="L39" s="16">
        <f t="shared" si="7"/>
        <v>180.52500000000066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3</v>
      </c>
      <c r="W39" s="12"/>
      <c r="X39" s="11"/>
      <c r="Y39" s="11"/>
      <c r="Z39" s="11"/>
      <c r="AA39" s="11"/>
      <c r="AB39" s="11">
        <v>4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 t="s">
        <v>922</v>
      </c>
      <c r="F40" s="8" t="s">
        <v>42</v>
      </c>
      <c r="G40" s="9">
        <v>0.36458333333333331</v>
      </c>
      <c r="H40" s="9">
        <v>0.36736111111111114</v>
      </c>
      <c r="I40" s="10">
        <f t="shared" si="6"/>
        <v>2.7777777777778234E-3</v>
      </c>
      <c r="J40" s="11">
        <v>4</v>
      </c>
      <c r="K40" s="11">
        <v>49.5</v>
      </c>
      <c r="L40" s="16">
        <f t="shared" si="7"/>
        <v>185.62499999999696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3</v>
      </c>
      <c r="W40" s="12"/>
      <c r="X40" s="11"/>
      <c r="Y40" s="11"/>
      <c r="Z40" s="11"/>
      <c r="AA40" s="11"/>
      <c r="AB40" s="11"/>
      <c r="AC40" s="11"/>
      <c r="AD40" s="11">
        <v>4</v>
      </c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923</v>
      </c>
      <c r="F41" s="8" t="s">
        <v>42</v>
      </c>
      <c r="G41" s="9">
        <v>0.36944444444444446</v>
      </c>
      <c r="H41" s="9">
        <v>0.37222222222222223</v>
      </c>
      <c r="I41" s="10">
        <f t="shared" si="6"/>
        <v>2.7777777777777679E-3</v>
      </c>
      <c r="J41" s="11">
        <v>4</v>
      </c>
      <c r="K41" s="11">
        <v>49.5</v>
      </c>
      <c r="L41" s="16">
        <f t="shared" si="7"/>
        <v>185.62500000000065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3</v>
      </c>
      <c r="X41" s="11"/>
      <c r="Y41" s="11"/>
      <c r="Z41" s="11"/>
      <c r="AA41" s="11"/>
      <c r="AB41" s="11"/>
      <c r="AC41" s="11">
        <v>4</v>
      </c>
      <c r="AD41" s="11"/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924</v>
      </c>
      <c r="F42" s="8" t="s">
        <v>42</v>
      </c>
      <c r="G42" s="9">
        <v>0.37638888888888888</v>
      </c>
      <c r="H42" s="9">
        <v>0.37916666666666665</v>
      </c>
      <c r="I42" s="10">
        <f t="shared" si="6"/>
        <v>2.7777777777777679E-3</v>
      </c>
      <c r="J42" s="11">
        <v>4</v>
      </c>
      <c r="K42" s="11">
        <v>49.9</v>
      </c>
      <c r="L42" s="16">
        <f t="shared" si="7"/>
        <v>187.12500000000065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3</v>
      </c>
      <c r="W42" s="12"/>
      <c r="X42" s="11"/>
      <c r="Y42" s="11"/>
      <c r="Z42" s="11"/>
      <c r="AA42" s="11"/>
      <c r="AB42" s="11"/>
      <c r="AC42" s="11"/>
      <c r="AD42" s="11">
        <v>4</v>
      </c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 t="s">
        <v>925</v>
      </c>
      <c r="F43" s="8" t="s">
        <v>42</v>
      </c>
      <c r="G43" s="9">
        <v>0.38124999999999998</v>
      </c>
      <c r="H43" s="9">
        <v>0.3840277777777778</v>
      </c>
      <c r="I43" s="10">
        <f t="shared" si="6"/>
        <v>2.7777777777778234E-3</v>
      </c>
      <c r="J43" s="11">
        <v>4</v>
      </c>
      <c r="K43" s="11">
        <v>49.9</v>
      </c>
      <c r="L43" s="16">
        <f t="shared" si="7"/>
        <v>187.12499999999693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3</v>
      </c>
      <c r="W43" s="12"/>
      <c r="X43" s="11"/>
      <c r="Y43" s="11"/>
      <c r="Z43" s="11"/>
      <c r="AA43" s="11"/>
      <c r="AB43" s="11">
        <v>4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932</v>
      </c>
      <c r="F44" s="8" t="s">
        <v>42</v>
      </c>
      <c r="G44" s="9">
        <v>0.38750000000000001</v>
      </c>
      <c r="H44" s="9">
        <v>0.39027777777777778</v>
      </c>
      <c r="I44" s="10">
        <f t="shared" si="6"/>
        <v>2.7777777777777679E-3</v>
      </c>
      <c r="J44" s="11">
        <v>4</v>
      </c>
      <c r="K44" s="11">
        <v>50.96</v>
      </c>
      <c r="L44" s="16">
        <f t="shared" si="7"/>
        <v>191.10000000000068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3</v>
      </c>
      <c r="X44" s="11"/>
      <c r="Y44" s="11"/>
      <c r="Z44" s="11"/>
      <c r="AA44" s="11"/>
      <c r="AB44" s="11"/>
      <c r="AC44" s="11">
        <v>4</v>
      </c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933</v>
      </c>
      <c r="F45" s="8" t="s">
        <v>42</v>
      </c>
      <c r="G45" s="9">
        <v>0.3923611111111111</v>
      </c>
      <c r="H45" s="9">
        <v>0.39513888888888887</v>
      </c>
      <c r="I45" s="10">
        <f t="shared" si="6"/>
        <v>2.7777777777777679E-3</v>
      </c>
      <c r="J45" s="11">
        <v>4</v>
      </c>
      <c r="K45" s="11">
        <v>48.52</v>
      </c>
      <c r="L45" s="16">
        <f t="shared" si="7"/>
        <v>181.95000000000064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3</v>
      </c>
      <c r="X45" s="11"/>
      <c r="Y45" s="11"/>
      <c r="Z45" s="11"/>
      <c r="AA45" s="11"/>
      <c r="AB45" s="11">
        <v>4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934</v>
      </c>
      <c r="F46" s="8" t="s">
        <v>42</v>
      </c>
      <c r="G46" s="9">
        <v>0.39791666666666664</v>
      </c>
      <c r="H46" s="9">
        <v>0.40069444444444446</v>
      </c>
      <c r="I46" s="10">
        <f t="shared" si="6"/>
        <v>2.7777777777778234E-3</v>
      </c>
      <c r="J46" s="11">
        <v>4</v>
      </c>
      <c r="K46" s="11">
        <v>48.82</v>
      </c>
      <c r="L46" s="16">
        <f t="shared" si="7"/>
        <v>183.07499999999698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3</v>
      </c>
      <c r="X46" s="11"/>
      <c r="Y46" s="11"/>
      <c r="Z46" s="11"/>
      <c r="AA46" s="11"/>
      <c r="AB46" s="11"/>
      <c r="AC46" s="11"/>
      <c r="AD46" s="11">
        <v>4</v>
      </c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 t="s">
        <v>935</v>
      </c>
      <c r="F47" s="8" t="s">
        <v>42</v>
      </c>
      <c r="G47" s="9">
        <v>0.40277777777777779</v>
      </c>
      <c r="H47" s="9">
        <v>0.40555555555555556</v>
      </c>
      <c r="I47" s="10">
        <f t="shared" si="6"/>
        <v>2.7777777777777679E-3</v>
      </c>
      <c r="J47" s="11">
        <v>4</v>
      </c>
      <c r="K47" s="11">
        <v>49.68</v>
      </c>
      <c r="L47" s="16">
        <f t="shared" si="7"/>
        <v>186.30000000000067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3</v>
      </c>
      <c r="X47" s="11"/>
      <c r="Y47" s="11"/>
      <c r="Z47" s="11"/>
      <c r="AA47" s="11"/>
      <c r="AB47" s="11"/>
      <c r="AC47" s="11">
        <v>4</v>
      </c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 t="s">
        <v>706</v>
      </c>
      <c r="F48" s="8" t="s">
        <v>42</v>
      </c>
      <c r="G48" s="9">
        <v>0.40833333333333333</v>
      </c>
      <c r="H48" s="9">
        <v>0.41111111111111109</v>
      </c>
      <c r="I48" s="10">
        <f t="shared" si="6"/>
        <v>2.7777777777777679E-3</v>
      </c>
      <c r="J48" s="11">
        <v>4</v>
      </c>
      <c r="K48" s="11">
        <v>52.06</v>
      </c>
      <c r="L48" s="16">
        <f t="shared" si="7"/>
        <v>195.2250000000007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3</v>
      </c>
      <c r="X48" s="11"/>
      <c r="Y48" s="11"/>
      <c r="Z48" s="11"/>
      <c r="AA48" s="11"/>
      <c r="AB48" s="11">
        <v>4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707</v>
      </c>
      <c r="F49" s="8" t="s">
        <v>42</v>
      </c>
      <c r="G49" s="9">
        <v>0.41597222222222224</v>
      </c>
      <c r="H49" s="9">
        <v>0.41875000000000001</v>
      </c>
      <c r="I49" s="10">
        <f t="shared" si="6"/>
        <v>2.7777777777777679E-3</v>
      </c>
      <c r="J49" s="11">
        <v>4</v>
      </c>
      <c r="K49" s="11">
        <v>51.52</v>
      </c>
      <c r="L49" s="16">
        <f t="shared" si="7"/>
        <v>193.2000000000007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3</v>
      </c>
      <c r="W49" s="12"/>
      <c r="X49" s="11"/>
      <c r="Y49" s="11"/>
      <c r="Z49" s="11"/>
      <c r="AA49" s="11"/>
      <c r="AB49" s="11"/>
      <c r="AC49" s="11"/>
      <c r="AD49" s="11">
        <v>4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708</v>
      </c>
      <c r="F50" s="8" t="s">
        <v>42</v>
      </c>
      <c r="G50" s="9">
        <v>0.4236111111111111</v>
      </c>
      <c r="H50" s="9">
        <v>0.42638888888888887</v>
      </c>
      <c r="I50" s="10">
        <f t="shared" si="6"/>
        <v>2.7777777777777679E-3</v>
      </c>
      <c r="J50" s="11">
        <v>4</v>
      </c>
      <c r="K50" s="11">
        <v>64.08</v>
      </c>
      <c r="L50" s="16">
        <f t="shared" si="7"/>
        <v>240.30000000000086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3</v>
      </c>
      <c r="W50" s="12"/>
      <c r="X50" s="11"/>
      <c r="Y50" s="11"/>
      <c r="Z50" s="11"/>
      <c r="AA50" s="11"/>
      <c r="AB50" s="11"/>
      <c r="AC50" s="11">
        <v>4</v>
      </c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709</v>
      </c>
      <c r="F51" s="8" t="s">
        <v>42</v>
      </c>
      <c r="G51" s="9">
        <v>0.43055555555555558</v>
      </c>
      <c r="H51" s="9">
        <v>0.43333333333333335</v>
      </c>
      <c r="I51" s="10">
        <f t="shared" si="6"/>
        <v>2.7777777777777679E-3</v>
      </c>
      <c r="J51" s="11">
        <v>4</v>
      </c>
      <c r="K51" s="11">
        <v>65.84</v>
      </c>
      <c r="L51" s="16">
        <f t="shared" si="7"/>
        <v>246.90000000000089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3</v>
      </c>
      <c r="W51" s="12"/>
      <c r="X51" s="11"/>
      <c r="Y51" s="11"/>
      <c r="Z51" s="11"/>
      <c r="AA51" s="11"/>
      <c r="AB51" s="11">
        <v>4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2233</v>
      </c>
      <c r="F52" s="8" t="s">
        <v>42</v>
      </c>
      <c r="G52" s="9">
        <v>0.43680555555555556</v>
      </c>
      <c r="H52" s="9">
        <v>0.43958333333333333</v>
      </c>
      <c r="I52" s="10">
        <f t="shared" si="6"/>
        <v>2.7777777777777679E-3</v>
      </c>
      <c r="J52" s="11">
        <v>4</v>
      </c>
      <c r="K52" s="11">
        <v>59.96</v>
      </c>
      <c r="L52" s="16">
        <f t="shared" si="7"/>
        <v>224.85000000000082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3</v>
      </c>
      <c r="W52" s="12"/>
      <c r="X52" s="11"/>
      <c r="Y52" s="11"/>
      <c r="Z52" s="11"/>
      <c r="AA52" s="11"/>
      <c r="AB52" s="11"/>
      <c r="AC52" s="11"/>
      <c r="AD52" s="11">
        <v>4</v>
      </c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2234</v>
      </c>
      <c r="F53" s="8" t="s">
        <v>42</v>
      </c>
      <c r="G53" s="9">
        <v>0.31597222222222221</v>
      </c>
      <c r="H53" s="9">
        <v>0.32569444444444445</v>
      </c>
      <c r="I53" s="10">
        <f t="shared" si="6"/>
        <v>9.7222222222222432E-3</v>
      </c>
      <c r="J53" s="11">
        <v>4</v>
      </c>
      <c r="K53" s="11">
        <v>47.9</v>
      </c>
      <c r="L53" s="16">
        <f t="shared" si="7"/>
        <v>51.321428571428463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/>
      <c r="AB53" s="11"/>
      <c r="AC53" s="11">
        <v>14</v>
      </c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/>
      <c r="F54" s="19"/>
      <c r="G54" s="19"/>
      <c r="H54" s="19"/>
      <c r="I54" s="19"/>
      <c r="J54" s="19"/>
      <c r="K54" s="19"/>
      <c r="L54" s="19"/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6" t="s">
        <v>1432</v>
      </c>
      <c r="E55" s="19" t="s">
        <v>1444</v>
      </c>
      <c r="F55" s="8" t="s">
        <v>42</v>
      </c>
      <c r="G55" s="9">
        <v>0.35486111111111113</v>
      </c>
      <c r="H55" s="9">
        <v>0.3659722222222222</v>
      </c>
      <c r="I55" s="10">
        <f t="shared" si="6"/>
        <v>1.1111111111111072E-2</v>
      </c>
      <c r="J55" s="11">
        <v>4</v>
      </c>
      <c r="K55" s="11">
        <v>66.3</v>
      </c>
      <c r="L55" s="16">
        <f t="shared" si="7"/>
        <v>62.15625000000022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/>
      <c r="AB55" s="11"/>
      <c r="AC55" s="11"/>
      <c r="AD55" s="11">
        <v>16</v>
      </c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1445</v>
      </c>
      <c r="F56" s="8" t="s">
        <v>42</v>
      </c>
      <c r="G56" s="9">
        <v>0.37569444444444444</v>
      </c>
      <c r="H56" s="9">
        <v>0.38541666666666669</v>
      </c>
      <c r="I56" s="10">
        <f t="shared" si="6"/>
        <v>9.7222222222222432E-3</v>
      </c>
      <c r="J56" s="11">
        <v>4</v>
      </c>
      <c r="K56" s="11">
        <v>65.84</v>
      </c>
      <c r="L56" s="16">
        <f t="shared" si="7"/>
        <v>70.542857142856988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/>
      <c r="AD56" s="11">
        <v>14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1446</v>
      </c>
      <c r="F57" s="8" t="s">
        <v>42</v>
      </c>
      <c r="G57" s="9">
        <v>0.39166666666666666</v>
      </c>
      <c r="H57" s="9">
        <v>0.4</v>
      </c>
      <c r="I57" s="10">
        <f t="shared" si="6"/>
        <v>8.3333333333333592E-3</v>
      </c>
      <c r="J57" s="11">
        <v>4</v>
      </c>
      <c r="K57" s="11">
        <v>65.98</v>
      </c>
      <c r="L57" s="16">
        <f t="shared" si="7"/>
        <v>82.474999999999753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/>
      <c r="AA57" s="11"/>
      <c r="AB57" s="11"/>
      <c r="AC57" s="11"/>
      <c r="AD57" s="11">
        <v>12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1447</v>
      </c>
      <c r="F58" s="8" t="s">
        <v>42</v>
      </c>
      <c r="G58" s="9">
        <v>0.40902777777777777</v>
      </c>
      <c r="H58" s="9">
        <v>0.41875000000000001</v>
      </c>
      <c r="I58" s="10">
        <f t="shared" si="6"/>
        <v>9.7222222222222432E-3</v>
      </c>
      <c r="J58" s="11">
        <v>4</v>
      </c>
      <c r="K58" s="11">
        <v>66.930000000000007</v>
      </c>
      <c r="L58" s="16">
        <f t="shared" si="7"/>
        <v>71.710714285714133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/>
      <c r="Y58" s="11"/>
      <c r="Z58" s="11"/>
      <c r="AA58" s="11"/>
      <c r="AB58" s="11"/>
      <c r="AC58" s="11"/>
      <c r="AD58" s="11">
        <v>14</v>
      </c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1448</v>
      </c>
      <c r="F59" s="8" t="s">
        <v>42</v>
      </c>
      <c r="G59" s="9">
        <v>0.42499999999999999</v>
      </c>
      <c r="H59" s="9">
        <v>0.43541666666666667</v>
      </c>
      <c r="I59" s="10">
        <f t="shared" si="6"/>
        <v>1.0416666666666685E-2</v>
      </c>
      <c r="J59" s="11">
        <v>4</v>
      </c>
      <c r="K59" s="11">
        <v>67.94</v>
      </c>
      <c r="L59" s="16">
        <f t="shared" si="7"/>
        <v>67.93999999999987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/>
      <c r="Z59" s="11"/>
      <c r="AA59" s="11"/>
      <c r="AB59" s="11"/>
      <c r="AC59" s="11"/>
      <c r="AD59" s="11">
        <v>15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1449</v>
      </c>
      <c r="F60" s="8" t="s">
        <v>42</v>
      </c>
      <c r="G60" s="9">
        <v>0.44236111111111109</v>
      </c>
      <c r="H60" s="9">
        <v>0.45347222222222222</v>
      </c>
      <c r="I60" s="10">
        <f t="shared" si="6"/>
        <v>1.1111111111111127E-2</v>
      </c>
      <c r="J60" s="11">
        <v>4</v>
      </c>
      <c r="K60" s="11">
        <v>66.099999999999994</v>
      </c>
      <c r="L60" s="16">
        <f t="shared" si="7"/>
        <v>61.968749999999908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/>
      <c r="AC60" s="11"/>
      <c r="AD60" s="11">
        <v>16</v>
      </c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71</v>
      </c>
      <c r="F61" s="8" t="s">
        <v>42</v>
      </c>
      <c r="G61" s="9">
        <v>0.37013888888888891</v>
      </c>
      <c r="H61" s="9">
        <v>0.39166666666666666</v>
      </c>
      <c r="I61" s="10">
        <f t="shared" si="6"/>
        <v>2.1527777777777757E-2</v>
      </c>
      <c r="J61" s="11">
        <v>4</v>
      </c>
      <c r="K61" s="11">
        <v>67.78</v>
      </c>
      <c r="L61" s="16">
        <f t="shared" si="7"/>
        <v>32.796774193548423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>
        <v>7.75</v>
      </c>
      <c r="AH61" s="11">
        <v>7.75</v>
      </c>
      <c r="AI61" s="11">
        <v>7.75</v>
      </c>
      <c r="AJ61" s="11">
        <v>7.75</v>
      </c>
      <c r="AK61" s="11"/>
      <c r="AL61" s="14"/>
    </row>
    <row r="62" spans="2:38" ht="25.05" customHeight="1">
      <c r="B62" s="13"/>
      <c r="C62" s="29"/>
      <c r="D62" s="30"/>
      <c r="E62" s="19" t="s">
        <v>72</v>
      </c>
      <c r="F62" s="8" t="s">
        <v>42</v>
      </c>
      <c r="G62" s="9">
        <v>0.39305555555555555</v>
      </c>
      <c r="H62" s="9">
        <v>0.41249999999999998</v>
      </c>
      <c r="I62" s="10">
        <f t="shared" si="6"/>
        <v>1.9444444444444431E-2</v>
      </c>
      <c r="J62" s="11">
        <v>4</v>
      </c>
      <c r="K62" s="11">
        <v>67.599999999999994</v>
      </c>
      <c r="L62" s="16">
        <f t="shared" si="7"/>
        <v>36.214285714285737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2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>
        <v>7</v>
      </c>
      <c r="AH62" s="11">
        <v>7</v>
      </c>
      <c r="AI62" s="11">
        <v>7</v>
      </c>
      <c r="AJ62" s="11">
        <v>7</v>
      </c>
      <c r="AK62" s="11"/>
      <c r="AL62" s="14"/>
    </row>
    <row r="63" spans="2:38" ht="25.05" customHeight="1">
      <c r="B63" s="13"/>
      <c r="C63" s="29"/>
      <c r="D63" s="30"/>
      <c r="E63" s="19" t="s">
        <v>73</v>
      </c>
      <c r="F63" s="8" t="s">
        <v>42</v>
      </c>
      <c r="G63" s="9">
        <v>0.42152777777777778</v>
      </c>
      <c r="H63" s="9">
        <v>0.4375</v>
      </c>
      <c r="I63" s="10">
        <f t="shared" si="6"/>
        <v>1.5972222222222221E-2</v>
      </c>
      <c r="J63" s="11">
        <v>4</v>
      </c>
      <c r="K63" s="11">
        <v>68.06</v>
      </c>
      <c r="L63" s="16">
        <f t="shared" si="7"/>
        <v>44.386956521739137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/>
      <c r="AC63" s="11"/>
      <c r="AD63" s="11"/>
      <c r="AE63" s="11"/>
      <c r="AF63" s="11"/>
      <c r="AG63" s="11">
        <v>5.75</v>
      </c>
      <c r="AH63" s="11">
        <v>5.75</v>
      </c>
      <c r="AI63" s="11">
        <v>5.75</v>
      </c>
      <c r="AJ63" s="11">
        <v>5.75</v>
      </c>
      <c r="AK63" s="11"/>
      <c r="AL63" s="14"/>
    </row>
    <row r="64" spans="2:38" ht="25.05" customHeight="1">
      <c r="B64" s="13"/>
      <c r="C64" s="29"/>
      <c r="D64" s="30"/>
      <c r="E64" s="19" t="s">
        <v>1985</v>
      </c>
      <c r="F64" s="8" t="s">
        <v>42</v>
      </c>
      <c r="G64" s="9">
        <v>0.4777777777777778</v>
      </c>
      <c r="H64" s="9">
        <v>0.49583333333333335</v>
      </c>
      <c r="I64" s="10">
        <f t="shared" si="6"/>
        <v>1.8055555555555547E-2</v>
      </c>
      <c r="J64" s="11">
        <v>4</v>
      </c>
      <c r="K64" s="11">
        <v>67.2</v>
      </c>
      <c r="L64" s="16">
        <f t="shared" si="7"/>
        <v>38.769230769230788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>
        <v>6.5</v>
      </c>
      <c r="AH64" s="11">
        <v>6.5</v>
      </c>
      <c r="AI64" s="11">
        <v>6.5</v>
      </c>
      <c r="AJ64" s="11">
        <v>6.5</v>
      </c>
      <c r="AK64" s="11"/>
      <c r="AL64" s="14"/>
    </row>
    <row r="65" spans="2:38" ht="25.05" customHeight="1">
      <c r="B65" s="13"/>
      <c r="C65" s="29"/>
      <c r="D65" s="30"/>
      <c r="E65" s="19" t="s">
        <v>1986</v>
      </c>
      <c r="F65" s="8" t="s">
        <v>42</v>
      </c>
      <c r="G65" s="9">
        <v>0.56180555555555556</v>
      </c>
      <c r="H65" s="9">
        <v>0.57847222222222228</v>
      </c>
      <c r="I65" s="10">
        <f t="shared" si="6"/>
        <v>1.6666666666666718E-2</v>
      </c>
      <c r="J65" s="11">
        <v>4</v>
      </c>
      <c r="K65" s="11">
        <v>64.86</v>
      </c>
      <c r="L65" s="16">
        <f t="shared" si="7"/>
        <v>40.537499999999874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>
        <v>6</v>
      </c>
      <c r="AH65" s="11">
        <v>6</v>
      </c>
      <c r="AI65" s="11">
        <v>6</v>
      </c>
      <c r="AJ65" s="11">
        <v>6</v>
      </c>
      <c r="AK65" s="11"/>
      <c r="AL65" s="14"/>
    </row>
    <row r="66" spans="2:38" ht="25.05" customHeight="1">
      <c r="B66" s="13"/>
      <c r="C66" s="29"/>
      <c r="D66" s="30"/>
      <c r="E66" s="17" t="s">
        <v>1591</v>
      </c>
      <c r="F66" s="8" t="s">
        <v>42</v>
      </c>
      <c r="G66" s="9">
        <v>0.54722222222222228</v>
      </c>
      <c r="H66" s="9">
        <v>0.56388888888888888</v>
      </c>
      <c r="I66" s="10">
        <f t="shared" si="6"/>
        <v>1.6666666666666607E-2</v>
      </c>
      <c r="J66" s="11">
        <v>4</v>
      </c>
      <c r="K66" s="11">
        <v>93</v>
      </c>
      <c r="L66" s="16">
        <f t="shared" si="7"/>
        <v>58.125000000000206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3</v>
      </c>
      <c r="W66" s="12"/>
      <c r="X66" s="11">
        <v>12</v>
      </c>
      <c r="Y66" s="11"/>
      <c r="Z66" s="11">
        <v>12</v>
      </c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7" t="s">
        <v>1592</v>
      </c>
      <c r="F67" s="8" t="s">
        <v>42</v>
      </c>
      <c r="G67" s="9">
        <v>0.56180555555555556</v>
      </c>
      <c r="H67" s="9">
        <v>0.5805555555555556</v>
      </c>
      <c r="I67" s="10">
        <f t="shared" si="6"/>
        <v>1.8750000000000044E-2</v>
      </c>
      <c r="J67" s="11">
        <v>4</v>
      </c>
      <c r="K67" s="11">
        <v>93</v>
      </c>
      <c r="L67" s="16">
        <f t="shared" si="7"/>
        <v>51.666666666666544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3</v>
      </c>
      <c r="X67" s="11">
        <v>13.5</v>
      </c>
      <c r="Y67" s="11"/>
      <c r="Z67" s="11">
        <v>13.5</v>
      </c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7" t="s">
        <v>1593</v>
      </c>
      <c r="F68" s="8" t="s">
        <v>42</v>
      </c>
      <c r="G68" s="9">
        <v>0.57708333333333328</v>
      </c>
      <c r="H68" s="9">
        <v>0.58750000000000002</v>
      </c>
      <c r="I68" s="10">
        <f t="shared" si="6"/>
        <v>1.0416666666666741E-2</v>
      </c>
      <c r="J68" s="11">
        <v>4</v>
      </c>
      <c r="K68" s="11">
        <v>93</v>
      </c>
      <c r="L68" s="16">
        <f t="shared" si="7"/>
        <v>92.999999999999332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3</v>
      </c>
      <c r="W68" s="12"/>
      <c r="X68" s="11">
        <v>7.5</v>
      </c>
      <c r="Y68" s="11"/>
      <c r="Z68" s="11">
        <v>7.5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7" t="s">
        <v>1594</v>
      </c>
      <c r="F69" s="8" t="s">
        <v>42</v>
      </c>
      <c r="G69" s="9">
        <v>0.60763888888888884</v>
      </c>
      <c r="H69" s="9">
        <v>0.62569444444444444</v>
      </c>
      <c r="I69" s="10">
        <f t="shared" si="6"/>
        <v>1.8055555555555602E-2</v>
      </c>
      <c r="J69" s="11">
        <v>4</v>
      </c>
      <c r="K69" s="11">
        <v>93</v>
      </c>
      <c r="L69" s="16">
        <f t="shared" si="7"/>
        <v>53.653846153846018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3</v>
      </c>
      <c r="X69" s="11">
        <v>13</v>
      </c>
      <c r="Y69" s="11"/>
      <c r="Z69" s="11">
        <v>13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7" t="s">
        <v>1595</v>
      </c>
      <c r="F70" s="8" t="s">
        <v>42</v>
      </c>
      <c r="G70" s="9">
        <v>0.61805555555555558</v>
      </c>
      <c r="H70" s="9">
        <v>0.63749999999999996</v>
      </c>
      <c r="I70" s="10">
        <f t="shared" si="6"/>
        <v>1.9444444444444375E-2</v>
      </c>
      <c r="J70" s="11">
        <v>4</v>
      </c>
      <c r="K70" s="11">
        <v>93</v>
      </c>
      <c r="L70" s="16">
        <f t="shared" si="7"/>
        <v>49.821428571428747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3</v>
      </c>
      <c r="W70" s="12"/>
      <c r="X70" s="11">
        <v>14</v>
      </c>
      <c r="Y70" s="11"/>
      <c r="Z70" s="11">
        <v>14</v>
      </c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7" t="s">
        <v>1725</v>
      </c>
      <c r="F71" s="8" t="s">
        <v>42</v>
      </c>
      <c r="G71" s="9">
        <v>0.67222222222222228</v>
      </c>
      <c r="H71" s="9">
        <v>0.68819444444444444</v>
      </c>
      <c r="I71" s="10">
        <f t="shared" si="6"/>
        <v>1.5972222222222165E-2</v>
      </c>
      <c r="J71" s="11">
        <v>4</v>
      </c>
      <c r="K71" s="11">
        <v>93</v>
      </c>
      <c r="L71" s="16">
        <f t="shared" si="7"/>
        <v>60.652173913043697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3</v>
      </c>
      <c r="X71" s="11">
        <v>11.5</v>
      </c>
      <c r="Y71" s="11"/>
      <c r="Z71" s="11">
        <v>11.5</v>
      </c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7" t="s">
        <v>1726</v>
      </c>
      <c r="F72" s="8" t="s">
        <v>42</v>
      </c>
      <c r="G72" s="9">
        <v>0.68611111111111112</v>
      </c>
      <c r="H72" s="9">
        <v>0.7006944444444444</v>
      </c>
      <c r="I72" s="10">
        <f t="shared" si="6"/>
        <v>1.4583333333333282E-2</v>
      </c>
      <c r="J72" s="11">
        <v>4</v>
      </c>
      <c r="K72" s="11">
        <v>93</v>
      </c>
      <c r="L72" s="16">
        <f t="shared" si="7"/>
        <v>66.428571428571658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3</v>
      </c>
      <c r="W72" s="12"/>
      <c r="X72" s="11">
        <v>10.5</v>
      </c>
      <c r="Y72" s="11"/>
      <c r="Z72" s="11">
        <v>10.5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7" t="s">
        <v>1727</v>
      </c>
      <c r="F73" s="8" t="s">
        <v>42</v>
      </c>
      <c r="G73" s="9">
        <v>0.69444444444444442</v>
      </c>
      <c r="H73" s="9">
        <v>0.71111111111111114</v>
      </c>
      <c r="I73" s="10">
        <f t="shared" si="6"/>
        <v>1.6666666666666718E-2</v>
      </c>
      <c r="J73" s="11">
        <v>4</v>
      </c>
      <c r="K73" s="11">
        <v>120.39</v>
      </c>
      <c r="L73" s="16">
        <f t="shared" si="7"/>
        <v>75.243749999999764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3</v>
      </c>
      <c r="W73" s="12"/>
      <c r="X73" s="11">
        <v>12</v>
      </c>
      <c r="Y73" s="11"/>
      <c r="Z73" s="11">
        <v>12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/>
      <c r="F74" s="19"/>
      <c r="G74" s="19"/>
      <c r="H74" s="19"/>
      <c r="I74" s="19"/>
      <c r="J74" s="19"/>
      <c r="K74" s="19"/>
      <c r="L74" s="19"/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 t="s">
        <v>2219</v>
      </c>
      <c r="E75" s="19" t="s">
        <v>913</v>
      </c>
      <c r="F75" s="8" t="s">
        <v>42</v>
      </c>
      <c r="G75" s="9">
        <v>0.47013888888888888</v>
      </c>
      <c r="H75" s="9">
        <v>0.47291666666666665</v>
      </c>
      <c r="I75" s="10">
        <f t="shared" si="6"/>
        <v>2.7777777777777679E-3</v>
      </c>
      <c r="J75" s="11">
        <v>4</v>
      </c>
      <c r="K75" s="11">
        <v>50.69</v>
      </c>
      <c r="L75" s="16">
        <f t="shared" si="7"/>
        <v>190.08750000000066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3</v>
      </c>
      <c r="W75" s="12"/>
      <c r="X75" s="11"/>
      <c r="Y75" s="11"/>
      <c r="Z75" s="11"/>
      <c r="AA75" s="11"/>
      <c r="AB75" s="11">
        <v>4</v>
      </c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914</v>
      </c>
      <c r="F76" s="8" t="s">
        <v>42</v>
      </c>
      <c r="G76" s="9">
        <v>0.47847222222222224</v>
      </c>
      <c r="H76" s="9">
        <v>0.48125000000000001</v>
      </c>
      <c r="I76" s="10">
        <f t="shared" si="6"/>
        <v>2.7777777777777679E-3</v>
      </c>
      <c r="J76" s="11">
        <v>4</v>
      </c>
      <c r="K76" s="11">
        <v>49.23</v>
      </c>
      <c r="L76" s="16">
        <f t="shared" si="7"/>
        <v>184.61250000000064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3</v>
      </c>
      <c r="W76" s="12"/>
      <c r="X76" s="11"/>
      <c r="Y76" s="11"/>
      <c r="Z76" s="11"/>
      <c r="AA76" s="11"/>
      <c r="AB76" s="11"/>
      <c r="AC76" s="11">
        <v>4</v>
      </c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916</v>
      </c>
      <c r="F77" s="8" t="s">
        <v>42</v>
      </c>
      <c r="G77" s="9">
        <v>0.48333333333333334</v>
      </c>
      <c r="H77" s="9">
        <v>0.4861111111111111</v>
      </c>
      <c r="I77" s="10">
        <f t="shared" si="6"/>
        <v>2.7777777777777679E-3</v>
      </c>
      <c r="J77" s="11">
        <v>4</v>
      </c>
      <c r="K77" s="11">
        <v>50.08</v>
      </c>
      <c r="L77" s="16">
        <f t="shared" si="7"/>
        <v>187.80000000000067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3</v>
      </c>
      <c r="W77" s="12"/>
      <c r="X77" s="11"/>
      <c r="Y77" s="11"/>
      <c r="Z77" s="11"/>
      <c r="AA77" s="11"/>
      <c r="AB77" s="11">
        <v>4</v>
      </c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917</v>
      </c>
      <c r="F78" s="8" t="s">
        <v>42</v>
      </c>
      <c r="G78" s="9">
        <v>0.48888888888888887</v>
      </c>
      <c r="H78" s="9">
        <v>0.49166666666666664</v>
      </c>
      <c r="I78" s="10">
        <f t="shared" si="6"/>
        <v>2.7777777777777679E-3</v>
      </c>
      <c r="J78" s="11">
        <v>4</v>
      </c>
      <c r="K78" s="11">
        <v>50.05</v>
      </c>
      <c r="L78" s="16">
        <f t="shared" si="7"/>
        <v>187.68750000000065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3</v>
      </c>
      <c r="X78" s="11"/>
      <c r="Y78" s="11"/>
      <c r="Z78" s="11"/>
      <c r="AA78" s="11"/>
      <c r="AB78" s="11"/>
      <c r="AC78" s="11">
        <v>4</v>
      </c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918</v>
      </c>
      <c r="F79" s="8" t="s">
        <v>42</v>
      </c>
      <c r="G79" s="9">
        <v>0.49375000000000002</v>
      </c>
      <c r="H79" s="9">
        <v>0.49652777777777779</v>
      </c>
      <c r="I79" s="10">
        <f t="shared" si="6"/>
        <v>2.7777777777777679E-3</v>
      </c>
      <c r="J79" s="11">
        <v>4</v>
      </c>
      <c r="K79" s="11">
        <v>50.32</v>
      </c>
      <c r="L79" s="16">
        <f t="shared" si="7"/>
        <v>188.7000000000007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3</v>
      </c>
      <c r="X79" s="11"/>
      <c r="Y79" s="11"/>
      <c r="Z79" s="11"/>
      <c r="AA79" s="11"/>
      <c r="AB79" s="11">
        <v>4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919</v>
      </c>
      <c r="F80" s="8" t="s">
        <v>42</v>
      </c>
      <c r="G80" s="9">
        <v>0.49861111111111112</v>
      </c>
      <c r="H80" s="9">
        <v>0.50138888888888888</v>
      </c>
      <c r="I80" s="10">
        <f t="shared" si="6"/>
        <v>2.7777777777777679E-3</v>
      </c>
      <c r="J80" s="11">
        <v>4</v>
      </c>
      <c r="K80" s="11">
        <v>50.5</v>
      </c>
      <c r="L80" s="16">
        <f t="shared" si="7"/>
        <v>189.37500000000068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3</v>
      </c>
      <c r="W80" s="12"/>
      <c r="X80" s="11"/>
      <c r="Y80" s="11"/>
      <c r="Z80" s="11"/>
      <c r="AA80" s="11"/>
      <c r="AB80" s="11"/>
      <c r="AC80" s="11">
        <v>4</v>
      </c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920</v>
      </c>
      <c r="F81" s="8" t="s">
        <v>42</v>
      </c>
      <c r="G81" s="9">
        <v>0.48194444444444445</v>
      </c>
      <c r="H81" s="9">
        <v>0.48472222222222222</v>
      </c>
      <c r="I81" s="10">
        <f t="shared" si="6"/>
        <v>2.7777777777777679E-3</v>
      </c>
      <c r="J81" s="11">
        <v>4</v>
      </c>
      <c r="K81" s="11">
        <v>51.15</v>
      </c>
      <c r="L81" s="16">
        <f t="shared" si="7"/>
        <v>191.81250000000068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3</v>
      </c>
      <c r="X81" s="11"/>
      <c r="Y81" s="11"/>
      <c r="Z81" s="11"/>
      <c r="AA81" s="11"/>
      <c r="AB81" s="11">
        <v>4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921</v>
      </c>
      <c r="F82" s="8" t="s">
        <v>42</v>
      </c>
      <c r="G82" s="9">
        <v>0.5708333333333333</v>
      </c>
      <c r="H82" s="9">
        <v>0.57361111111111107</v>
      </c>
      <c r="I82" s="10">
        <f t="shared" si="6"/>
        <v>2.7777777777777679E-3</v>
      </c>
      <c r="J82" s="11">
        <v>4</v>
      </c>
      <c r="K82" s="11">
        <v>50.93</v>
      </c>
      <c r="L82" s="16">
        <f t="shared" si="7"/>
        <v>190.98750000000067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3</v>
      </c>
      <c r="W82" s="12"/>
      <c r="X82" s="11"/>
      <c r="Y82" s="11"/>
      <c r="Z82" s="11"/>
      <c r="AA82" s="11"/>
      <c r="AB82" s="11"/>
      <c r="AC82" s="11">
        <v>4</v>
      </c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922</v>
      </c>
      <c r="F83" s="8" t="s">
        <v>42</v>
      </c>
      <c r="G83" s="9">
        <v>0.57638888888888884</v>
      </c>
      <c r="H83" s="9">
        <v>0.57916666666666672</v>
      </c>
      <c r="I83" s="10">
        <f t="shared" si="6"/>
        <v>2.7777777777778789E-3</v>
      </c>
      <c r="J83" s="11">
        <v>4</v>
      </c>
      <c r="K83" s="11">
        <v>50.76</v>
      </c>
      <c r="L83" s="16">
        <f t="shared" si="7"/>
        <v>190.34999999999306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3</v>
      </c>
      <c r="X83" s="11"/>
      <c r="Y83" s="11"/>
      <c r="Z83" s="11"/>
      <c r="AA83" s="11"/>
      <c r="AB83" s="11">
        <v>4</v>
      </c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923</v>
      </c>
      <c r="F84" s="8" t="s">
        <v>42</v>
      </c>
      <c r="G84" s="9">
        <v>0.58194444444444449</v>
      </c>
      <c r="H84" s="9">
        <v>0.58472222222222225</v>
      </c>
      <c r="I84" s="10">
        <f t="shared" si="6"/>
        <v>2.7777777777777679E-3</v>
      </c>
      <c r="J84" s="11">
        <v>4</v>
      </c>
      <c r="K84" s="11">
        <v>49.84</v>
      </c>
      <c r="L84" s="16">
        <f t="shared" si="7"/>
        <v>186.90000000000066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3</v>
      </c>
      <c r="W84" s="12"/>
      <c r="X84" s="11"/>
      <c r="Y84" s="11"/>
      <c r="Z84" s="11"/>
      <c r="AA84" s="11"/>
      <c r="AB84" s="11"/>
      <c r="AC84" s="11">
        <v>4</v>
      </c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924</v>
      </c>
      <c r="F85" s="8" t="s">
        <v>42</v>
      </c>
      <c r="G85" s="9">
        <v>0.59305555555555556</v>
      </c>
      <c r="H85" s="9">
        <v>0.59583333333333333</v>
      </c>
      <c r="I85" s="10">
        <f t="shared" si="6"/>
        <v>2.7777777777777679E-3</v>
      </c>
      <c r="J85" s="11">
        <v>4</v>
      </c>
      <c r="K85" s="11">
        <v>50.36</v>
      </c>
      <c r="L85" s="16">
        <f t="shared" si="7"/>
        <v>188.85000000000068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3</v>
      </c>
      <c r="W85" s="12"/>
      <c r="X85" s="11"/>
      <c r="Y85" s="11"/>
      <c r="Z85" s="11"/>
      <c r="AA85" s="11"/>
      <c r="AB85" s="11">
        <v>4</v>
      </c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925</v>
      </c>
      <c r="F86" s="8" t="s">
        <v>42</v>
      </c>
      <c r="G86" s="9">
        <v>0.59861111111111109</v>
      </c>
      <c r="H86" s="9">
        <v>0.60138888888888886</v>
      </c>
      <c r="I86" s="10">
        <f t="shared" si="6"/>
        <v>2.7777777777777679E-3</v>
      </c>
      <c r="J86" s="11">
        <v>4</v>
      </c>
      <c r="K86" s="11">
        <v>50.74</v>
      </c>
      <c r="L86" s="16">
        <f t="shared" si="7"/>
        <v>190.27500000000069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3</v>
      </c>
      <c r="X86" s="11"/>
      <c r="Y86" s="11"/>
      <c r="Z86" s="11"/>
      <c r="AA86" s="11"/>
      <c r="AB86" s="11"/>
      <c r="AC86" s="11">
        <v>4</v>
      </c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932</v>
      </c>
      <c r="F87" s="8" t="s">
        <v>42</v>
      </c>
      <c r="G87" s="9">
        <v>0.6020833333333333</v>
      </c>
      <c r="H87" s="9">
        <v>0.60555555555555551</v>
      </c>
      <c r="I87" s="10">
        <f t="shared" si="6"/>
        <v>3.4722222222222099E-3</v>
      </c>
      <c r="J87" s="11">
        <v>4</v>
      </c>
      <c r="K87" s="11">
        <v>50.56</v>
      </c>
      <c r="L87" s="16">
        <f t="shared" si="7"/>
        <v>151.68000000000055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3</v>
      </c>
      <c r="W87" s="12"/>
      <c r="X87" s="11"/>
      <c r="Y87" s="11"/>
      <c r="Z87" s="11"/>
      <c r="AA87" s="11"/>
      <c r="AB87" s="11">
        <v>4</v>
      </c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933</v>
      </c>
      <c r="F88" s="8" t="s">
        <v>42</v>
      </c>
      <c r="G88" s="9">
        <v>0.60833333333333328</v>
      </c>
      <c r="H88" s="9">
        <v>0.61111111111111116</v>
      </c>
      <c r="I88" s="10">
        <f t="shared" si="6"/>
        <v>2.7777777777778789E-3</v>
      </c>
      <c r="J88" s="11">
        <v>4</v>
      </c>
      <c r="K88" s="11">
        <v>50.52</v>
      </c>
      <c r="L88" s="16">
        <f t="shared" si="7"/>
        <v>189.44999999999311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3</v>
      </c>
      <c r="X88" s="11"/>
      <c r="Y88" s="11"/>
      <c r="Z88" s="11"/>
      <c r="AA88" s="11"/>
      <c r="AB88" s="11"/>
      <c r="AC88" s="11">
        <v>4</v>
      </c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934</v>
      </c>
      <c r="F89" s="8" t="s">
        <v>42</v>
      </c>
      <c r="G89" s="9">
        <v>0.61319444444444449</v>
      </c>
      <c r="H89" s="9">
        <v>0.61597222222222225</v>
      </c>
      <c r="I89" s="10">
        <f t="shared" si="6"/>
        <v>2.7777777777777679E-3</v>
      </c>
      <c r="J89" s="11">
        <v>4</v>
      </c>
      <c r="K89" s="11">
        <v>49.7</v>
      </c>
      <c r="L89" s="16">
        <f t="shared" si="7"/>
        <v>186.37500000000068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3</v>
      </c>
      <c r="W89" s="12"/>
      <c r="X89" s="11"/>
      <c r="Y89" s="11"/>
      <c r="Z89" s="11"/>
      <c r="AA89" s="11"/>
      <c r="AB89" s="11">
        <v>4</v>
      </c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935</v>
      </c>
      <c r="F90" s="8" t="s">
        <v>42</v>
      </c>
      <c r="G90" s="9">
        <v>0.61805555555555558</v>
      </c>
      <c r="H90" s="9">
        <v>0.62083333333333335</v>
      </c>
      <c r="I90" s="10">
        <f t="shared" si="6"/>
        <v>2.7777777777777679E-3</v>
      </c>
      <c r="J90" s="11">
        <v>4</v>
      </c>
      <c r="K90" s="11">
        <v>49.46</v>
      </c>
      <c r="L90" s="16">
        <f t="shared" si="7"/>
        <v>185.47500000000068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3</v>
      </c>
      <c r="X90" s="11"/>
      <c r="Y90" s="11"/>
      <c r="Z90" s="11"/>
      <c r="AA90" s="11"/>
      <c r="AB90" s="11">
        <v>4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706</v>
      </c>
      <c r="F91" s="8" t="s">
        <v>42</v>
      </c>
      <c r="G91" s="9">
        <v>0.62361111111111112</v>
      </c>
      <c r="H91" s="9">
        <v>0.62638888888888888</v>
      </c>
      <c r="I91" s="10">
        <f t="shared" si="6"/>
        <v>2.7777777777777679E-3</v>
      </c>
      <c r="J91" s="11">
        <v>4</v>
      </c>
      <c r="K91" s="11">
        <v>49.6</v>
      </c>
      <c r="L91" s="16">
        <f t="shared" si="7"/>
        <v>186.00000000000068</v>
      </c>
      <c r="M91" s="11"/>
      <c r="N91" s="11"/>
      <c r="O91" s="11"/>
      <c r="P91" s="11"/>
      <c r="Q91" s="11"/>
      <c r="R91" s="12"/>
      <c r="S91" s="12"/>
      <c r="T91" s="11"/>
      <c r="U91" s="11"/>
      <c r="V91" s="12">
        <v>3</v>
      </c>
      <c r="W91" s="12"/>
      <c r="X91" s="11"/>
      <c r="Y91" s="11"/>
      <c r="Z91" s="11"/>
      <c r="AA91" s="11"/>
      <c r="AB91" s="11"/>
      <c r="AC91" s="11">
        <v>4</v>
      </c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707</v>
      </c>
      <c r="F92" s="8" t="s">
        <v>42</v>
      </c>
      <c r="G92" s="9">
        <v>0.62430555555555556</v>
      </c>
      <c r="H92" s="9">
        <v>0.62708333333333333</v>
      </c>
      <c r="I92" s="10">
        <f t="shared" si="6"/>
        <v>2.7777777777777679E-3</v>
      </c>
      <c r="J92" s="11">
        <v>4</v>
      </c>
      <c r="K92" s="11">
        <v>49.84</v>
      </c>
      <c r="L92" s="16">
        <f t="shared" si="7"/>
        <v>186.90000000000066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3</v>
      </c>
      <c r="X92" s="11"/>
      <c r="Y92" s="11"/>
      <c r="Z92" s="11"/>
      <c r="AA92" s="11"/>
      <c r="AB92" s="11">
        <v>4</v>
      </c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708</v>
      </c>
      <c r="F93" s="8" t="s">
        <v>42</v>
      </c>
      <c r="G93" s="9">
        <v>0.6333333333333333</v>
      </c>
      <c r="H93" s="9">
        <v>0.63611111111111107</v>
      </c>
      <c r="I93" s="10">
        <f t="shared" si="6"/>
        <v>2.7777777777777679E-3</v>
      </c>
      <c r="J93" s="11">
        <v>4</v>
      </c>
      <c r="K93" s="11">
        <v>49.2</v>
      </c>
      <c r="L93" s="16">
        <f t="shared" si="7"/>
        <v>184.50000000000068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3</v>
      </c>
      <c r="W93" s="12"/>
      <c r="X93" s="11"/>
      <c r="Y93" s="11"/>
      <c r="Z93" s="11"/>
      <c r="AA93" s="11"/>
      <c r="AB93" s="11"/>
      <c r="AC93" s="11">
        <v>4</v>
      </c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709</v>
      </c>
      <c r="F94" s="8" t="s">
        <v>42</v>
      </c>
      <c r="G94" s="9">
        <v>0.6381944444444444</v>
      </c>
      <c r="H94" s="9">
        <v>0.64097222222222228</v>
      </c>
      <c r="I94" s="10">
        <f t="shared" si="6"/>
        <v>2.7777777777778789E-3</v>
      </c>
      <c r="J94" s="11">
        <v>4</v>
      </c>
      <c r="K94" s="11">
        <v>50.24</v>
      </c>
      <c r="L94" s="16">
        <f t="shared" si="7"/>
        <v>188.39999999999316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3</v>
      </c>
      <c r="W94" s="12"/>
      <c r="X94" s="11"/>
      <c r="Y94" s="11"/>
      <c r="Z94" s="11"/>
      <c r="AA94" s="11"/>
      <c r="AB94" s="11">
        <v>4</v>
      </c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710</v>
      </c>
      <c r="F95" s="8" t="s">
        <v>42</v>
      </c>
      <c r="G95" s="9">
        <v>0.6430555555555556</v>
      </c>
      <c r="H95" s="9">
        <v>0.64583333333333337</v>
      </c>
      <c r="I95" s="10">
        <f t="shared" si="6"/>
        <v>2.7777777777777679E-3</v>
      </c>
      <c r="J95" s="11">
        <v>4</v>
      </c>
      <c r="K95" s="11">
        <v>49.96</v>
      </c>
      <c r="L95" s="16">
        <f t="shared" si="7"/>
        <v>187.35000000000068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3</v>
      </c>
      <c r="W95" s="12"/>
      <c r="X95" s="11"/>
      <c r="Y95" s="11"/>
      <c r="Z95" s="11"/>
      <c r="AA95" s="11"/>
      <c r="AB95" s="11"/>
      <c r="AC95" s="11">
        <v>4</v>
      </c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711</v>
      </c>
      <c r="F96" s="8" t="s">
        <v>42</v>
      </c>
      <c r="G96" s="9">
        <v>0.65</v>
      </c>
      <c r="H96" s="9">
        <v>0.65277777777777779</v>
      </c>
      <c r="I96" s="10">
        <f t="shared" si="6"/>
        <v>2.7777777777777679E-3</v>
      </c>
      <c r="J96" s="11">
        <v>4</v>
      </c>
      <c r="K96" s="11">
        <v>50.16</v>
      </c>
      <c r="L96" s="16">
        <f t="shared" si="7"/>
        <v>188.10000000000068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3</v>
      </c>
      <c r="X96" s="11"/>
      <c r="Y96" s="11"/>
      <c r="Z96" s="11"/>
      <c r="AA96" s="11"/>
      <c r="AB96" s="11">
        <v>4</v>
      </c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2235</v>
      </c>
      <c r="F97" s="8" t="s">
        <v>42</v>
      </c>
      <c r="G97" s="9">
        <v>0.46111111111111114</v>
      </c>
      <c r="H97" s="9">
        <v>0.46527777777777779</v>
      </c>
      <c r="I97" s="10">
        <f t="shared" si="6"/>
        <v>4.1666666666666519E-3</v>
      </c>
      <c r="J97" s="11">
        <v>4</v>
      </c>
      <c r="K97" s="11">
        <v>59.49</v>
      </c>
      <c r="L97" s="16">
        <f t="shared" si="7"/>
        <v>148.72500000000053</v>
      </c>
      <c r="M97" s="11"/>
      <c r="N97" s="11"/>
      <c r="O97" s="11"/>
      <c r="P97" s="11"/>
      <c r="Q97" s="11"/>
      <c r="R97" s="12"/>
      <c r="S97" s="12"/>
      <c r="T97" s="11"/>
      <c r="U97" s="11"/>
      <c r="V97" s="12">
        <v>2</v>
      </c>
      <c r="W97" s="12"/>
      <c r="X97" s="11"/>
      <c r="Y97" s="11"/>
      <c r="Z97" s="11"/>
      <c r="AA97" s="11"/>
      <c r="AB97" s="11">
        <v>6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2236</v>
      </c>
      <c r="F98" s="8" t="s">
        <v>42</v>
      </c>
      <c r="G98" s="9">
        <v>0.4777777777777778</v>
      </c>
      <c r="H98" s="9">
        <v>0.4861111111111111</v>
      </c>
      <c r="I98" s="10">
        <f t="shared" ref="I98:I113" si="8">H98-G98</f>
        <v>8.3333333333333037E-3</v>
      </c>
      <c r="J98" s="11">
        <v>4</v>
      </c>
      <c r="K98" s="11">
        <v>63.22</v>
      </c>
      <c r="L98" s="16">
        <f t="shared" si="7"/>
        <v>79.025000000000276</v>
      </c>
      <c r="M98" s="11"/>
      <c r="N98" s="11"/>
      <c r="O98" s="11"/>
      <c r="P98" s="11"/>
      <c r="Q98" s="11"/>
      <c r="R98" s="12"/>
      <c r="S98" s="12"/>
      <c r="T98" s="11"/>
      <c r="U98" s="11"/>
      <c r="V98" s="12">
        <v>2</v>
      </c>
      <c r="W98" s="12"/>
      <c r="X98" s="11"/>
      <c r="Y98" s="11"/>
      <c r="Z98" s="11"/>
      <c r="AA98" s="11"/>
      <c r="AB98" s="11"/>
      <c r="AC98" s="11"/>
      <c r="AD98" s="11">
        <v>12</v>
      </c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2237</v>
      </c>
      <c r="F99" s="8" t="s">
        <v>42</v>
      </c>
      <c r="G99" s="9">
        <v>0.49027777777777776</v>
      </c>
      <c r="H99" s="9">
        <v>0.49791666666666667</v>
      </c>
      <c r="I99" s="10">
        <f t="shared" si="8"/>
        <v>7.6388888888889173E-3</v>
      </c>
      <c r="J99" s="11">
        <v>4</v>
      </c>
      <c r="K99" s="11">
        <v>64.64</v>
      </c>
      <c r="L99" s="16">
        <f t="shared" ref="L99:L113" si="9">IFERROR(((K99/(J99*I99)/24)),"0")</f>
        <v>88.145454545454228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>
        <v>2</v>
      </c>
      <c r="X99" s="11"/>
      <c r="Y99" s="11"/>
      <c r="Z99" s="11"/>
      <c r="AA99" s="11"/>
      <c r="AB99" s="11"/>
      <c r="AC99" s="11"/>
      <c r="AD99" s="11">
        <v>11</v>
      </c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2238</v>
      </c>
      <c r="F100" s="8" t="s">
        <v>42</v>
      </c>
      <c r="G100" s="9">
        <v>0.56944444444444442</v>
      </c>
      <c r="H100" s="9">
        <v>0.57777777777777772</v>
      </c>
      <c r="I100" s="10">
        <f t="shared" si="8"/>
        <v>8.3333333333333037E-3</v>
      </c>
      <c r="J100" s="11">
        <v>4</v>
      </c>
      <c r="K100" s="11">
        <v>66.13</v>
      </c>
      <c r="L100" s="16">
        <f t="shared" si="9"/>
        <v>82.662500000000293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>
        <v>2</v>
      </c>
      <c r="X100" s="11"/>
      <c r="Y100" s="11"/>
      <c r="Z100" s="11"/>
      <c r="AA100" s="11"/>
      <c r="AB100" s="11"/>
      <c r="AC100" s="11"/>
      <c r="AD100" s="11">
        <v>12</v>
      </c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2239</v>
      </c>
      <c r="F101" s="8" t="s">
        <v>42</v>
      </c>
      <c r="G101" s="9">
        <v>0.57916666666666672</v>
      </c>
      <c r="H101" s="9">
        <v>0.58819444444444446</v>
      </c>
      <c r="I101" s="10">
        <f t="shared" si="8"/>
        <v>9.0277777777777457E-3</v>
      </c>
      <c r="J101" s="11">
        <v>4</v>
      </c>
      <c r="K101" s="11">
        <v>61.82</v>
      </c>
      <c r="L101" s="16">
        <f t="shared" si="9"/>
        <v>71.330769230769491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>
        <v>2</v>
      </c>
      <c r="X101" s="11"/>
      <c r="Y101" s="11"/>
      <c r="Z101" s="11"/>
      <c r="AA101" s="11"/>
      <c r="AB101" s="11"/>
      <c r="AC101" s="11"/>
      <c r="AD101" s="11">
        <v>13</v>
      </c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2240</v>
      </c>
      <c r="F102" s="8" t="s">
        <v>42</v>
      </c>
      <c r="G102" s="9">
        <v>0.59236111111111112</v>
      </c>
      <c r="H102" s="9">
        <v>0.6</v>
      </c>
      <c r="I102" s="10">
        <f t="shared" si="8"/>
        <v>7.6388888888888618E-3</v>
      </c>
      <c r="J102" s="11">
        <v>4</v>
      </c>
      <c r="K102" s="11">
        <v>63.33</v>
      </c>
      <c r="L102" s="16">
        <f t="shared" si="9"/>
        <v>86.359090909091208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>
        <v>2</v>
      </c>
      <c r="X102" s="11"/>
      <c r="Y102" s="11"/>
      <c r="Z102" s="11"/>
      <c r="AA102" s="11"/>
      <c r="AB102" s="11"/>
      <c r="AC102" s="11"/>
      <c r="AD102" s="11">
        <v>11</v>
      </c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30"/>
      <c r="F103" s="30"/>
      <c r="G103" s="30"/>
      <c r="H103" s="30"/>
      <c r="I103" s="30"/>
      <c r="J103" s="30"/>
      <c r="K103" s="30"/>
      <c r="L103" s="30"/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114" t="s">
        <v>2218</v>
      </c>
      <c r="E104" s="19" t="s">
        <v>2241</v>
      </c>
      <c r="F104" s="8" t="s">
        <v>42</v>
      </c>
      <c r="G104" s="9">
        <v>0.64583333333333337</v>
      </c>
      <c r="H104" s="9">
        <v>0.67638888888888893</v>
      </c>
      <c r="I104" s="10">
        <f t="shared" si="8"/>
        <v>3.0555555555555558E-2</v>
      </c>
      <c r="J104" s="11">
        <v>4</v>
      </c>
      <c r="K104" s="11">
        <v>42.64</v>
      </c>
      <c r="L104" s="16">
        <f t="shared" si="9"/>
        <v>14.536363636363637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>
        <v>2</v>
      </c>
      <c r="W104" s="12"/>
      <c r="X104" s="11"/>
      <c r="Y104" s="11"/>
      <c r="Z104" s="11"/>
      <c r="AA104" s="11"/>
      <c r="AB104" s="11"/>
      <c r="AC104" s="11">
        <v>44</v>
      </c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2242</v>
      </c>
      <c r="F105" s="8" t="s">
        <v>42</v>
      </c>
      <c r="G105" s="9">
        <v>0.61388888888888893</v>
      </c>
      <c r="H105" s="9">
        <v>0.63472222222222219</v>
      </c>
      <c r="I105" s="10">
        <f t="shared" si="8"/>
        <v>2.0833333333333259E-2</v>
      </c>
      <c r="J105" s="11">
        <v>4</v>
      </c>
      <c r="K105" s="11">
        <v>50</v>
      </c>
      <c r="L105" s="16">
        <f t="shared" si="9"/>
        <v>25.000000000000089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>
        <v>2</v>
      </c>
      <c r="W105" s="12"/>
      <c r="X105" s="11"/>
      <c r="Y105" s="11"/>
      <c r="Z105" s="11"/>
      <c r="AA105" s="11"/>
      <c r="AB105" s="11"/>
      <c r="AC105" s="11"/>
      <c r="AD105" s="11">
        <v>30</v>
      </c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2243</v>
      </c>
      <c r="F106" s="8" t="s">
        <v>42</v>
      </c>
      <c r="G106" s="9">
        <v>0.65972222222222221</v>
      </c>
      <c r="H106" s="9">
        <v>0.66388888888888886</v>
      </c>
      <c r="I106" s="10">
        <f t="shared" si="8"/>
        <v>4.1666666666666519E-3</v>
      </c>
      <c r="J106" s="11">
        <v>4</v>
      </c>
      <c r="K106" s="11">
        <v>103.48</v>
      </c>
      <c r="L106" s="16">
        <f t="shared" si="9"/>
        <v>258.7000000000009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2</v>
      </c>
      <c r="W106" s="12"/>
      <c r="X106" s="11"/>
      <c r="Y106" s="11"/>
      <c r="Z106" s="11"/>
      <c r="AA106" s="11"/>
      <c r="AB106" s="11">
        <v>6</v>
      </c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2244</v>
      </c>
      <c r="F107" s="8" t="s">
        <v>42</v>
      </c>
      <c r="G107" s="9">
        <v>0.66666666666666663</v>
      </c>
      <c r="H107" s="9">
        <v>0.67013888888888884</v>
      </c>
      <c r="I107" s="10">
        <f t="shared" si="8"/>
        <v>3.4722222222222099E-3</v>
      </c>
      <c r="J107" s="11">
        <v>4</v>
      </c>
      <c r="K107" s="11">
        <v>48.86</v>
      </c>
      <c r="L107" s="16">
        <f t="shared" si="9"/>
        <v>146.58000000000052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>
        <v>2</v>
      </c>
      <c r="W107" s="12"/>
      <c r="X107" s="11"/>
      <c r="Y107" s="11"/>
      <c r="Z107" s="11"/>
      <c r="AA107" s="11"/>
      <c r="AB107" s="11"/>
      <c r="AC107" s="11">
        <v>5</v>
      </c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2245</v>
      </c>
      <c r="F108" s="8" t="s">
        <v>42</v>
      </c>
      <c r="G108" s="9">
        <v>0.42916666666666664</v>
      </c>
      <c r="H108" s="9">
        <v>0.45347222222222222</v>
      </c>
      <c r="I108" s="10">
        <f t="shared" si="8"/>
        <v>2.430555555555558E-2</v>
      </c>
      <c r="J108" s="11">
        <v>4</v>
      </c>
      <c r="K108" s="11">
        <v>82.6</v>
      </c>
      <c r="L108" s="16">
        <f t="shared" si="9"/>
        <v>35.399999999999963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/>
      <c r="X108" s="11"/>
      <c r="Y108" s="11">
        <v>35</v>
      </c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2246</v>
      </c>
      <c r="F109" s="8" t="s">
        <v>42</v>
      </c>
      <c r="G109" s="9">
        <v>0.43263888888888891</v>
      </c>
      <c r="H109" s="9">
        <v>0.45694444444444443</v>
      </c>
      <c r="I109" s="10">
        <f t="shared" si="8"/>
        <v>2.4305555555555525E-2</v>
      </c>
      <c r="J109" s="11">
        <v>4</v>
      </c>
      <c r="K109" s="11">
        <v>82.6</v>
      </c>
      <c r="L109" s="16">
        <f t="shared" si="9"/>
        <v>35.400000000000041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/>
      <c r="X109" s="11">
        <v>35</v>
      </c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2247</v>
      </c>
      <c r="F110" s="8" t="s">
        <v>42</v>
      </c>
      <c r="G110" s="9">
        <v>0.43888888888888888</v>
      </c>
      <c r="H110" s="9">
        <v>0.46319444444444446</v>
      </c>
      <c r="I110" s="10">
        <f t="shared" si="8"/>
        <v>2.430555555555558E-2</v>
      </c>
      <c r="J110" s="11">
        <v>4</v>
      </c>
      <c r="K110" s="11">
        <v>82.6</v>
      </c>
      <c r="L110" s="16">
        <f t="shared" si="9"/>
        <v>35.399999999999963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/>
      <c r="X110" s="11"/>
      <c r="Y110" s="11"/>
      <c r="Z110" s="11">
        <v>35</v>
      </c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/>
      <c r="F111" s="8" t="s">
        <v>42</v>
      </c>
      <c r="G111" s="9"/>
      <c r="H111" s="9"/>
      <c r="I111" s="10">
        <f t="shared" si="8"/>
        <v>0</v>
      </c>
      <c r="J111" s="11"/>
      <c r="K111" s="11"/>
      <c r="L111" s="16" t="str">
        <f t="shared" si="9"/>
        <v>0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/>
      <c r="F112" s="8" t="s">
        <v>42</v>
      </c>
      <c r="G112" s="9"/>
      <c r="H112" s="9"/>
      <c r="I112" s="10">
        <f t="shared" si="8"/>
        <v>0</v>
      </c>
      <c r="J112" s="11"/>
      <c r="K112" s="11"/>
      <c r="L112" s="16" t="str">
        <f t="shared" si="9"/>
        <v>0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1:38" ht="25.05" customHeight="1">
      <c r="B113" s="13"/>
      <c r="C113" s="29"/>
      <c r="D113" s="30"/>
      <c r="E113" s="19"/>
      <c r="F113" s="8" t="s">
        <v>42</v>
      </c>
      <c r="G113" s="9"/>
      <c r="H113" s="9"/>
      <c r="I113" s="10">
        <f t="shared" si="8"/>
        <v>0</v>
      </c>
      <c r="J113" s="11"/>
      <c r="K113" s="11"/>
      <c r="L113" s="16" t="str">
        <f t="shared" si="9"/>
        <v>0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1:38" s="28" customFormat="1" ht="25.5" customHeight="1" thickBot="1">
      <c r="A114" s="2"/>
      <c r="B114" s="32"/>
      <c r="C114" s="33"/>
      <c r="D114" s="34"/>
      <c r="E114" s="35"/>
      <c r="F114" s="35"/>
      <c r="G114" s="36"/>
      <c r="H114" s="36"/>
      <c r="I114" s="37"/>
      <c r="J114" s="38"/>
      <c r="K114" s="38">
        <f t="shared" ref="K114:AL114" si="10">SUM(K35:K113)</f>
        <v>4419.6799999999994</v>
      </c>
      <c r="L114" s="39">
        <f t="shared" si="10"/>
        <v>9717.7178622540305</v>
      </c>
      <c r="M114" s="38">
        <f t="shared" si="10"/>
        <v>0</v>
      </c>
      <c r="N114" s="38">
        <f t="shared" si="10"/>
        <v>0</v>
      </c>
      <c r="O114" s="38">
        <f t="shared" si="10"/>
        <v>0</v>
      </c>
      <c r="P114" s="38">
        <f t="shared" si="10"/>
        <v>0</v>
      </c>
      <c r="Q114" s="38">
        <f t="shared" si="10"/>
        <v>0</v>
      </c>
      <c r="R114" s="38">
        <f t="shared" si="10"/>
        <v>0</v>
      </c>
      <c r="S114" s="38">
        <f t="shared" si="10"/>
        <v>0</v>
      </c>
      <c r="T114" s="38">
        <f t="shared" si="10"/>
        <v>0</v>
      </c>
      <c r="U114" s="38">
        <f t="shared" si="10"/>
        <v>0</v>
      </c>
      <c r="V114" s="38">
        <f t="shared" si="10"/>
        <v>110</v>
      </c>
      <c r="W114" s="38">
        <f t="shared" si="10"/>
        <v>75</v>
      </c>
      <c r="X114" s="38">
        <f t="shared" si="10"/>
        <v>129</v>
      </c>
      <c r="Y114" s="38">
        <f t="shared" si="10"/>
        <v>35</v>
      </c>
      <c r="Z114" s="38">
        <f t="shared" si="10"/>
        <v>129</v>
      </c>
      <c r="AA114" s="38">
        <f t="shared" si="10"/>
        <v>0</v>
      </c>
      <c r="AB114" s="38">
        <f t="shared" si="10"/>
        <v>84</v>
      </c>
      <c r="AC114" s="38">
        <f t="shared" si="10"/>
        <v>127</v>
      </c>
      <c r="AD114" s="38">
        <f t="shared" si="10"/>
        <v>200</v>
      </c>
      <c r="AE114" s="38">
        <f t="shared" si="10"/>
        <v>0</v>
      </c>
      <c r="AF114" s="38">
        <f t="shared" si="10"/>
        <v>0</v>
      </c>
      <c r="AG114" s="38">
        <f t="shared" si="10"/>
        <v>33</v>
      </c>
      <c r="AH114" s="38">
        <f t="shared" si="10"/>
        <v>33</v>
      </c>
      <c r="AI114" s="38">
        <f t="shared" si="10"/>
        <v>33</v>
      </c>
      <c r="AJ114" s="38">
        <f t="shared" si="10"/>
        <v>33</v>
      </c>
      <c r="AK114" s="38">
        <f t="shared" si="10"/>
        <v>0</v>
      </c>
      <c r="AL114" s="38">
        <f t="shared" si="10"/>
        <v>0</v>
      </c>
    </row>
    <row r="115" spans="1:38" ht="38.1" customHeight="1" thickBot="1">
      <c r="B115" s="40" t="s">
        <v>45</v>
      </c>
      <c r="C115" s="41"/>
      <c r="D115" s="41"/>
      <c r="E115" s="41"/>
      <c r="F115" s="41"/>
      <c r="G115" s="41"/>
      <c r="H115" s="41"/>
      <c r="I115" s="41"/>
      <c r="J115" s="41"/>
      <c r="K115" s="42">
        <f>K28+K34+K114</f>
        <v>6901.2799999999988</v>
      </c>
      <c r="L115" s="42">
        <f>L28+L34+L114</f>
        <v>10803.374636622981</v>
      </c>
      <c r="M115" s="43">
        <f t="shared" ref="M115:AL115" si="11">(M28+M34+M114)/(480-15-30)</f>
        <v>0</v>
      </c>
      <c r="N115" s="43">
        <f t="shared" si="11"/>
        <v>0</v>
      </c>
      <c r="O115" s="43">
        <f t="shared" si="11"/>
        <v>0</v>
      </c>
      <c r="P115" s="43">
        <f t="shared" si="11"/>
        <v>0</v>
      </c>
      <c r="Q115" s="43">
        <f t="shared" si="11"/>
        <v>0</v>
      </c>
      <c r="R115" s="43">
        <f t="shared" si="11"/>
        <v>0</v>
      </c>
      <c r="S115" s="43">
        <f t="shared" si="11"/>
        <v>0.83908045977011492</v>
      </c>
      <c r="T115" s="43">
        <f t="shared" si="11"/>
        <v>0</v>
      </c>
      <c r="U115" s="43">
        <f t="shared" si="11"/>
        <v>0</v>
      </c>
      <c r="V115" s="43">
        <f t="shared" si="11"/>
        <v>0.25287356321839083</v>
      </c>
      <c r="W115" s="43">
        <f t="shared" si="11"/>
        <v>0.17241379310344829</v>
      </c>
      <c r="X115" s="43">
        <f t="shared" si="11"/>
        <v>0.29655172413793102</v>
      </c>
      <c r="Y115" s="43">
        <f t="shared" si="11"/>
        <v>8.0459770114942528E-2</v>
      </c>
      <c r="Z115" s="43">
        <f t="shared" si="11"/>
        <v>0.29655172413793102</v>
      </c>
      <c r="AA115" s="43">
        <f t="shared" si="11"/>
        <v>0</v>
      </c>
      <c r="AB115" s="43">
        <f t="shared" si="11"/>
        <v>0.19310344827586207</v>
      </c>
      <c r="AC115" s="43">
        <f t="shared" si="11"/>
        <v>0.29195402298850576</v>
      </c>
      <c r="AD115" s="43">
        <f t="shared" si="11"/>
        <v>0.45977011494252873</v>
      </c>
      <c r="AE115" s="43">
        <f t="shared" si="11"/>
        <v>0</v>
      </c>
      <c r="AF115" s="43">
        <f t="shared" si="11"/>
        <v>0</v>
      </c>
      <c r="AG115" s="43">
        <f t="shared" si="11"/>
        <v>7.586206896551724E-2</v>
      </c>
      <c r="AH115" s="43">
        <f t="shared" si="11"/>
        <v>7.586206896551724E-2</v>
      </c>
      <c r="AI115" s="43">
        <f t="shared" si="11"/>
        <v>7.586206896551724E-2</v>
      </c>
      <c r="AJ115" s="43">
        <f t="shared" si="11"/>
        <v>7.586206896551724E-2</v>
      </c>
      <c r="AK115" s="43">
        <f t="shared" si="11"/>
        <v>0</v>
      </c>
      <c r="AL115" s="43">
        <f t="shared" si="11"/>
        <v>0</v>
      </c>
    </row>
    <row r="116" spans="1:38" ht="25.05" customHeight="1">
      <c r="B116" s="44"/>
      <c r="C116" s="44"/>
      <c r="D116" s="44"/>
      <c r="E116" s="45"/>
      <c r="F116" s="45"/>
      <c r="G116" s="45"/>
      <c r="H116" s="45"/>
      <c r="I116" s="46"/>
      <c r="J116" s="46"/>
      <c r="K116" s="45"/>
      <c r="L116" s="47"/>
      <c r="M116" s="47"/>
      <c r="N116" s="47"/>
      <c r="O116" s="47"/>
      <c r="P116" s="47"/>
      <c r="Q116" s="45"/>
      <c r="R116" s="45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  <c r="AI116" s="45"/>
      <c r="AJ116" s="45"/>
    </row>
    <row r="117" spans="1:38" ht="25.05" customHeight="1">
      <c r="B117" s="44"/>
      <c r="C117" s="44"/>
      <c r="D117" s="44"/>
      <c r="E117" s="45"/>
      <c r="F117" s="45"/>
      <c r="G117" s="45"/>
      <c r="H117" s="45"/>
      <c r="I117" s="48" t="s">
        <v>46</v>
      </c>
      <c r="J117" s="46"/>
      <c r="K117" s="45"/>
      <c r="L117" s="47"/>
      <c r="M117" s="47"/>
      <c r="N117" s="47"/>
      <c r="O117" s="47"/>
      <c r="P117" s="47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  <c r="AI117" s="45"/>
      <c r="AJ117" s="45"/>
    </row>
    <row r="118" spans="1:38" ht="25.05" customHeight="1">
      <c r="B118" s="44"/>
      <c r="C118" s="44"/>
      <c r="D118" s="44"/>
      <c r="E118" s="45"/>
      <c r="F118" s="45"/>
      <c r="G118" s="45"/>
      <c r="H118" s="45"/>
      <c r="I118" s="49" t="s">
        <v>47</v>
      </c>
      <c r="J118" s="9">
        <v>0</v>
      </c>
      <c r="K118" s="11">
        <v>6</v>
      </c>
      <c r="L118" s="11" t="s">
        <v>48</v>
      </c>
      <c r="M118" s="47"/>
      <c r="N118" s="14">
        <v>2</v>
      </c>
      <c r="O118" s="14"/>
      <c r="P118" s="14"/>
      <c r="Q118" s="50" t="s">
        <v>49</v>
      </c>
      <c r="R118" s="51"/>
      <c r="S118" s="45"/>
      <c r="T118" s="45"/>
      <c r="U118" s="45"/>
      <c r="V118" s="45"/>
      <c r="W118" s="45"/>
      <c r="X118" s="45"/>
      <c r="Y118" s="45"/>
      <c r="Z118" s="45"/>
      <c r="AA118" s="45"/>
      <c r="AC118" s="45"/>
      <c r="AD118" s="45"/>
      <c r="AE118" s="45"/>
      <c r="AF118" s="45"/>
      <c r="AG118" s="45"/>
      <c r="AH118" s="45"/>
    </row>
    <row r="119" spans="1:38" ht="25.05" customHeight="1">
      <c r="B119" s="44"/>
      <c r="C119" s="44"/>
      <c r="D119" s="44"/>
      <c r="E119" s="45"/>
      <c r="F119" s="45"/>
      <c r="G119" s="45"/>
      <c r="H119" s="45"/>
      <c r="I119" s="49" t="s">
        <v>50</v>
      </c>
      <c r="J119" s="9">
        <v>0</v>
      </c>
      <c r="K119" s="11">
        <v>0</v>
      </c>
      <c r="L119" s="11" t="s">
        <v>48</v>
      </c>
      <c r="M119" s="47"/>
      <c r="N119" s="14">
        <v>0</v>
      </c>
      <c r="O119" s="14"/>
      <c r="P119" s="14"/>
      <c r="Q119" s="50" t="s">
        <v>51</v>
      </c>
      <c r="R119" s="51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  <c r="AE119" s="45"/>
      <c r="AF119" s="45"/>
      <c r="AG119" s="45"/>
      <c r="AH119" s="45"/>
    </row>
    <row r="120" spans="1:38" ht="25.05" customHeight="1">
      <c r="B120" s="44"/>
      <c r="C120" s="44"/>
      <c r="D120" s="44"/>
      <c r="E120" s="45"/>
      <c r="F120" s="45"/>
      <c r="G120" s="45"/>
      <c r="H120" s="45"/>
      <c r="I120" s="49" t="s">
        <v>52</v>
      </c>
      <c r="J120" s="9">
        <v>0</v>
      </c>
      <c r="K120" s="11">
        <v>12</v>
      </c>
      <c r="L120" s="11" t="s">
        <v>48</v>
      </c>
      <c r="M120" s="47"/>
      <c r="N120" s="14">
        <v>0</v>
      </c>
      <c r="O120" s="14"/>
      <c r="P120" s="14"/>
      <c r="Q120" s="50" t="s">
        <v>53</v>
      </c>
      <c r="R120" s="51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  <c r="AE120" s="45"/>
      <c r="AF120" s="45"/>
      <c r="AG120" s="45"/>
      <c r="AH120" s="45"/>
    </row>
    <row r="121" spans="1:38" ht="25.05" customHeight="1">
      <c r="B121" s="44"/>
      <c r="C121" s="44"/>
      <c r="D121" s="44"/>
      <c r="E121" s="45"/>
      <c r="F121" s="45"/>
      <c r="G121" s="45"/>
      <c r="H121" s="45"/>
      <c r="I121" s="52" t="s">
        <v>54</v>
      </c>
      <c r="J121" s="53">
        <v>0</v>
      </c>
      <c r="K121" s="11">
        <v>2</v>
      </c>
      <c r="L121" s="54" t="s">
        <v>48</v>
      </c>
      <c r="M121" s="47"/>
      <c r="N121" s="14">
        <v>3</v>
      </c>
      <c r="O121" s="14"/>
      <c r="P121" s="14"/>
      <c r="Q121" s="50" t="s">
        <v>55</v>
      </c>
      <c r="R121" s="51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  <c r="AE121" s="45"/>
      <c r="AF121" s="45"/>
      <c r="AG121" s="45"/>
      <c r="AH121" s="45"/>
    </row>
    <row r="122" spans="1:38" ht="25.05" customHeight="1">
      <c r="B122" s="44"/>
      <c r="C122" s="44"/>
      <c r="D122" s="44"/>
      <c r="E122" s="45"/>
      <c r="F122" s="45"/>
      <c r="G122" s="45"/>
      <c r="H122" s="45"/>
      <c r="I122" s="49" t="s">
        <v>56</v>
      </c>
      <c r="J122" s="9">
        <v>0</v>
      </c>
      <c r="K122" s="11">
        <v>20</v>
      </c>
      <c r="L122" s="11" t="s">
        <v>48</v>
      </c>
      <c r="M122" s="47"/>
      <c r="N122"/>
      <c r="O122"/>
      <c r="P122"/>
      <c r="Q122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  <c r="AE122" s="45"/>
      <c r="AF122" s="45"/>
      <c r="AG122" s="45"/>
      <c r="AH122" s="45"/>
    </row>
    <row r="123" spans="1:38" ht="25.05" customHeight="1">
      <c r="B123" s="44"/>
      <c r="C123" s="44"/>
      <c r="D123" s="44"/>
      <c r="E123" s="45"/>
      <c r="F123" s="45"/>
      <c r="G123" s="45"/>
      <c r="H123" s="45"/>
      <c r="M123" s="47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</row>
    <row r="124" spans="1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DD9B7-16E4-42D8-A77C-4CC14E17CAFD}">
  <sheetPr>
    <pageSetUpPr fitToPage="1"/>
  </sheetPr>
  <dimension ref="A2:AL82"/>
  <sheetViews>
    <sheetView zoomScale="85" zoomScaleNormal="85" workbookViewId="0">
      <pane xSplit="12" ySplit="3" topLeftCell="M22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2" spans="2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2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2:38" ht="25.05" customHeight="1">
      <c r="B4" s="13">
        <v>46090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0.80902777777777779</v>
      </c>
      <c r="I4" s="10">
        <f t="shared" ref="I4:I29" si="0">H4-G4</f>
        <v>1.736111111111116E-2</v>
      </c>
      <c r="J4" s="11">
        <v>8</v>
      </c>
      <c r="K4" s="11">
        <v>0</v>
      </c>
      <c r="L4" s="16">
        <f t="shared" ref="L4:L29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2:38" ht="25.05" customHeight="1">
      <c r="B5" s="13"/>
      <c r="C5" s="99" t="s">
        <v>2248</v>
      </c>
      <c r="D5" s="6" t="s">
        <v>2249</v>
      </c>
      <c r="E5" s="15" t="s">
        <v>2250</v>
      </c>
      <c r="F5" s="55" t="s">
        <v>232</v>
      </c>
      <c r="G5" s="9">
        <v>0.80972222222222223</v>
      </c>
      <c r="H5" s="9">
        <v>0.84722222222222221</v>
      </c>
      <c r="I5" s="10">
        <f t="shared" si="0"/>
        <v>3.7499999999999978E-2</v>
      </c>
      <c r="J5" s="11">
        <v>1</v>
      </c>
      <c r="K5" s="11">
        <f>2.3*10</f>
        <v>23</v>
      </c>
      <c r="L5" s="16">
        <f t="shared" si="1"/>
        <v>25.555555555555571</v>
      </c>
      <c r="M5" s="11"/>
      <c r="N5" s="11"/>
      <c r="O5" s="11"/>
      <c r="P5" s="11"/>
      <c r="Q5" s="11"/>
      <c r="R5" s="12">
        <v>54</v>
      </c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ht="25.5" customHeight="1">
      <c r="B6" s="13"/>
      <c r="C6" s="99"/>
      <c r="D6" s="6"/>
      <c r="E6" s="15" t="s">
        <v>2251</v>
      </c>
      <c r="F6" s="55" t="s">
        <v>64</v>
      </c>
      <c r="G6" s="9">
        <v>0.82013888888888886</v>
      </c>
      <c r="H6" s="9">
        <v>0.83333333333333337</v>
      </c>
      <c r="I6" s="10">
        <f t="shared" si="0"/>
        <v>1.3194444444444509E-2</v>
      </c>
      <c r="J6" s="11">
        <v>2</v>
      </c>
      <c r="K6" s="11">
        <f>0.92*10</f>
        <v>9.2000000000000011</v>
      </c>
      <c r="L6" s="16">
        <f t="shared" si="1"/>
        <v>14.526315789473616</v>
      </c>
      <c r="M6" s="11">
        <v>19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2:38" ht="25.5" customHeight="1">
      <c r="B7" s="13"/>
      <c r="C7" s="99"/>
      <c r="D7" s="6"/>
      <c r="E7" s="15" t="s">
        <v>2252</v>
      </c>
      <c r="F7" s="55" t="s">
        <v>42</v>
      </c>
      <c r="G7" s="9">
        <v>0.80972222222222223</v>
      </c>
      <c r="H7" s="9">
        <v>0.81944444444444442</v>
      </c>
      <c r="I7" s="10">
        <f t="shared" si="0"/>
        <v>9.7222222222221877E-3</v>
      </c>
      <c r="J7" s="11">
        <v>2</v>
      </c>
      <c r="K7" s="11">
        <v>9.1999999999999993</v>
      </c>
      <c r="L7" s="16">
        <f t="shared" si="1"/>
        <v>19.714285714285783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2:38" ht="25.05" customHeight="1">
      <c r="B8" s="13"/>
      <c r="C8" s="14"/>
      <c r="D8" s="6"/>
      <c r="E8" s="15" t="s">
        <v>387</v>
      </c>
      <c r="F8" s="55" t="s">
        <v>42</v>
      </c>
      <c r="G8" s="9">
        <v>0.80972222222222223</v>
      </c>
      <c r="H8" s="9">
        <v>0.9375</v>
      </c>
      <c r="I8" s="10">
        <f t="shared" si="0"/>
        <v>0.12777777777777777</v>
      </c>
      <c r="J8" s="11">
        <v>4</v>
      </c>
      <c r="K8" s="11">
        <f>358*4.03</f>
        <v>1442.74</v>
      </c>
      <c r="L8" s="16">
        <f t="shared" si="1"/>
        <v>117.61467391304349</v>
      </c>
      <c r="M8" s="11"/>
      <c r="N8" s="11"/>
      <c r="O8" s="11"/>
      <c r="P8" s="11"/>
      <c r="Q8" s="11">
        <v>184</v>
      </c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2:38" ht="25.05" customHeight="1">
      <c r="B9" s="13"/>
      <c r="C9" s="14"/>
      <c r="D9" s="6"/>
      <c r="E9" s="15" t="s">
        <v>2253</v>
      </c>
      <c r="F9" s="57">
        <v>0.75</v>
      </c>
      <c r="G9" s="9">
        <v>0.83402777777777781</v>
      </c>
      <c r="H9" s="9">
        <v>0.91319444444444442</v>
      </c>
      <c r="I9" s="10">
        <f t="shared" si="0"/>
        <v>7.9166666666666607E-2</v>
      </c>
      <c r="J9" s="11">
        <v>2</v>
      </c>
      <c r="K9" s="11">
        <f>115*10</f>
        <v>1150</v>
      </c>
      <c r="L9" s="16">
        <f t="shared" si="1"/>
        <v>302.63157894736861</v>
      </c>
      <c r="M9" s="11">
        <v>114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2:38" ht="25.05" customHeight="1">
      <c r="B10" s="13"/>
      <c r="C10" s="14"/>
      <c r="D10" s="6"/>
      <c r="E10" s="15" t="s">
        <v>2254</v>
      </c>
      <c r="F10" s="55" t="s">
        <v>2255</v>
      </c>
      <c r="G10" s="9">
        <v>0.82013888888888886</v>
      </c>
      <c r="H10" s="9">
        <v>0.85416666666666663</v>
      </c>
      <c r="I10" s="10">
        <f t="shared" si="0"/>
        <v>3.4027777777777768E-2</v>
      </c>
      <c r="J10" s="11">
        <v>2</v>
      </c>
      <c r="K10" s="11">
        <f>1.15*10</f>
        <v>11.5</v>
      </c>
      <c r="L10" s="16">
        <f t="shared" si="1"/>
        <v>7.0408163265306145</v>
      </c>
      <c r="M10" s="11"/>
      <c r="N10" s="11"/>
      <c r="O10" s="11">
        <v>49</v>
      </c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2:38" ht="25.05" customHeight="1">
      <c r="B11" s="13"/>
      <c r="C11" s="14"/>
      <c r="D11" s="6" t="s">
        <v>1432</v>
      </c>
      <c r="E11" s="15" t="s">
        <v>806</v>
      </c>
      <c r="F11" s="55" t="s">
        <v>232</v>
      </c>
      <c r="G11" s="9">
        <v>0.81666666666666665</v>
      </c>
      <c r="H11" s="9">
        <v>0.81944444444444442</v>
      </c>
      <c r="I11" s="10">
        <f t="shared" si="0"/>
        <v>2.7777777777777679E-3</v>
      </c>
      <c r="J11" s="11">
        <v>2</v>
      </c>
      <c r="K11" s="11">
        <f>0.2*8</f>
        <v>1.6</v>
      </c>
      <c r="L11" s="16">
        <f t="shared" si="1"/>
        <v>12.000000000000043</v>
      </c>
      <c r="M11" s="11">
        <v>4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2:38" ht="25.05" customHeight="1">
      <c r="B12" s="13"/>
      <c r="C12" s="14"/>
      <c r="D12" s="6"/>
      <c r="E12" s="15" t="s">
        <v>807</v>
      </c>
      <c r="F12" s="55" t="s">
        <v>234</v>
      </c>
      <c r="G12" s="9">
        <v>0.91666666666666663</v>
      </c>
      <c r="H12" s="9">
        <v>0.92013888888888884</v>
      </c>
      <c r="I12" s="10">
        <f t="shared" si="0"/>
        <v>3.4722222222222099E-3</v>
      </c>
      <c r="J12" s="11">
        <v>2</v>
      </c>
      <c r="K12" s="11">
        <f>1*8</f>
        <v>8</v>
      </c>
      <c r="L12" s="16">
        <f t="shared" si="1"/>
        <v>48.000000000000171</v>
      </c>
      <c r="M12" s="11">
        <v>5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2:38" ht="25.05" customHeight="1">
      <c r="B13" s="13"/>
      <c r="C13" s="14"/>
      <c r="D13" s="6"/>
      <c r="E13" s="15" t="s">
        <v>732</v>
      </c>
      <c r="F13" s="57">
        <v>0.5</v>
      </c>
      <c r="G13" s="9">
        <v>0.92777777777777781</v>
      </c>
      <c r="H13" s="9">
        <v>0.93194444444444446</v>
      </c>
      <c r="I13" s="10">
        <f t="shared" si="0"/>
        <v>4.1666666666666519E-3</v>
      </c>
      <c r="J13" s="11">
        <v>2</v>
      </c>
      <c r="K13" s="11">
        <f>5.33*8</f>
        <v>42.64</v>
      </c>
      <c r="L13" s="16">
        <f t="shared" si="1"/>
        <v>213.20000000000076</v>
      </c>
      <c r="M13" s="11">
        <v>6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2:38" ht="25.05" customHeight="1">
      <c r="B14" s="13"/>
      <c r="C14" s="14"/>
      <c r="D14" s="6"/>
      <c r="E14" s="15" t="s">
        <v>808</v>
      </c>
      <c r="F14" s="55" t="s">
        <v>237</v>
      </c>
      <c r="G14" s="9">
        <v>0.85486111111111107</v>
      </c>
      <c r="H14" s="9">
        <v>0.86111111111111116</v>
      </c>
      <c r="I14" s="10">
        <f t="shared" si="0"/>
        <v>6.2500000000000888E-3</v>
      </c>
      <c r="J14" s="11">
        <v>2</v>
      </c>
      <c r="K14" s="11">
        <f>0.02*8</f>
        <v>0.16</v>
      </c>
      <c r="L14" s="16">
        <f t="shared" si="1"/>
        <v>0.53333333333332578</v>
      </c>
      <c r="M14" s="11"/>
      <c r="N14" s="11"/>
      <c r="O14" s="11">
        <v>9</v>
      </c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2:38" ht="25.05" customHeight="1">
      <c r="B15" s="13"/>
      <c r="C15" s="14"/>
      <c r="D15" s="6"/>
      <c r="E15" s="15" t="s">
        <v>624</v>
      </c>
      <c r="F15" s="8" t="s">
        <v>42</v>
      </c>
      <c r="G15" s="9">
        <v>0.80972222222222223</v>
      </c>
      <c r="H15" s="9">
        <v>0.90277777777777779</v>
      </c>
      <c r="I15" s="10">
        <f t="shared" si="0"/>
        <v>9.3055555555555558E-2</v>
      </c>
      <c r="J15" s="11">
        <v>2</v>
      </c>
      <c r="K15" s="11">
        <v>25.15</v>
      </c>
      <c r="L15" s="16">
        <f t="shared" si="1"/>
        <v>5.6305970149253719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2:38" ht="25.05" customHeight="1">
      <c r="B16" s="13"/>
      <c r="C16" s="14"/>
      <c r="D16" s="6" t="s">
        <v>1760</v>
      </c>
      <c r="E16" s="71" t="s">
        <v>733</v>
      </c>
      <c r="F16" s="55" t="s">
        <v>239</v>
      </c>
      <c r="G16" s="9">
        <v>0.95208333333333328</v>
      </c>
      <c r="H16" s="9">
        <v>0.96875</v>
      </c>
      <c r="I16" s="10">
        <f t="shared" si="0"/>
        <v>1.6666666666666718E-2</v>
      </c>
      <c r="J16" s="11">
        <v>2</v>
      </c>
      <c r="K16" s="11">
        <f>0.53*8</f>
        <v>4.24</v>
      </c>
      <c r="L16" s="16">
        <f t="shared" si="1"/>
        <v>5.2999999999999838</v>
      </c>
      <c r="M16" s="11">
        <v>24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31"/>
      <c r="E17" s="117" t="s">
        <v>2256</v>
      </c>
      <c r="F17" s="118" t="s">
        <v>59</v>
      </c>
      <c r="G17" s="9">
        <v>0.80972222222222223</v>
      </c>
      <c r="H17" s="9">
        <v>0.81597222222222221</v>
      </c>
      <c r="I17" s="10">
        <f t="shared" si="0"/>
        <v>6.2499999999999778E-3</v>
      </c>
      <c r="J17" s="11">
        <v>2</v>
      </c>
      <c r="K17" s="11">
        <f>0.65*6</f>
        <v>3.9000000000000004</v>
      </c>
      <c r="L17" s="16">
        <f t="shared" si="1"/>
        <v>13.000000000000048</v>
      </c>
      <c r="M17" s="11">
        <v>9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31"/>
      <c r="E18" s="117" t="s">
        <v>2257</v>
      </c>
      <c r="F18" s="55" t="s">
        <v>66</v>
      </c>
      <c r="G18" s="9">
        <v>0.92083333333333328</v>
      </c>
      <c r="H18" s="9">
        <v>0.92708333333333337</v>
      </c>
      <c r="I18" s="10">
        <f t="shared" si="0"/>
        <v>6.2500000000000888E-3</v>
      </c>
      <c r="J18" s="11">
        <v>2</v>
      </c>
      <c r="K18" s="11">
        <f>6*6</f>
        <v>36</v>
      </c>
      <c r="L18" s="16">
        <f t="shared" si="1"/>
        <v>119.99999999999829</v>
      </c>
      <c r="M18" s="11">
        <v>9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31"/>
      <c r="E19" s="117" t="s">
        <v>2258</v>
      </c>
      <c r="F19" s="57">
        <v>0.75</v>
      </c>
      <c r="G19" s="9">
        <v>0.93263888888888891</v>
      </c>
      <c r="H19" s="9">
        <v>0.94444444444444442</v>
      </c>
      <c r="I19" s="10">
        <f t="shared" si="0"/>
        <v>1.1805555555555514E-2</v>
      </c>
      <c r="J19" s="11">
        <v>2</v>
      </c>
      <c r="K19" s="11">
        <f>41*6</f>
        <v>246</v>
      </c>
      <c r="L19" s="16">
        <f t="shared" si="1"/>
        <v>434.11764705882507</v>
      </c>
      <c r="M19" s="11">
        <v>17</v>
      </c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5" customHeight="1">
      <c r="B20" s="13"/>
      <c r="C20" s="14"/>
      <c r="D20" s="69"/>
      <c r="E20" s="113" t="s">
        <v>2026</v>
      </c>
      <c r="F20" s="55" t="s">
        <v>232</v>
      </c>
      <c r="G20" s="9">
        <v>0.92777777777777781</v>
      </c>
      <c r="H20" s="9">
        <v>0.95138888888888884</v>
      </c>
      <c r="I20" s="10">
        <f t="shared" si="0"/>
        <v>2.3611111111111027E-2</v>
      </c>
      <c r="J20" s="11">
        <v>2</v>
      </c>
      <c r="K20" s="11">
        <f>1.22*6</f>
        <v>7.32</v>
      </c>
      <c r="L20" s="16">
        <f t="shared" si="1"/>
        <v>6.4588235294117879</v>
      </c>
      <c r="M20" s="11">
        <v>34</v>
      </c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68"/>
      <c r="D21" s="112"/>
      <c r="E21" s="117" t="s">
        <v>2259</v>
      </c>
      <c r="F21" s="8" t="s">
        <v>42</v>
      </c>
      <c r="G21" s="9">
        <v>0.90625</v>
      </c>
      <c r="H21" s="9">
        <v>0.97222222222222221</v>
      </c>
      <c r="I21" s="10">
        <f t="shared" si="0"/>
        <v>6.597222222222221E-2</v>
      </c>
      <c r="J21" s="11">
        <v>4</v>
      </c>
      <c r="K21" s="11">
        <f>54*5</f>
        <v>270</v>
      </c>
      <c r="L21" s="16">
        <f t="shared" si="1"/>
        <v>42.631578947368432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68"/>
      <c r="D22" s="112"/>
      <c r="E22" s="15" t="s">
        <v>859</v>
      </c>
      <c r="F22" s="55" t="s">
        <v>42</v>
      </c>
      <c r="G22" s="9">
        <v>0.97291666666666665</v>
      </c>
      <c r="H22" s="9">
        <v>46091.034722222219</v>
      </c>
      <c r="I22" s="10">
        <f t="shared" si="0"/>
        <v>46090.061805555553</v>
      </c>
      <c r="J22" s="11">
        <v>8</v>
      </c>
      <c r="K22" s="11">
        <v>0</v>
      </c>
      <c r="L22" s="16">
        <f t="shared" si="1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115"/>
      <c r="E23" s="117" t="s">
        <v>2260</v>
      </c>
      <c r="F23" s="8" t="s">
        <v>42</v>
      </c>
      <c r="G23" s="9">
        <v>4.1666666666666664E-2</v>
      </c>
      <c r="H23" s="9">
        <v>6.9444444444444448E-2</v>
      </c>
      <c r="I23" s="10">
        <f t="shared" si="0"/>
        <v>2.7777777777777783E-2</v>
      </c>
      <c r="J23" s="11">
        <v>4</v>
      </c>
      <c r="K23" s="11">
        <v>54</v>
      </c>
      <c r="L23" s="16">
        <f t="shared" si="1"/>
        <v>20.249999999999996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68"/>
      <c r="D24" s="112"/>
      <c r="E24" s="117" t="s">
        <v>2261</v>
      </c>
      <c r="F24" s="55" t="s">
        <v>63</v>
      </c>
      <c r="G24" s="9">
        <v>6.9444444444444448E-2</v>
      </c>
      <c r="H24" s="9">
        <v>0.11805555555555555</v>
      </c>
      <c r="I24" s="10">
        <f t="shared" si="0"/>
        <v>4.8611111111111105E-2</v>
      </c>
      <c r="J24" s="11">
        <v>6</v>
      </c>
      <c r="K24" s="11">
        <f>28.8*6</f>
        <v>172.8</v>
      </c>
      <c r="L24" s="16">
        <f t="shared" si="1"/>
        <v>24.685714285714294</v>
      </c>
      <c r="M24" s="11"/>
      <c r="N24" s="11"/>
      <c r="O24" s="11"/>
      <c r="P24" s="11"/>
      <c r="Q24" s="11"/>
      <c r="R24" s="12"/>
      <c r="S24" s="12">
        <v>70</v>
      </c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114" t="s">
        <v>2218</v>
      </c>
      <c r="E25" s="111" t="s">
        <v>2262</v>
      </c>
      <c r="F25" s="8" t="s">
        <v>42</v>
      </c>
      <c r="G25" s="9">
        <v>0.8618055555555556</v>
      </c>
      <c r="H25" s="9">
        <v>0.90277777777777779</v>
      </c>
      <c r="I25" s="10">
        <f t="shared" si="0"/>
        <v>4.0972222222222188E-2</v>
      </c>
      <c r="J25" s="11">
        <v>2</v>
      </c>
      <c r="K25" s="11">
        <v>54</v>
      </c>
      <c r="L25" s="16">
        <f t="shared" si="1"/>
        <v>27.457627118644094</v>
      </c>
      <c r="M25" s="11"/>
      <c r="N25" s="11"/>
      <c r="O25" s="11"/>
      <c r="P25" s="11"/>
      <c r="Q25" s="11"/>
      <c r="R25" s="12"/>
      <c r="S25" s="12">
        <v>59</v>
      </c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15" t="s">
        <v>2263</v>
      </c>
      <c r="F26" s="61" t="s">
        <v>856</v>
      </c>
      <c r="G26" s="9">
        <v>4.1666666666666664E-2</v>
      </c>
      <c r="H26" s="9">
        <v>6.9444444444444448E-2</v>
      </c>
      <c r="I26" s="10">
        <f t="shared" si="0"/>
        <v>2.7777777777777783E-2</v>
      </c>
      <c r="J26" s="11">
        <v>2</v>
      </c>
      <c r="K26" s="11">
        <v>0.93</v>
      </c>
      <c r="L26" s="16">
        <f t="shared" si="1"/>
        <v>0.6974999999999999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71" t="s">
        <v>2264</v>
      </c>
      <c r="F27" s="57">
        <v>0.9</v>
      </c>
      <c r="G27" s="9">
        <v>4.5138888888888888E-2</v>
      </c>
      <c r="H27" s="9">
        <v>5.9027777777777776E-2</v>
      </c>
      <c r="I27" s="10">
        <f t="shared" si="0"/>
        <v>1.3888888888888888E-2</v>
      </c>
      <c r="J27" s="11">
        <v>2</v>
      </c>
      <c r="K27" s="11">
        <f>21.38*1.5</f>
        <v>32.07</v>
      </c>
      <c r="L27" s="16">
        <f t="shared" si="1"/>
        <v>48.104999999999997</v>
      </c>
      <c r="M27" s="11">
        <v>20</v>
      </c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31"/>
      <c r="E28" s="116" t="s">
        <v>2265</v>
      </c>
      <c r="F28" s="57">
        <v>1</v>
      </c>
      <c r="G28" s="9">
        <v>5.9722222222222225E-2</v>
      </c>
      <c r="H28" s="9">
        <v>7.6388888888888895E-2</v>
      </c>
      <c r="I28" s="10">
        <f t="shared" si="0"/>
        <v>1.666666666666667E-2</v>
      </c>
      <c r="J28" s="11">
        <v>2</v>
      </c>
      <c r="K28" s="11">
        <f>52.7*1.5</f>
        <v>79.050000000000011</v>
      </c>
      <c r="L28" s="16">
        <f t="shared" si="1"/>
        <v>98.8125</v>
      </c>
      <c r="M28" s="11">
        <v>24</v>
      </c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/>
      <c r="E29" s="111"/>
      <c r="F29" s="55"/>
      <c r="G29" s="9"/>
      <c r="H29" s="9"/>
      <c r="I29" s="10">
        <f t="shared" si="0"/>
        <v>0</v>
      </c>
      <c r="J29" s="11"/>
      <c r="K29" s="11"/>
      <c r="L29" s="16" t="str">
        <f t="shared" si="1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s="28" customFormat="1" ht="25.05" customHeight="1">
      <c r="A30" s="2"/>
      <c r="B30" s="21"/>
      <c r="C30" s="22"/>
      <c r="D30" s="23"/>
      <c r="E30" s="24"/>
      <c r="F30" s="24"/>
      <c r="G30" s="25"/>
      <c r="H30" s="25"/>
      <c r="I30" s="26"/>
      <c r="J30" s="27"/>
      <c r="K30" s="27">
        <f t="shared" ref="K30:AI30" si="2">SUM(K4:K26)</f>
        <v>3572.38</v>
      </c>
      <c r="L30" s="39">
        <f t="shared" si="2"/>
        <v>1461.0460475344792</v>
      </c>
      <c r="M30" s="27">
        <f t="shared" si="2"/>
        <v>241</v>
      </c>
      <c r="N30" s="27">
        <f t="shared" si="2"/>
        <v>0</v>
      </c>
      <c r="O30" s="27">
        <f t="shared" si="2"/>
        <v>58</v>
      </c>
      <c r="P30" s="27">
        <f t="shared" si="2"/>
        <v>0</v>
      </c>
      <c r="Q30" s="27">
        <f t="shared" si="2"/>
        <v>184</v>
      </c>
      <c r="R30" s="27">
        <f t="shared" si="2"/>
        <v>54</v>
      </c>
      <c r="S30" s="27">
        <f t="shared" si="2"/>
        <v>129</v>
      </c>
      <c r="T30" s="27">
        <f t="shared" si="2"/>
        <v>0</v>
      </c>
      <c r="U30" s="27">
        <f t="shared" si="2"/>
        <v>0</v>
      </c>
      <c r="V30" s="27">
        <f t="shared" si="2"/>
        <v>0</v>
      </c>
      <c r="W30" s="27">
        <f t="shared" si="2"/>
        <v>0</v>
      </c>
      <c r="X30" s="27">
        <f t="shared" si="2"/>
        <v>0</v>
      </c>
      <c r="Y30" s="27">
        <f t="shared" si="2"/>
        <v>0</v>
      </c>
      <c r="Z30" s="27">
        <f t="shared" si="2"/>
        <v>0</v>
      </c>
      <c r="AA30" s="27">
        <f t="shared" si="2"/>
        <v>0</v>
      </c>
      <c r="AB30" s="27">
        <f t="shared" si="2"/>
        <v>0</v>
      </c>
      <c r="AC30" s="27">
        <f t="shared" si="2"/>
        <v>0</v>
      </c>
      <c r="AD30" s="27">
        <f t="shared" si="2"/>
        <v>0</v>
      </c>
      <c r="AE30" s="27">
        <f t="shared" si="2"/>
        <v>0</v>
      </c>
      <c r="AF30" s="27">
        <f t="shared" si="2"/>
        <v>0</v>
      </c>
      <c r="AG30" s="27">
        <f t="shared" si="2"/>
        <v>0</v>
      </c>
      <c r="AH30" s="27">
        <f t="shared" si="2"/>
        <v>0</v>
      </c>
      <c r="AI30" s="27">
        <f t="shared" si="2"/>
        <v>0</v>
      </c>
      <c r="AJ30" s="27">
        <f>SUM(AJ4:AJ26)</f>
        <v>0</v>
      </c>
      <c r="AK30" s="27">
        <f>SUM(AK4:AK26)</f>
        <v>0</v>
      </c>
      <c r="AL30" s="27">
        <f>SUM(AL4:AL26)</f>
        <v>0</v>
      </c>
    </row>
    <row r="31" spans="1:38" ht="25.05" customHeight="1">
      <c r="B31" s="13"/>
      <c r="C31" s="14" t="s">
        <v>43</v>
      </c>
      <c r="D31" s="6"/>
      <c r="E31" s="7" t="s">
        <v>41</v>
      </c>
      <c r="F31" s="8" t="s">
        <v>42</v>
      </c>
      <c r="G31" s="9"/>
      <c r="H31" s="9"/>
      <c r="I31" s="10">
        <f>H31-G31</f>
        <v>0</v>
      </c>
      <c r="J31" s="11"/>
      <c r="K31" s="11"/>
      <c r="L31" s="16" t="str">
        <f>IFERROR(((K31/(J31*I31)/24)),"0")</f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5.05" customHeight="1">
      <c r="B32" s="13"/>
      <c r="C32" s="14"/>
      <c r="D32" s="18"/>
      <c r="E32" s="6"/>
      <c r="F32" s="14"/>
      <c r="G32" s="9"/>
      <c r="H32" s="9"/>
      <c r="I32" s="10"/>
      <c r="J32" s="11"/>
      <c r="K32" s="11"/>
      <c r="L32" s="16"/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s="28" customFormat="1" ht="25.05" customHeight="1">
      <c r="A33" s="2"/>
      <c r="B33" s="21"/>
      <c r="C33" s="22"/>
      <c r="D33" s="23"/>
      <c r="E33" s="24"/>
      <c r="F33" s="22"/>
      <c r="G33" s="25"/>
      <c r="H33" s="25"/>
      <c r="I33" s="26"/>
      <c r="J33" s="27"/>
      <c r="K33" s="27">
        <f t="shared" ref="K33:AI33" si="3">SUM(K31:K32)</f>
        <v>0</v>
      </c>
      <c r="L33" s="27">
        <f t="shared" si="3"/>
        <v>0</v>
      </c>
      <c r="M33" s="27">
        <f t="shared" si="3"/>
        <v>0</v>
      </c>
      <c r="N33" s="27">
        <f t="shared" si="3"/>
        <v>0</v>
      </c>
      <c r="O33" s="27">
        <f t="shared" si="3"/>
        <v>0</v>
      </c>
      <c r="P33" s="27">
        <f t="shared" si="3"/>
        <v>0</v>
      </c>
      <c r="Q33" s="27">
        <f t="shared" si="3"/>
        <v>0</v>
      </c>
      <c r="R33" s="27">
        <f t="shared" si="3"/>
        <v>0</v>
      </c>
      <c r="S33" s="27">
        <f t="shared" si="3"/>
        <v>0</v>
      </c>
      <c r="T33" s="27">
        <f t="shared" si="3"/>
        <v>0</v>
      </c>
      <c r="U33" s="27">
        <f t="shared" si="3"/>
        <v>0</v>
      </c>
      <c r="V33" s="27">
        <f t="shared" si="3"/>
        <v>0</v>
      </c>
      <c r="W33" s="27">
        <f t="shared" si="3"/>
        <v>0</v>
      </c>
      <c r="X33" s="27">
        <f t="shared" si="3"/>
        <v>0</v>
      </c>
      <c r="Y33" s="27">
        <f t="shared" si="3"/>
        <v>0</v>
      </c>
      <c r="Z33" s="27">
        <f t="shared" si="3"/>
        <v>0</v>
      </c>
      <c r="AA33" s="27">
        <f t="shared" si="3"/>
        <v>0</v>
      </c>
      <c r="AB33" s="27">
        <f t="shared" si="3"/>
        <v>0</v>
      </c>
      <c r="AC33" s="27">
        <f t="shared" si="3"/>
        <v>0</v>
      </c>
      <c r="AD33" s="27">
        <f t="shared" si="3"/>
        <v>0</v>
      </c>
      <c r="AE33" s="27">
        <f t="shared" si="3"/>
        <v>0</v>
      </c>
      <c r="AF33" s="27">
        <f t="shared" si="3"/>
        <v>0</v>
      </c>
      <c r="AG33" s="27">
        <f t="shared" si="3"/>
        <v>0</v>
      </c>
      <c r="AH33" s="27">
        <f t="shared" si="3"/>
        <v>0</v>
      </c>
      <c r="AI33" s="27">
        <f t="shared" si="3"/>
        <v>0</v>
      </c>
      <c r="AJ33" s="27">
        <f>SUM(AJ31:AJ32)</f>
        <v>0</v>
      </c>
      <c r="AK33" s="27">
        <f>SUM(AK31:AK32)</f>
        <v>0</v>
      </c>
      <c r="AL33" s="27">
        <f>SUM(AL31:AL32)</f>
        <v>0</v>
      </c>
    </row>
    <row r="34" spans="1:38" ht="25.05" customHeight="1">
      <c r="B34" s="5">
        <v>46090</v>
      </c>
      <c r="C34" s="29" t="s">
        <v>44</v>
      </c>
      <c r="D34" s="30"/>
      <c r="E34" s="7" t="s">
        <v>41</v>
      </c>
      <c r="F34" s="8" t="s">
        <v>42</v>
      </c>
      <c r="G34" s="9">
        <v>0.79166666666666663</v>
      </c>
      <c r="H34" s="9">
        <v>0.8125</v>
      </c>
      <c r="I34" s="10">
        <f t="shared" ref="I34:I60" si="4">H34-G34</f>
        <v>2.083333333333337E-2</v>
      </c>
      <c r="J34" s="11">
        <v>5</v>
      </c>
      <c r="K34" s="11" t="s">
        <v>209</v>
      </c>
      <c r="L34" s="16" t="str">
        <f t="shared" ref="L34:L60" si="5">IFERROR(((K34/(J34*I34)/24)),"0")</f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1:38" ht="25.05" customHeight="1">
      <c r="B35" s="13"/>
      <c r="C35" s="29"/>
      <c r="D35" s="30" t="s">
        <v>2219</v>
      </c>
      <c r="E35" s="19" t="s">
        <v>2266</v>
      </c>
      <c r="F35" s="8" t="s">
        <v>42</v>
      </c>
      <c r="G35" s="9">
        <v>0.93680555555555556</v>
      </c>
      <c r="H35" s="9">
        <v>0.95763888888888893</v>
      </c>
      <c r="I35" s="10">
        <f t="shared" si="4"/>
        <v>2.083333333333337E-2</v>
      </c>
      <c r="J35" s="11">
        <v>4</v>
      </c>
      <c r="K35" s="11">
        <v>35.11</v>
      </c>
      <c r="L35" s="16">
        <f t="shared" si="5"/>
        <v>17.554999999999968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>
        <v>7.5</v>
      </c>
      <c r="AH35" s="11">
        <v>7.5</v>
      </c>
      <c r="AI35" s="11">
        <v>7.5</v>
      </c>
      <c r="AJ35" s="11">
        <v>7.5</v>
      </c>
      <c r="AK35" s="11"/>
      <c r="AL35" s="14"/>
    </row>
    <row r="36" spans="1:38" ht="25.05" customHeight="1">
      <c r="B36" s="13"/>
      <c r="C36" s="29"/>
      <c r="D36" s="30"/>
      <c r="E36" s="19" t="s">
        <v>2267</v>
      </c>
      <c r="F36" s="8" t="s">
        <v>42</v>
      </c>
      <c r="G36" s="9">
        <v>0.95972222222222225</v>
      </c>
      <c r="H36" s="9">
        <v>0.9770833333333333</v>
      </c>
      <c r="I36" s="10">
        <f t="shared" si="4"/>
        <v>1.7361111111111049E-2</v>
      </c>
      <c r="J36" s="11">
        <v>4</v>
      </c>
      <c r="K36" s="11">
        <v>35.92</v>
      </c>
      <c r="L36" s="16">
        <f t="shared" si="5"/>
        <v>21.552000000000078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>
        <v>6.25</v>
      </c>
      <c r="AH36" s="11">
        <v>6.25</v>
      </c>
      <c r="AI36" s="11">
        <v>6.25</v>
      </c>
      <c r="AJ36" s="11">
        <v>6.25</v>
      </c>
      <c r="AK36" s="11"/>
      <c r="AL36" s="14"/>
    </row>
    <row r="37" spans="1:38" ht="25.05" customHeight="1">
      <c r="B37" s="13"/>
      <c r="C37" s="29"/>
      <c r="D37" s="30"/>
      <c r="E37" s="19" t="s">
        <v>2268</v>
      </c>
      <c r="F37" s="8" t="s">
        <v>42</v>
      </c>
      <c r="G37" s="9">
        <v>4.3055555555555555E-2</v>
      </c>
      <c r="H37" s="9">
        <v>6.5277777777777782E-2</v>
      </c>
      <c r="I37" s="10">
        <f t="shared" si="4"/>
        <v>2.2222222222222227E-2</v>
      </c>
      <c r="J37" s="11">
        <v>4</v>
      </c>
      <c r="K37" s="11">
        <v>39.54</v>
      </c>
      <c r="L37" s="16">
        <f t="shared" si="5"/>
        <v>18.534374999999997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/>
      <c r="AD37" s="11"/>
      <c r="AE37" s="11"/>
      <c r="AF37" s="11"/>
      <c r="AG37" s="11">
        <f>32/4</f>
        <v>8</v>
      </c>
      <c r="AH37" s="11">
        <f t="shared" ref="AH37:AJ37" si="6">32/4</f>
        <v>8</v>
      </c>
      <c r="AI37" s="11">
        <f t="shared" si="6"/>
        <v>8</v>
      </c>
      <c r="AJ37" s="11">
        <f t="shared" si="6"/>
        <v>8</v>
      </c>
      <c r="AK37" s="11"/>
      <c r="AL37" s="14"/>
    </row>
    <row r="38" spans="1:38" ht="25.05" customHeight="1">
      <c r="B38" s="13"/>
      <c r="C38" s="29"/>
      <c r="D38" s="30"/>
      <c r="E38" s="19" t="s">
        <v>2269</v>
      </c>
      <c r="F38" s="8" t="s">
        <v>42</v>
      </c>
      <c r="G38" s="9">
        <v>6.5972222222222224E-2</v>
      </c>
      <c r="H38" s="9">
        <v>8.4722222222222227E-2</v>
      </c>
      <c r="I38" s="10">
        <f t="shared" si="4"/>
        <v>1.8750000000000003E-2</v>
      </c>
      <c r="J38" s="11">
        <v>4</v>
      </c>
      <c r="K38" s="11">
        <v>32.76</v>
      </c>
      <c r="L38" s="16">
        <f t="shared" si="5"/>
        <v>18.199999999999996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/>
      <c r="AC38" s="11"/>
      <c r="AD38" s="11"/>
      <c r="AE38" s="11"/>
      <c r="AF38" s="11"/>
      <c r="AG38" s="11">
        <f>27/4</f>
        <v>6.75</v>
      </c>
      <c r="AH38" s="11">
        <f t="shared" ref="AH38:AJ38" si="7">27/4</f>
        <v>6.75</v>
      </c>
      <c r="AI38" s="11">
        <f t="shared" si="7"/>
        <v>6.75</v>
      </c>
      <c r="AJ38" s="11">
        <f t="shared" si="7"/>
        <v>6.75</v>
      </c>
      <c r="AK38" s="11"/>
      <c r="AL38" s="14"/>
    </row>
    <row r="39" spans="1:38" ht="25.05" customHeight="1">
      <c r="B39" s="13"/>
      <c r="C39" s="29"/>
      <c r="D39" s="30"/>
      <c r="E39" s="19" t="s">
        <v>2270</v>
      </c>
      <c r="F39" s="8" t="s">
        <v>42</v>
      </c>
      <c r="G39" s="9">
        <v>8.611111111111111E-2</v>
      </c>
      <c r="H39" s="9">
        <v>0.10347222222222222</v>
      </c>
      <c r="I39" s="10">
        <f t="shared" si="4"/>
        <v>1.7361111111111105E-2</v>
      </c>
      <c r="J39" s="11">
        <v>4</v>
      </c>
      <c r="K39" s="11">
        <v>35.86</v>
      </c>
      <c r="L39" s="16">
        <f t="shared" si="5"/>
        <v>21.516000000000005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/>
      <c r="AC39" s="11"/>
      <c r="AD39" s="11"/>
      <c r="AE39" s="11"/>
      <c r="AF39" s="11"/>
      <c r="AG39" s="11">
        <f>25/4</f>
        <v>6.25</v>
      </c>
      <c r="AH39" s="11">
        <f t="shared" ref="AH39:AJ39" si="8">25/4</f>
        <v>6.25</v>
      </c>
      <c r="AI39" s="11">
        <f t="shared" si="8"/>
        <v>6.25</v>
      </c>
      <c r="AJ39" s="11">
        <f t="shared" si="8"/>
        <v>6.25</v>
      </c>
      <c r="AK39" s="11"/>
      <c r="AL39" s="14"/>
    </row>
    <row r="40" spans="1:38" ht="25.05" customHeight="1">
      <c r="B40" s="13"/>
      <c r="C40" s="29"/>
      <c r="D40" s="30"/>
      <c r="E40" s="19" t="s">
        <v>2271</v>
      </c>
      <c r="F40" s="8" t="s">
        <v>42</v>
      </c>
      <c r="G40" s="9">
        <v>0.10555555555555556</v>
      </c>
      <c r="H40" s="9">
        <v>0.125</v>
      </c>
      <c r="I40" s="10">
        <f t="shared" si="4"/>
        <v>1.9444444444444445E-2</v>
      </c>
      <c r="J40" s="11">
        <v>4</v>
      </c>
      <c r="K40" s="11">
        <v>35.28</v>
      </c>
      <c r="L40" s="16">
        <f t="shared" si="5"/>
        <v>18.900000000000002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/>
      <c r="AD40" s="11"/>
      <c r="AE40" s="11"/>
      <c r="AF40" s="11"/>
      <c r="AG40" s="11">
        <f>28/4</f>
        <v>7</v>
      </c>
      <c r="AH40" s="11">
        <f t="shared" ref="AH40:AJ40" si="9">28/4</f>
        <v>7</v>
      </c>
      <c r="AI40" s="11">
        <f t="shared" si="9"/>
        <v>7</v>
      </c>
      <c r="AJ40" s="11">
        <f t="shared" si="9"/>
        <v>7</v>
      </c>
      <c r="AK40" s="11"/>
      <c r="AL40" s="14"/>
    </row>
    <row r="41" spans="1:38" ht="25.05" customHeight="1">
      <c r="B41" s="13"/>
      <c r="C41" s="29"/>
      <c r="D41" s="30"/>
      <c r="E41" s="19" t="s">
        <v>2272</v>
      </c>
      <c r="F41" s="8" t="s">
        <v>42</v>
      </c>
      <c r="G41" s="9">
        <v>0.12777777777777777</v>
      </c>
      <c r="H41" s="9">
        <v>0.14583333333333334</v>
      </c>
      <c r="I41" s="10">
        <f t="shared" si="4"/>
        <v>1.8055555555555575E-2</v>
      </c>
      <c r="J41" s="11">
        <v>4</v>
      </c>
      <c r="K41" s="11">
        <v>36.89</v>
      </c>
      <c r="L41" s="16">
        <f t="shared" si="5"/>
        <v>21.282692307692283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/>
      <c r="AD41" s="11"/>
      <c r="AE41" s="11"/>
      <c r="AF41" s="11"/>
      <c r="AG41" s="11">
        <f>26/4</f>
        <v>6.5</v>
      </c>
      <c r="AH41" s="11">
        <f t="shared" ref="AH41:AJ41" si="10">26/4</f>
        <v>6.5</v>
      </c>
      <c r="AI41" s="11">
        <f t="shared" si="10"/>
        <v>6.5</v>
      </c>
      <c r="AJ41" s="11">
        <f t="shared" si="10"/>
        <v>6.5</v>
      </c>
      <c r="AK41" s="11"/>
      <c r="AL41" s="14"/>
    </row>
    <row r="42" spans="1:38" ht="25.05" customHeight="1">
      <c r="B42" s="13"/>
      <c r="C42" s="29"/>
      <c r="D42" s="30"/>
      <c r="E42" s="19" t="s">
        <v>2273</v>
      </c>
      <c r="F42" s="8" t="s">
        <v>42</v>
      </c>
      <c r="G42" s="9">
        <v>0.14652777777777778</v>
      </c>
      <c r="H42" s="9">
        <v>0.16388888888888889</v>
      </c>
      <c r="I42" s="10">
        <f t="shared" si="4"/>
        <v>1.7361111111111105E-2</v>
      </c>
      <c r="J42" s="11">
        <v>4</v>
      </c>
      <c r="K42" s="11">
        <v>37.950000000000003</v>
      </c>
      <c r="L42" s="16">
        <f t="shared" si="5"/>
        <v>22.77000000000001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/>
      <c r="AC42" s="11"/>
      <c r="AD42" s="11"/>
      <c r="AE42" s="11"/>
      <c r="AF42" s="11"/>
      <c r="AG42" s="11">
        <f>25/4</f>
        <v>6.25</v>
      </c>
      <c r="AH42" s="11">
        <f t="shared" ref="AH42:AJ42" si="11">25/4</f>
        <v>6.25</v>
      </c>
      <c r="AI42" s="11">
        <f t="shared" si="11"/>
        <v>6.25</v>
      </c>
      <c r="AJ42" s="11">
        <f t="shared" si="11"/>
        <v>6.25</v>
      </c>
      <c r="AK42" s="11"/>
      <c r="AL42" s="14"/>
    </row>
    <row r="43" spans="1:38" ht="25.05" customHeight="1">
      <c r="B43" s="13"/>
      <c r="C43" s="29"/>
      <c r="D43" s="30"/>
      <c r="E43" s="19" t="s">
        <v>2274</v>
      </c>
      <c r="F43" s="8" t="s">
        <v>42</v>
      </c>
      <c r="G43" s="9">
        <v>0.16527777777777777</v>
      </c>
      <c r="H43" s="9">
        <v>0.18819444444444444</v>
      </c>
      <c r="I43" s="10">
        <f t="shared" si="4"/>
        <v>2.2916666666666669E-2</v>
      </c>
      <c r="J43" s="11">
        <v>4</v>
      </c>
      <c r="K43" s="11">
        <v>35.81</v>
      </c>
      <c r="L43" s="16">
        <f t="shared" si="5"/>
        <v>16.277272727272727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/>
      <c r="AD43" s="11"/>
      <c r="AE43" s="11"/>
      <c r="AF43" s="11"/>
      <c r="AG43" s="11">
        <f>33/4</f>
        <v>8.25</v>
      </c>
      <c r="AH43" s="11">
        <f t="shared" ref="AH43:AJ43" si="12">33/4</f>
        <v>8.25</v>
      </c>
      <c r="AI43" s="11">
        <f t="shared" si="12"/>
        <v>8.25</v>
      </c>
      <c r="AJ43" s="11">
        <f t="shared" si="12"/>
        <v>8.25</v>
      </c>
      <c r="AK43" s="11"/>
      <c r="AL43" s="14"/>
    </row>
    <row r="44" spans="1:38" ht="25.05" customHeight="1">
      <c r="B44" s="13"/>
      <c r="C44" s="29"/>
      <c r="D44" s="30"/>
      <c r="E44" s="19" t="s">
        <v>2275</v>
      </c>
      <c r="F44" s="8" t="s">
        <v>42</v>
      </c>
      <c r="G44" s="9">
        <v>0.18888888888888888</v>
      </c>
      <c r="H44" s="9">
        <v>0.20694444444444443</v>
      </c>
      <c r="I44" s="10">
        <f t="shared" si="4"/>
        <v>1.8055555555555547E-2</v>
      </c>
      <c r="J44" s="11">
        <v>4</v>
      </c>
      <c r="K44" s="11">
        <v>37.729999999999997</v>
      </c>
      <c r="L44" s="16">
        <f t="shared" si="5"/>
        <v>21.7673076923077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/>
      <c r="AD44" s="11"/>
      <c r="AE44" s="11"/>
      <c r="AF44" s="11"/>
      <c r="AG44" s="11">
        <f>26/4</f>
        <v>6.5</v>
      </c>
      <c r="AH44" s="11">
        <f t="shared" ref="AH44:AJ44" si="13">26/4</f>
        <v>6.5</v>
      </c>
      <c r="AI44" s="11">
        <f t="shared" si="13"/>
        <v>6.5</v>
      </c>
      <c r="AJ44" s="11">
        <f t="shared" si="13"/>
        <v>6.5</v>
      </c>
      <c r="AK44" s="11"/>
      <c r="AL44" s="14"/>
    </row>
    <row r="45" spans="1:38" ht="25.05" customHeight="1">
      <c r="B45" s="13"/>
      <c r="C45" s="29"/>
      <c r="D45" s="30"/>
      <c r="E45" s="19" t="s">
        <v>2276</v>
      </c>
      <c r="F45" s="8" t="s">
        <v>42</v>
      </c>
      <c r="G45" s="9">
        <v>0.81388888888888888</v>
      </c>
      <c r="H45" s="9">
        <v>0.82499999999999996</v>
      </c>
      <c r="I45" s="10">
        <f t="shared" si="4"/>
        <v>1.1111111111111072E-2</v>
      </c>
      <c r="J45" s="11">
        <v>1</v>
      </c>
      <c r="K45" s="11">
        <v>1.5</v>
      </c>
      <c r="L45" s="16">
        <f t="shared" si="5"/>
        <v>5.6250000000000204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10</v>
      </c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2277</v>
      </c>
      <c r="F46" s="8" t="s">
        <v>42</v>
      </c>
      <c r="G46" s="9">
        <v>0.85138888888888886</v>
      </c>
      <c r="H46" s="9">
        <v>0.87083333333333335</v>
      </c>
      <c r="I46" s="10">
        <f t="shared" si="4"/>
        <v>1.9444444444444486E-2</v>
      </c>
      <c r="J46" s="11">
        <v>4</v>
      </c>
      <c r="K46" s="11">
        <v>149.80000000000001</v>
      </c>
      <c r="L46" s="16">
        <f t="shared" si="5"/>
        <v>80.249999999999829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/>
      <c r="AC46" s="11"/>
      <c r="AD46" s="11">
        <v>28</v>
      </c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 t="s">
        <v>2278</v>
      </c>
      <c r="F47" s="8" t="s">
        <v>42</v>
      </c>
      <c r="G47" s="9">
        <v>0.85138888888888886</v>
      </c>
      <c r="H47" s="9">
        <v>0.87152777777777779</v>
      </c>
      <c r="I47" s="10">
        <f t="shared" si="4"/>
        <v>2.0138888888888928E-2</v>
      </c>
      <c r="J47" s="11">
        <v>4</v>
      </c>
      <c r="K47" s="11">
        <v>150.04</v>
      </c>
      <c r="L47" s="16">
        <f t="shared" si="5"/>
        <v>77.606896551723977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/>
      <c r="Y47" s="11"/>
      <c r="Z47" s="11"/>
      <c r="AA47" s="11"/>
      <c r="AB47" s="11">
        <v>29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 t="s">
        <v>2279</v>
      </c>
      <c r="F48" s="8" t="s">
        <v>42</v>
      </c>
      <c r="G48" s="9">
        <v>0.85624999999999996</v>
      </c>
      <c r="H48" s="9">
        <v>0.87847222222222221</v>
      </c>
      <c r="I48" s="10">
        <f t="shared" si="4"/>
        <v>2.2222222222222254E-2</v>
      </c>
      <c r="J48" s="11">
        <v>4</v>
      </c>
      <c r="K48" s="11">
        <v>148.75</v>
      </c>
      <c r="L48" s="16">
        <f t="shared" si="5"/>
        <v>69.726562499999901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>
        <v>32</v>
      </c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2280</v>
      </c>
      <c r="F49" s="8" t="s">
        <v>42</v>
      </c>
      <c r="G49" s="9">
        <v>0.87847222222222221</v>
      </c>
      <c r="H49" s="9">
        <v>0.89861111111111114</v>
      </c>
      <c r="I49" s="10">
        <f t="shared" si="4"/>
        <v>2.0138888888888928E-2</v>
      </c>
      <c r="J49" s="11">
        <v>4</v>
      </c>
      <c r="K49" s="11">
        <v>150.86000000000001</v>
      </c>
      <c r="L49" s="16">
        <f t="shared" si="5"/>
        <v>78.031034482758471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>
        <v>29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2281</v>
      </c>
      <c r="F50" s="8" t="s">
        <v>42</v>
      </c>
      <c r="G50" s="9">
        <v>0.88124999999999998</v>
      </c>
      <c r="H50" s="9">
        <v>0.90208333333333335</v>
      </c>
      <c r="I50" s="10">
        <f t="shared" si="4"/>
        <v>2.083333333333337E-2</v>
      </c>
      <c r="J50" s="11">
        <v>4</v>
      </c>
      <c r="K50" s="11">
        <v>149.06</v>
      </c>
      <c r="L50" s="16">
        <f t="shared" si="5"/>
        <v>74.529999999999873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/>
      <c r="AC50" s="11"/>
      <c r="AD50" s="11">
        <v>30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2282</v>
      </c>
      <c r="F51" s="8" t="s">
        <v>42</v>
      </c>
      <c r="G51" s="9">
        <v>0.88541666666666663</v>
      </c>
      <c r="H51" s="9">
        <v>0.90416666666666667</v>
      </c>
      <c r="I51" s="10">
        <f t="shared" si="4"/>
        <v>1.8750000000000044E-2</v>
      </c>
      <c r="J51" s="11">
        <v>4</v>
      </c>
      <c r="K51" s="11">
        <v>149.25</v>
      </c>
      <c r="L51" s="16">
        <f t="shared" si="5"/>
        <v>82.916666666666472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>
        <v>27</v>
      </c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2283</v>
      </c>
      <c r="F52" s="8" t="s">
        <v>42</v>
      </c>
      <c r="G52" s="9">
        <v>0.90694444444444444</v>
      </c>
      <c r="H52" s="9">
        <v>0.92569444444444449</v>
      </c>
      <c r="I52" s="10">
        <f t="shared" si="4"/>
        <v>1.8750000000000044E-2</v>
      </c>
      <c r="J52" s="11">
        <v>4</v>
      </c>
      <c r="K52" s="11">
        <v>151</v>
      </c>
      <c r="L52" s="16">
        <f t="shared" si="5"/>
        <v>83.888888888888687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/>
      <c r="AB52" s="11">
        <v>27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2284</v>
      </c>
      <c r="F53" s="8" t="s">
        <v>42</v>
      </c>
      <c r="G53" s="9">
        <v>0.90763888888888888</v>
      </c>
      <c r="H53" s="9">
        <v>0.92708333333333337</v>
      </c>
      <c r="I53" s="10">
        <f t="shared" si="4"/>
        <v>1.9444444444444486E-2</v>
      </c>
      <c r="J53" s="11">
        <v>4</v>
      </c>
      <c r="K53" s="11">
        <v>152.13999999999999</v>
      </c>
      <c r="L53" s="16">
        <f t="shared" si="5"/>
        <v>81.503571428571249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/>
      <c r="AD53" s="11">
        <v>28</v>
      </c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2285</v>
      </c>
      <c r="F54" s="8" t="s">
        <v>42</v>
      </c>
      <c r="G54" s="9">
        <v>0.9145833333333333</v>
      </c>
      <c r="H54" s="9">
        <v>0.93472222222222223</v>
      </c>
      <c r="I54" s="10">
        <f t="shared" si="4"/>
        <v>2.0138888888888928E-2</v>
      </c>
      <c r="J54" s="11">
        <v>4</v>
      </c>
      <c r="K54" s="11">
        <v>150.91</v>
      </c>
      <c r="L54" s="16">
        <f t="shared" si="5"/>
        <v>78.05689655172398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/>
      <c r="AB54" s="11"/>
      <c r="AC54" s="11">
        <v>29</v>
      </c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2286</v>
      </c>
      <c r="F55" s="8" t="s">
        <v>42</v>
      </c>
      <c r="G55" s="9">
        <v>0.92986111111111114</v>
      </c>
      <c r="H55" s="9">
        <v>0.95</v>
      </c>
      <c r="I55" s="10">
        <f t="shared" si="4"/>
        <v>2.0138888888888817E-2</v>
      </c>
      <c r="J55" s="11">
        <v>4</v>
      </c>
      <c r="K55" s="11">
        <v>149.34</v>
      </c>
      <c r="L55" s="16">
        <f t="shared" si="5"/>
        <v>77.244827586207165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>
        <v>29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/>
      <c r="F56" s="8" t="s">
        <v>42</v>
      </c>
      <c r="G56" s="9"/>
      <c r="H56" s="9"/>
      <c r="I56" s="10">
        <f t="shared" si="4"/>
        <v>0</v>
      </c>
      <c r="J56" s="11"/>
      <c r="K56" s="11"/>
      <c r="L56" s="16" t="str">
        <f t="shared" si="5"/>
        <v>0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6" t="s">
        <v>1432</v>
      </c>
      <c r="E57" s="19" t="s">
        <v>2287</v>
      </c>
      <c r="F57" s="8" t="s">
        <v>42</v>
      </c>
      <c r="G57" s="9">
        <v>0.85763888888888884</v>
      </c>
      <c r="H57" s="9">
        <v>0.875</v>
      </c>
      <c r="I57" s="10">
        <f t="shared" si="4"/>
        <v>1.736111111111116E-2</v>
      </c>
      <c r="J57" s="11">
        <v>4</v>
      </c>
      <c r="K57" s="11">
        <v>76.66</v>
      </c>
      <c r="L57" s="16">
        <f t="shared" si="5"/>
        <v>45.995999999999867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5</v>
      </c>
      <c r="W57" s="12"/>
      <c r="X57" s="11"/>
      <c r="Y57" s="11"/>
      <c r="Z57" s="11"/>
      <c r="AA57" s="11"/>
      <c r="AB57" s="11"/>
      <c r="AC57" s="11"/>
      <c r="AD57" s="11"/>
      <c r="AE57" s="11"/>
      <c r="AF57" s="11"/>
      <c r="AG57" s="11">
        <v>6.25</v>
      </c>
      <c r="AH57" s="11">
        <v>6.25</v>
      </c>
      <c r="AI57" s="11">
        <v>6.25</v>
      </c>
      <c r="AJ57" s="11">
        <v>6.25</v>
      </c>
      <c r="AK57" s="11"/>
      <c r="AL57" s="14"/>
    </row>
    <row r="58" spans="2:38" ht="25.05" customHeight="1">
      <c r="B58" s="13"/>
      <c r="C58" s="29"/>
      <c r="D58" s="30"/>
      <c r="E58" s="19" t="s">
        <v>902</v>
      </c>
      <c r="F58" s="8" t="s">
        <v>42</v>
      </c>
      <c r="G58" s="9">
        <v>0.87569444444444444</v>
      </c>
      <c r="H58" s="9">
        <v>0.89097222222222228</v>
      </c>
      <c r="I58" s="10">
        <f t="shared" si="4"/>
        <v>1.5277777777777835E-2</v>
      </c>
      <c r="J58" s="11">
        <v>4</v>
      </c>
      <c r="K58" s="11">
        <v>72.09</v>
      </c>
      <c r="L58" s="16">
        <f t="shared" si="5"/>
        <v>49.152272727272553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5</v>
      </c>
      <c r="W58" s="12"/>
      <c r="X58" s="11"/>
      <c r="Y58" s="11"/>
      <c r="Z58" s="11"/>
      <c r="AA58" s="11"/>
      <c r="AB58" s="11"/>
      <c r="AC58" s="11"/>
      <c r="AD58" s="11"/>
      <c r="AE58" s="11"/>
      <c r="AF58" s="11"/>
      <c r="AG58" s="11">
        <v>5.5</v>
      </c>
      <c r="AH58" s="11">
        <v>5.5</v>
      </c>
      <c r="AI58" s="11">
        <v>5.5</v>
      </c>
      <c r="AJ58" s="11">
        <v>5.5</v>
      </c>
      <c r="AK58" s="11"/>
      <c r="AL58" s="14"/>
    </row>
    <row r="59" spans="2:38" ht="25.05" customHeight="1">
      <c r="B59" s="13"/>
      <c r="C59" s="29"/>
      <c r="D59" s="30"/>
      <c r="E59" s="19" t="s">
        <v>903</v>
      </c>
      <c r="F59" s="8" t="s">
        <v>42</v>
      </c>
      <c r="G59" s="9">
        <v>0.89166666666666672</v>
      </c>
      <c r="H59" s="9">
        <v>0.90833333333333333</v>
      </c>
      <c r="I59" s="10">
        <f t="shared" si="4"/>
        <v>1.6666666666666607E-2</v>
      </c>
      <c r="J59" s="11">
        <v>4</v>
      </c>
      <c r="K59" s="11">
        <v>72.06</v>
      </c>
      <c r="L59" s="16">
        <f t="shared" si="5"/>
        <v>45.037500000000165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5</v>
      </c>
      <c r="W59" s="12"/>
      <c r="X59" s="11"/>
      <c r="Y59" s="11"/>
      <c r="Z59" s="11"/>
      <c r="AA59" s="11"/>
      <c r="AB59" s="11"/>
      <c r="AC59" s="11"/>
      <c r="AD59" s="11"/>
      <c r="AE59" s="11"/>
      <c r="AF59" s="11"/>
      <c r="AG59" s="11">
        <v>6</v>
      </c>
      <c r="AH59" s="11">
        <v>6</v>
      </c>
      <c r="AI59" s="11">
        <v>6</v>
      </c>
      <c r="AJ59" s="11">
        <v>6</v>
      </c>
      <c r="AK59" s="11"/>
      <c r="AL59" s="14"/>
    </row>
    <row r="60" spans="2:38" ht="25.05" customHeight="1">
      <c r="B60" s="13"/>
      <c r="C60" s="29"/>
      <c r="D60" s="30"/>
      <c r="E60" s="19" t="s">
        <v>2184</v>
      </c>
      <c r="F60" s="8" t="s">
        <v>42</v>
      </c>
      <c r="G60" s="9">
        <v>0.94513888888888886</v>
      </c>
      <c r="H60" s="9">
        <v>0.96597222222222223</v>
      </c>
      <c r="I60" s="10">
        <f t="shared" si="4"/>
        <v>2.083333333333337E-2</v>
      </c>
      <c r="J60" s="11">
        <v>4</v>
      </c>
      <c r="K60" s="11">
        <v>135.22999999999999</v>
      </c>
      <c r="L60" s="16">
        <f t="shared" si="5"/>
        <v>67.614999999999881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/>
      <c r="AC60" s="11">
        <v>30</v>
      </c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2185</v>
      </c>
      <c r="F61" s="8" t="s">
        <v>42</v>
      </c>
      <c r="G61" s="9">
        <v>0.97499999999999998</v>
      </c>
      <c r="H61" s="9">
        <v>0.99583333333333335</v>
      </c>
      <c r="I61" s="10">
        <f t="shared" ref="I61:I70" si="14">H61-G61</f>
        <v>2.083333333333337E-2</v>
      </c>
      <c r="J61" s="11">
        <v>4</v>
      </c>
      <c r="K61" s="11">
        <v>134.04</v>
      </c>
      <c r="L61" s="16">
        <f t="shared" ref="L61:L70" si="15">IFERROR(((K61/(J61*I61)/24)),"0")</f>
        <v>67.019999999999882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/>
      <c r="AA61" s="11"/>
      <c r="AB61" s="11"/>
      <c r="AC61" s="11">
        <v>30</v>
      </c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2288</v>
      </c>
      <c r="F62" s="8" t="s">
        <v>42</v>
      </c>
      <c r="G62" s="9">
        <v>0.93611111111111112</v>
      </c>
      <c r="H62" s="9">
        <v>0.97222222222222221</v>
      </c>
      <c r="I62" s="10">
        <f t="shared" si="14"/>
        <v>3.6111111111111094E-2</v>
      </c>
      <c r="J62" s="11">
        <v>4</v>
      </c>
      <c r="K62" s="11">
        <v>61.2</v>
      </c>
      <c r="L62" s="16">
        <f t="shared" si="15"/>
        <v>17.653846153846164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/>
      <c r="AA62" s="11"/>
      <c r="AB62" s="11"/>
      <c r="AC62" s="11"/>
      <c r="AD62" s="11">
        <v>52</v>
      </c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1811</v>
      </c>
      <c r="F63" s="8" t="s">
        <v>42</v>
      </c>
      <c r="G63" s="9">
        <v>0.96180555555555558</v>
      </c>
      <c r="H63" s="9">
        <v>0.96875</v>
      </c>
      <c r="I63" s="10">
        <f t="shared" si="14"/>
        <v>6.9444444444444198E-3</v>
      </c>
      <c r="J63" s="11">
        <v>4</v>
      </c>
      <c r="K63" s="11">
        <v>61.87</v>
      </c>
      <c r="L63" s="16">
        <f t="shared" si="15"/>
        <v>92.805000000000334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/>
      <c r="Y63" s="11"/>
      <c r="Z63" s="11"/>
      <c r="AA63" s="11"/>
      <c r="AB63" s="11">
        <v>10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/>
      <c r="F64" s="8" t="s">
        <v>42</v>
      </c>
      <c r="G64" s="9"/>
      <c r="H64" s="9"/>
      <c r="I64" s="10">
        <f t="shared" si="14"/>
        <v>0</v>
      </c>
      <c r="J64" s="11"/>
      <c r="K64" s="11"/>
      <c r="L64" s="16" t="str">
        <f t="shared" si="15"/>
        <v>0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1:38" ht="25.05" customHeight="1">
      <c r="B65" s="13"/>
      <c r="C65" s="29"/>
      <c r="D65" s="114" t="s">
        <v>2218</v>
      </c>
      <c r="E65" s="19" t="s">
        <v>2289</v>
      </c>
      <c r="F65" s="8" t="s">
        <v>42</v>
      </c>
      <c r="G65" s="9">
        <v>7.9166666666666663E-2</v>
      </c>
      <c r="H65" s="9">
        <v>0.13333333333333333</v>
      </c>
      <c r="I65" s="10">
        <f t="shared" si="14"/>
        <v>5.4166666666666669E-2</v>
      </c>
      <c r="J65" s="11">
        <v>4</v>
      </c>
      <c r="K65" s="11">
        <v>153.46</v>
      </c>
      <c r="L65" s="16">
        <f t="shared" si="15"/>
        <v>29.511538461538464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1:38" ht="25.05" customHeight="1">
      <c r="B66" s="13"/>
      <c r="C66" s="29"/>
      <c r="D66" s="30"/>
      <c r="E66" s="19" t="s">
        <v>2201</v>
      </c>
      <c r="F66" s="8" t="s">
        <v>42</v>
      </c>
      <c r="G66" s="9">
        <v>0.1388888888888889</v>
      </c>
      <c r="H66" s="9">
        <v>0.14444444444444443</v>
      </c>
      <c r="I66" s="10">
        <f t="shared" si="14"/>
        <v>5.5555555555555358E-3</v>
      </c>
      <c r="J66" s="11">
        <v>4</v>
      </c>
      <c r="K66" s="11">
        <v>145.5</v>
      </c>
      <c r="L66" s="16">
        <f t="shared" si="15"/>
        <v>272.81250000000097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/>
      <c r="Y66" s="11"/>
      <c r="Z66" s="11"/>
      <c r="AA66" s="11"/>
      <c r="AB66" s="11">
        <v>8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1:38" ht="25.05" customHeight="1">
      <c r="B67" s="13"/>
      <c r="C67" s="29"/>
      <c r="D67" s="30"/>
      <c r="E67" s="19" t="s">
        <v>2202</v>
      </c>
      <c r="F67" s="8" t="s">
        <v>42</v>
      </c>
      <c r="G67" s="9">
        <v>0.1388888888888889</v>
      </c>
      <c r="H67" s="9">
        <v>0.14444444444444443</v>
      </c>
      <c r="I67" s="10">
        <f t="shared" si="14"/>
        <v>5.5555555555555358E-3</v>
      </c>
      <c r="J67" s="11">
        <v>4</v>
      </c>
      <c r="K67" s="11">
        <v>145.5</v>
      </c>
      <c r="L67" s="16">
        <f t="shared" si="15"/>
        <v>272.81250000000097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/>
      <c r="Z67" s="11"/>
      <c r="AA67" s="11"/>
      <c r="AB67" s="11"/>
      <c r="AC67" s="11"/>
      <c r="AD67" s="11">
        <v>8</v>
      </c>
      <c r="AE67" s="11"/>
      <c r="AF67" s="11"/>
      <c r="AG67" s="11"/>
      <c r="AH67" s="11"/>
      <c r="AI67" s="11"/>
      <c r="AJ67" s="11"/>
      <c r="AK67" s="11"/>
      <c r="AL67" s="14"/>
    </row>
    <row r="68" spans="1:38" ht="25.05" customHeight="1">
      <c r="B68" s="13"/>
      <c r="C68" s="29"/>
      <c r="D68" s="30"/>
      <c r="E68" s="19" t="s">
        <v>2290</v>
      </c>
      <c r="F68" s="8" t="s">
        <v>42</v>
      </c>
      <c r="G68" s="9">
        <v>0.14791666666666667</v>
      </c>
      <c r="H68" s="9">
        <v>0.15833333333333333</v>
      </c>
      <c r="I68" s="10">
        <f t="shared" si="14"/>
        <v>1.0416666666666657E-2</v>
      </c>
      <c r="J68" s="11">
        <v>4</v>
      </c>
      <c r="K68" s="11">
        <v>156.11000000000001</v>
      </c>
      <c r="L68" s="16">
        <f t="shared" si="15"/>
        <v>156.11000000000016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>
        <v>15</v>
      </c>
      <c r="Y68" s="11">
        <v>15</v>
      </c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1:38" ht="25.05" customHeight="1">
      <c r="B69" s="13"/>
      <c r="C69" s="29"/>
      <c r="D69" s="30"/>
      <c r="E69" s="19" t="s">
        <v>2291</v>
      </c>
      <c r="F69" s="8" t="s">
        <v>42</v>
      </c>
      <c r="G69" s="9">
        <v>0.15138888888888888</v>
      </c>
      <c r="H69" s="9">
        <v>0.16111111111111112</v>
      </c>
      <c r="I69" s="10">
        <f t="shared" si="14"/>
        <v>9.7222222222222432E-3</v>
      </c>
      <c r="J69" s="11">
        <v>4</v>
      </c>
      <c r="K69" s="11">
        <v>155.41999999999999</v>
      </c>
      <c r="L69" s="16">
        <f t="shared" si="15"/>
        <v>166.5214285714282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>
        <v>14</v>
      </c>
      <c r="AA69" s="11">
        <v>14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1:38" ht="25.05" customHeight="1">
      <c r="B70" s="13"/>
      <c r="C70" s="29"/>
      <c r="D70" s="30"/>
      <c r="E70" s="19" t="s">
        <v>2292</v>
      </c>
      <c r="F70" s="8" t="s">
        <v>42</v>
      </c>
      <c r="G70" s="9">
        <v>0.86805555555555558</v>
      </c>
      <c r="H70" s="9">
        <v>0.89583333333333337</v>
      </c>
      <c r="I70" s="10">
        <f t="shared" si="14"/>
        <v>2.777777777777779E-2</v>
      </c>
      <c r="J70" s="11">
        <v>1</v>
      </c>
      <c r="K70" s="11">
        <f>10.2*1.5</f>
        <v>15.299999999999999</v>
      </c>
      <c r="L70" s="16">
        <f t="shared" si="15"/>
        <v>22.949999999999989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/>
      <c r="AC70" s="11"/>
      <c r="AD70" s="11"/>
      <c r="AE70" s="11">
        <v>40</v>
      </c>
      <c r="AF70" s="11"/>
      <c r="AG70" s="11"/>
      <c r="AH70" s="11"/>
      <c r="AI70" s="11"/>
      <c r="AJ70" s="11"/>
      <c r="AK70" s="11"/>
      <c r="AL70" s="14"/>
    </row>
    <row r="71" spans="1:38" ht="25.05" customHeight="1">
      <c r="B71" s="13"/>
      <c r="C71" s="29"/>
      <c r="D71" s="30"/>
      <c r="E71" s="19"/>
      <c r="F71" s="8" t="s">
        <v>42</v>
      </c>
      <c r="G71" s="9"/>
      <c r="H71" s="9"/>
      <c r="I71" s="10">
        <v>4</v>
      </c>
      <c r="J71" s="11"/>
      <c r="K71" s="11"/>
      <c r="L71" s="16" t="str">
        <f t="shared" ref="L71" si="16">IFERROR(((K71/(J71*I71)/24)),"0")</f>
        <v>0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1:38" s="28" customFormat="1" ht="25.5" customHeight="1">
      <c r="A72" s="2"/>
      <c r="B72" s="32"/>
      <c r="C72" s="33"/>
      <c r="D72" s="34"/>
      <c r="E72" s="35"/>
      <c r="F72" s="35"/>
      <c r="G72" s="36"/>
      <c r="H72" s="36"/>
      <c r="I72" s="37"/>
      <c r="J72" s="38"/>
      <c r="K72" s="38">
        <f t="shared" ref="K72:AL72" si="17">SUM(K34:K71)</f>
        <v>3249.94</v>
      </c>
      <c r="L72" s="39">
        <f t="shared" si="17"/>
        <v>2293.7325782979001</v>
      </c>
      <c r="M72" s="38">
        <f t="shared" si="17"/>
        <v>0</v>
      </c>
      <c r="N72" s="38">
        <f t="shared" si="17"/>
        <v>0</v>
      </c>
      <c r="O72" s="38">
        <f t="shared" si="17"/>
        <v>0</v>
      </c>
      <c r="P72" s="38">
        <f t="shared" si="17"/>
        <v>0</v>
      </c>
      <c r="Q72" s="38">
        <f t="shared" si="17"/>
        <v>0</v>
      </c>
      <c r="R72" s="38">
        <f t="shared" si="17"/>
        <v>0</v>
      </c>
      <c r="S72" s="38">
        <f t="shared" si="17"/>
        <v>0</v>
      </c>
      <c r="T72" s="38">
        <f t="shared" si="17"/>
        <v>0</v>
      </c>
      <c r="U72" s="38">
        <f t="shared" si="17"/>
        <v>0</v>
      </c>
      <c r="V72" s="38">
        <f t="shared" si="17"/>
        <v>67</v>
      </c>
      <c r="W72" s="38">
        <f t="shared" si="17"/>
        <v>10</v>
      </c>
      <c r="X72" s="38">
        <f t="shared" si="17"/>
        <v>15</v>
      </c>
      <c r="Y72" s="38">
        <f t="shared" si="17"/>
        <v>15</v>
      </c>
      <c r="Z72" s="38">
        <f t="shared" si="17"/>
        <v>14</v>
      </c>
      <c r="AA72" s="38">
        <f t="shared" si="17"/>
        <v>14</v>
      </c>
      <c r="AB72" s="38">
        <f t="shared" si="17"/>
        <v>132</v>
      </c>
      <c r="AC72" s="38">
        <f t="shared" si="17"/>
        <v>148</v>
      </c>
      <c r="AD72" s="38">
        <f t="shared" si="17"/>
        <v>146</v>
      </c>
      <c r="AE72" s="38">
        <f t="shared" si="17"/>
        <v>40</v>
      </c>
      <c r="AF72" s="38">
        <f t="shared" si="17"/>
        <v>0</v>
      </c>
      <c r="AG72" s="38">
        <f t="shared" si="17"/>
        <v>87</v>
      </c>
      <c r="AH72" s="38">
        <f t="shared" si="17"/>
        <v>87</v>
      </c>
      <c r="AI72" s="38">
        <f t="shared" si="17"/>
        <v>87</v>
      </c>
      <c r="AJ72" s="38">
        <f t="shared" si="17"/>
        <v>87</v>
      </c>
      <c r="AK72" s="38">
        <f t="shared" si="17"/>
        <v>0</v>
      </c>
      <c r="AL72" s="38">
        <f t="shared" si="17"/>
        <v>0</v>
      </c>
    </row>
    <row r="73" spans="1:38" ht="38.1" customHeight="1">
      <c r="B73" s="40" t="s">
        <v>45</v>
      </c>
      <c r="C73" s="41"/>
      <c r="D73" s="41"/>
      <c r="E73" s="41"/>
      <c r="F73" s="41"/>
      <c r="G73" s="41"/>
      <c r="H73" s="41"/>
      <c r="I73" s="41"/>
      <c r="J73" s="41"/>
      <c r="K73" s="42">
        <f>K30+K33+K72</f>
        <v>6822.32</v>
      </c>
      <c r="L73" s="42">
        <f>L30+L33+L72</f>
        <v>3754.7786258323795</v>
      </c>
      <c r="M73" s="43">
        <f t="shared" ref="M73:AL73" si="18">(M30+M33+M72)/(480-15-30)</f>
        <v>0.55402298850574716</v>
      </c>
      <c r="N73" s="43">
        <f t="shared" si="18"/>
        <v>0</v>
      </c>
      <c r="O73" s="43">
        <f t="shared" si="18"/>
        <v>0.13333333333333333</v>
      </c>
      <c r="P73" s="43">
        <f t="shared" si="18"/>
        <v>0</v>
      </c>
      <c r="Q73" s="43">
        <f t="shared" si="18"/>
        <v>0.42298850574712643</v>
      </c>
      <c r="R73" s="43">
        <f t="shared" si="18"/>
        <v>0.12413793103448276</v>
      </c>
      <c r="S73" s="43">
        <f t="shared" si="18"/>
        <v>0.29655172413793102</v>
      </c>
      <c r="T73" s="43">
        <f t="shared" si="18"/>
        <v>0</v>
      </c>
      <c r="U73" s="43">
        <f t="shared" si="18"/>
        <v>0</v>
      </c>
      <c r="V73" s="43">
        <f t="shared" si="18"/>
        <v>0.15402298850574714</v>
      </c>
      <c r="W73" s="43">
        <f t="shared" si="18"/>
        <v>2.2988505747126436E-2</v>
      </c>
      <c r="X73" s="43">
        <f t="shared" si="18"/>
        <v>3.4482758620689655E-2</v>
      </c>
      <c r="Y73" s="43">
        <f t="shared" si="18"/>
        <v>3.4482758620689655E-2</v>
      </c>
      <c r="Z73" s="43">
        <f t="shared" si="18"/>
        <v>3.2183908045977011E-2</v>
      </c>
      <c r="AA73" s="43">
        <f t="shared" si="18"/>
        <v>3.2183908045977011E-2</v>
      </c>
      <c r="AB73" s="43">
        <f t="shared" si="18"/>
        <v>0.30344827586206896</v>
      </c>
      <c r="AC73" s="43">
        <f t="shared" si="18"/>
        <v>0.34022988505747126</v>
      </c>
      <c r="AD73" s="43">
        <f t="shared" si="18"/>
        <v>0.335632183908046</v>
      </c>
      <c r="AE73" s="43">
        <f t="shared" si="18"/>
        <v>9.1954022988505746E-2</v>
      </c>
      <c r="AF73" s="43">
        <f t="shared" si="18"/>
        <v>0</v>
      </c>
      <c r="AG73" s="43">
        <f t="shared" si="18"/>
        <v>0.2</v>
      </c>
      <c r="AH73" s="43">
        <f t="shared" si="18"/>
        <v>0.2</v>
      </c>
      <c r="AI73" s="43">
        <f t="shared" si="18"/>
        <v>0.2</v>
      </c>
      <c r="AJ73" s="43">
        <f t="shared" si="18"/>
        <v>0.2</v>
      </c>
      <c r="AK73" s="43">
        <f t="shared" si="18"/>
        <v>0</v>
      </c>
      <c r="AL73" s="43">
        <f t="shared" si="18"/>
        <v>0</v>
      </c>
    </row>
    <row r="74" spans="1:38" ht="25.05" customHeight="1">
      <c r="B74" s="44"/>
      <c r="C74" s="44"/>
      <c r="D74" s="44"/>
      <c r="E74" s="45"/>
      <c r="F74" s="45"/>
      <c r="G74" s="45"/>
      <c r="H74" s="45"/>
      <c r="I74" s="46"/>
      <c r="J74" s="46"/>
      <c r="K74" s="45"/>
      <c r="L74" s="47"/>
      <c r="M74" s="47"/>
      <c r="N74" s="47"/>
      <c r="O74" s="47"/>
      <c r="P74" s="47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</row>
    <row r="75" spans="1:38" ht="25.05" customHeight="1">
      <c r="B75" s="44"/>
      <c r="C75" s="44"/>
      <c r="D75" s="44"/>
      <c r="E75" s="45"/>
      <c r="F75" s="45"/>
      <c r="G75" s="45"/>
      <c r="H75" s="45"/>
      <c r="I75" s="48" t="s">
        <v>46</v>
      </c>
      <c r="J75" s="46"/>
      <c r="K75" s="45"/>
      <c r="L75" s="47"/>
      <c r="M75" s="47"/>
      <c r="N75" s="47"/>
      <c r="O75" s="47"/>
      <c r="P75" s="47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</row>
    <row r="76" spans="1:38" ht="25.05" customHeight="1">
      <c r="B76" s="44"/>
      <c r="C76" s="44"/>
      <c r="D76" s="44"/>
      <c r="E76" s="45"/>
      <c r="F76" s="45"/>
      <c r="G76" s="45"/>
      <c r="H76" s="45"/>
      <c r="I76" s="49" t="s">
        <v>47</v>
      </c>
      <c r="J76" s="9">
        <v>0</v>
      </c>
      <c r="K76" s="11">
        <v>8</v>
      </c>
      <c r="L76" s="11" t="s">
        <v>48</v>
      </c>
      <c r="M76" s="47"/>
      <c r="N76" s="14">
        <v>2</v>
      </c>
      <c r="O76" s="14"/>
      <c r="P76" s="14"/>
      <c r="Q76" s="50" t="s">
        <v>49</v>
      </c>
      <c r="R76" s="51"/>
      <c r="S76" s="45"/>
      <c r="T76" s="45"/>
      <c r="U76" s="45"/>
      <c r="V76" s="45"/>
      <c r="W76" s="45"/>
      <c r="X76" s="45"/>
      <c r="Y76" s="45"/>
      <c r="Z76" s="45"/>
      <c r="AA76" s="45"/>
      <c r="AC76" s="45"/>
      <c r="AD76" s="45"/>
      <c r="AE76" s="45"/>
      <c r="AF76" s="45"/>
      <c r="AG76" s="45"/>
      <c r="AH76" s="45"/>
    </row>
    <row r="77" spans="1:38" ht="25.05" customHeight="1">
      <c r="B77" s="44"/>
      <c r="C77" s="44"/>
      <c r="D77" s="44"/>
      <c r="E77" s="45"/>
      <c r="F77" s="45"/>
      <c r="G77" s="45"/>
      <c r="H77" s="45"/>
      <c r="I77" s="49" t="s">
        <v>50</v>
      </c>
      <c r="J77" s="9">
        <v>0</v>
      </c>
      <c r="K77" s="11">
        <v>0</v>
      </c>
      <c r="L77" s="11" t="s">
        <v>48</v>
      </c>
      <c r="M77" s="47"/>
      <c r="N77" s="14">
        <v>0</v>
      </c>
      <c r="O77" s="14"/>
      <c r="P77" s="14"/>
      <c r="Q77" s="50" t="s">
        <v>51</v>
      </c>
      <c r="R77" s="51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</row>
    <row r="78" spans="1:38" ht="25.05" customHeight="1">
      <c r="B78" s="44"/>
      <c r="C78" s="44"/>
      <c r="D78" s="44"/>
      <c r="E78" s="45"/>
      <c r="F78" s="45"/>
      <c r="G78" s="45"/>
      <c r="H78" s="45"/>
      <c r="I78" s="49" t="s">
        <v>52</v>
      </c>
      <c r="J78" s="9">
        <v>0</v>
      </c>
      <c r="K78" s="11">
        <v>19</v>
      </c>
      <c r="L78" s="11" t="s">
        <v>48</v>
      </c>
      <c r="M78" s="47"/>
      <c r="N78" s="14">
        <v>1</v>
      </c>
      <c r="O78" s="14"/>
      <c r="P78" s="14"/>
      <c r="Q78" s="50" t="s">
        <v>53</v>
      </c>
      <c r="R78" s="51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</row>
    <row r="79" spans="1:38" ht="25.05" customHeight="1">
      <c r="B79" s="44"/>
      <c r="C79" s="44"/>
      <c r="D79" s="44"/>
      <c r="E79" s="45"/>
      <c r="F79" s="45"/>
      <c r="G79" s="45"/>
      <c r="H79" s="45"/>
      <c r="I79" s="52" t="s">
        <v>54</v>
      </c>
      <c r="J79" s="53">
        <v>0</v>
      </c>
      <c r="K79" s="11">
        <v>2</v>
      </c>
      <c r="L79" s="54" t="s">
        <v>48</v>
      </c>
      <c r="M79" s="47"/>
      <c r="N79" s="14">
        <v>4</v>
      </c>
      <c r="O79" s="14"/>
      <c r="P79" s="14"/>
      <c r="Q79" s="50" t="s">
        <v>55</v>
      </c>
      <c r="R79" s="51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</row>
    <row r="80" spans="1:38" ht="25.05" customHeight="1">
      <c r="B80" s="44"/>
      <c r="C80" s="44"/>
      <c r="D80" s="44"/>
      <c r="E80" s="45"/>
      <c r="F80" s="45"/>
      <c r="G80" s="45"/>
      <c r="H80" s="45"/>
      <c r="I80" s="49" t="s">
        <v>56</v>
      </c>
      <c r="J80" s="9">
        <v>0</v>
      </c>
      <c r="K80" s="11">
        <f>SUM(K76:K79)</f>
        <v>29</v>
      </c>
      <c r="L80" s="11" t="s">
        <v>48</v>
      </c>
      <c r="M80" s="47"/>
      <c r="N80"/>
      <c r="O80"/>
      <c r="P80"/>
      <c r="Q80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</row>
    <row r="81" spans="2:34" ht="25.05" customHeight="1">
      <c r="B81" s="44"/>
      <c r="C81" s="44"/>
      <c r="D81" s="44"/>
      <c r="E81" s="45"/>
      <c r="F81" s="45"/>
      <c r="G81" s="45"/>
      <c r="H81" s="45"/>
      <c r="M81" s="47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</row>
    <row r="82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36FF-4E40-44DB-B5C1-386153E37D4B}">
  <sheetPr>
    <pageSetUpPr fitToPage="1"/>
  </sheetPr>
  <dimension ref="A1:AL119"/>
  <sheetViews>
    <sheetView zoomScale="80" zoomScaleNormal="80" workbookViewId="0">
      <pane xSplit="12" ySplit="3" topLeftCell="M13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46090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4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30" t="s">
        <v>2069</v>
      </c>
      <c r="E5" s="83" t="s">
        <v>2216</v>
      </c>
      <c r="F5" s="8" t="s">
        <v>42</v>
      </c>
      <c r="G5" s="9">
        <v>0.29166666666666669</v>
      </c>
      <c r="H5" s="9">
        <v>0.2986111111111111</v>
      </c>
      <c r="I5" s="10">
        <f t="shared" si="0"/>
        <v>6.9444444444444198E-3</v>
      </c>
      <c r="J5" s="11">
        <v>1</v>
      </c>
      <c r="K5" s="11">
        <v>4.92</v>
      </c>
      <c r="L5" s="16">
        <f t="shared" ref="L5:L24" si="1">IFERROR(((K5/(J5*I5)/24)),"0")</f>
        <v>29.520000000000106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83" t="s">
        <v>2293</v>
      </c>
      <c r="F6" s="8" t="s">
        <v>42</v>
      </c>
      <c r="G6" s="9">
        <v>0.3</v>
      </c>
      <c r="H6" s="9">
        <v>0.30902777777777779</v>
      </c>
      <c r="I6" s="10">
        <f t="shared" si="0"/>
        <v>9.0277777777778012E-3</v>
      </c>
      <c r="J6" s="11">
        <v>1</v>
      </c>
      <c r="K6" s="11">
        <v>1.9</v>
      </c>
      <c r="L6" s="16">
        <f t="shared" si="1"/>
        <v>8.769230769230747</v>
      </c>
      <c r="M6" s="11"/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7" t="s">
        <v>2294</v>
      </c>
      <c r="F7" s="8" t="s">
        <v>42</v>
      </c>
      <c r="G7" s="9">
        <v>0.29166666666666669</v>
      </c>
      <c r="H7" s="9">
        <v>0.30208333333333331</v>
      </c>
      <c r="I7" s="10">
        <f t="shared" si="0"/>
        <v>1.041666666666663E-2</v>
      </c>
      <c r="J7" s="11">
        <v>1</v>
      </c>
      <c r="K7" s="11">
        <v>1.26</v>
      </c>
      <c r="L7" s="16">
        <f>IFERROR(((K7/(J8*I7)/24)),"0")</f>
        <v>5.0400000000000178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 t="s">
        <v>2249</v>
      </c>
      <c r="E8" s="15" t="s">
        <v>2217</v>
      </c>
      <c r="F8" s="8" t="s">
        <v>42</v>
      </c>
      <c r="G8" s="9">
        <v>0.3125</v>
      </c>
      <c r="H8" s="9">
        <v>0.31944444444444442</v>
      </c>
      <c r="I8" s="10">
        <f t="shared" si="0"/>
        <v>6.9444444444444198E-3</v>
      </c>
      <c r="J8" s="11">
        <v>1</v>
      </c>
      <c r="K8" s="11">
        <v>9</v>
      </c>
      <c r="L8" s="16" t="str">
        <f>IFERROR(((K8/(#REF!*I8)/24)),"0")</f>
        <v>0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2220</v>
      </c>
      <c r="F9" s="8" t="s">
        <v>42</v>
      </c>
      <c r="G9" s="9">
        <v>0.32083333333333336</v>
      </c>
      <c r="H9" s="9">
        <v>0.33333333333333331</v>
      </c>
      <c r="I9" s="10">
        <f t="shared" si="0"/>
        <v>1.2499999999999956E-2</v>
      </c>
      <c r="J9" s="11">
        <v>1</v>
      </c>
      <c r="K9" s="11">
        <v>3.5</v>
      </c>
      <c r="L9" s="16">
        <f t="shared" si="1"/>
        <v>11.666666666666709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2295</v>
      </c>
      <c r="F10" s="8" t="s">
        <v>42</v>
      </c>
      <c r="G10" s="9">
        <v>0.34027777777777779</v>
      </c>
      <c r="H10" s="9">
        <v>0.40625</v>
      </c>
      <c r="I10" s="10">
        <f t="shared" si="0"/>
        <v>6.597222222222221E-2</v>
      </c>
      <c r="J10" s="11">
        <v>2</v>
      </c>
      <c r="K10" s="11">
        <v>805</v>
      </c>
      <c r="L10" s="16">
        <f t="shared" si="1"/>
        <v>254.21052631578951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2296</v>
      </c>
      <c r="F11" s="8" t="s">
        <v>42</v>
      </c>
      <c r="G11" s="9">
        <v>0.375</v>
      </c>
      <c r="H11" s="9">
        <v>0.3923611111111111</v>
      </c>
      <c r="I11" s="10">
        <f t="shared" si="0"/>
        <v>1.7361111111111105E-2</v>
      </c>
      <c r="J11" s="11">
        <v>1</v>
      </c>
      <c r="K11" s="11">
        <v>8.0500000000000007</v>
      </c>
      <c r="L11" s="16">
        <f t="shared" si="1"/>
        <v>19.320000000000007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2297</v>
      </c>
      <c r="F12" s="8" t="s">
        <v>42</v>
      </c>
      <c r="G12" s="9">
        <v>0.40972222222222221</v>
      </c>
      <c r="H12" s="9">
        <v>0.4236111111111111</v>
      </c>
      <c r="I12" s="10">
        <f t="shared" si="0"/>
        <v>1.3888888888888895E-2</v>
      </c>
      <c r="J12" s="11">
        <v>1</v>
      </c>
      <c r="K12" s="11">
        <v>6.44</v>
      </c>
      <c r="L12" s="16">
        <f t="shared" si="1"/>
        <v>19.319999999999993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2221</v>
      </c>
      <c r="F13" s="8" t="s">
        <v>42</v>
      </c>
      <c r="G13" s="9">
        <v>0.29166666666666669</v>
      </c>
      <c r="H13" s="9">
        <v>0.40277777777777779</v>
      </c>
      <c r="I13" s="10">
        <f t="shared" si="0"/>
        <v>0.1111111111111111</v>
      </c>
      <c r="J13" s="11">
        <v>6</v>
      </c>
      <c r="K13" s="11">
        <v>207</v>
      </c>
      <c r="L13" s="16">
        <f t="shared" si="1"/>
        <v>12.9375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19" t="s">
        <v>624</v>
      </c>
      <c r="F14" s="8" t="s">
        <v>42</v>
      </c>
      <c r="G14" s="9">
        <v>0.29166666666666669</v>
      </c>
      <c r="H14" s="9">
        <v>0.30555555555555558</v>
      </c>
      <c r="I14" s="10">
        <f t="shared" si="0"/>
        <v>1.3888888888888895E-2</v>
      </c>
      <c r="J14" s="11">
        <v>2</v>
      </c>
      <c r="K14" s="11">
        <v>4</v>
      </c>
      <c r="L14" s="16">
        <f t="shared" si="1"/>
        <v>5.9999999999999973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19" t="s">
        <v>2298</v>
      </c>
      <c r="F15" s="8" t="s">
        <v>42</v>
      </c>
      <c r="G15" s="9">
        <v>0.3125</v>
      </c>
      <c r="H15" s="9">
        <v>0.33333333333333331</v>
      </c>
      <c r="I15" s="10">
        <f t="shared" si="0"/>
        <v>2.0833333333333315E-2</v>
      </c>
      <c r="J15" s="11">
        <v>3</v>
      </c>
      <c r="K15" s="11">
        <v>8.0500000000000007</v>
      </c>
      <c r="L15" s="16">
        <f t="shared" si="1"/>
        <v>5.3666666666666716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20" t="s">
        <v>387</v>
      </c>
      <c r="F16" s="8" t="s">
        <v>42</v>
      </c>
      <c r="G16" s="9">
        <v>0.29166666666666669</v>
      </c>
      <c r="H16" s="9">
        <v>0.39583333333333331</v>
      </c>
      <c r="I16" s="10">
        <f t="shared" si="0"/>
        <v>0.10416666666666663</v>
      </c>
      <c r="J16" s="11">
        <v>2</v>
      </c>
      <c r="K16" s="11">
        <v>180</v>
      </c>
      <c r="L16" s="16">
        <f t="shared" si="1"/>
        <v>36.000000000000014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84" t="s">
        <v>42</v>
      </c>
      <c r="F17" s="8" t="s">
        <v>42</v>
      </c>
      <c r="G17" s="9">
        <v>0.40972222222222221</v>
      </c>
      <c r="H17" s="9">
        <v>0.4236111111111111</v>
      </c>
      <c r="I17" s="10">
        <f t="shared" si="0"/>
        <v>1.3888888888888895E-2</v>
      </c>
      <c r="J17" s="11">
        <v>13</v>
      </c>
      <c r="K17" s="62" t="s">
        <v>42</v>
      </c>
      <c r="L17" s="64" t="s">
        <v>42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 t="s">
        <v>1432</v>
      </c>
      <c r="E18" s="15" t="s">
        <v>2228</v>
      </c>
      <c r="F18" s="8" t="s">
        <v>42</v>
      </c>
      <c r="G18" s="9">
        <v>0.46527777777777779</v>
      </c>
      <c r="H18" s="9">
        <v>0.51388888888888884</v>
      </c>
      <c r="I18" s="10">
        <f t="shared" si="0"/>
        <v>4.8611111111111049E-2</v>
      </c>
      <c r="J18" s="11">
        <v>13</v>
      </c>
      <c r="K18" s="11">
        <v>130</v>
      </c>
      <c r="L18" s="16">
        <f t="shared" si="1"/>
        <v>8.5714285714285818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 t="s">
        <v>2249</v>
      </c>
      <c r="E19" s="15" t="s">
        <v>2295</v>
      </c>
      <c r="F19" s="8" t="s">
        <v>42</v>
      </c>
      <c r="G19" s="9">
        <v>0.51736111111111116</v>
      </c>
      <c r="H19" s="9">
        <v>0.64583333333333337</v>
      </c>
      <c r="I19" s="10">
        <f t="shared" si="0"/>
        <v>0.12847222222222221</v>
      </c>
      <c r="J19" s="11">
        <v>10</v>
      </c>
      <c r="K19" s="11">
        <v>399</v>
      </c>
      <c r="L19" s="16">
        <f t="shared" si="1"/>
        <v>12.940540540540541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100</v>
      </c>
      <c r="F20" s="8" t="s">
        <v>42</v>
      </c>
      <c r="G20" s="9">
        <v>0.46527777777777779</v>
      </c>
      <c r="H20" s="9">
        <v>0.5</v>
      </c>
      <c r="I20" s="10">
        <f t="shared" si="0"/>
        <v>3.472222222222221E-2</v>
      </c>
      <c r="J20" s="11">
        <v>5</v>
      </c>
      <c r="K20" s="11">
        <v>258.97000000000003</v>
      </c>
      <c r="L20" s="16">
        <f t="shared" si="1"/>
        <v>62.152800000000035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 t="s">
        <v>1432</v>
      </c>
      <c r="E21" s="119" t="s">
        <v>1677</v>
      </c>
      <c r="F21" s="8" t="s">
        <v>42</v>
      </c>
      <c r="G21" s="9">
        <v>0.5</v>
      </c>
      <c r="H21" s="9">
        <v>0.54166666666666663</v>
      </c>
      <c r="I21" s="10">
        <f t="shared" si="0"/>
        <v>4.166666666666663E-2</v>
      </c>
      <c r="J21" s="11">
        <v>3</v>
      </c>
      <c r="K21" s="11">
        <v>540</v>
      </c>
      <c r="L21" s="16">
        <f t="shared" si="1"/>
        <v>180.00000000000014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20" t="s">
        <v>2299</v>
      </c>
      <c r="F22" s="8" t="s">
        <v>42</v>
      </c>
      <c r="G22" s="9">
        <v>0.5625</v>
      </c>
      <c r="H22" s="9">
        <v>0.57638888888888884</v>
      </c>
      <c r="I22" s="10">
        <f t="shared" si="0"/>
        <v>1.388888888888884E-2</v>
      </c>
      <c r="J22" s="11">
        <v>2</v>
      </c>
      <c r="K22" s="11">
        <v>4.2</v>
      </c>
      <c r="L22" s="16">
        <f t="shared" si="1"/>
        <v>6.3000000000000229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/>
      <c r="F23" s="8" t="s">
        <v>42</v>
      </c>
      <c r="G23" s="9"/>
      <c r="H23" s="9"/>
      <c r="I23" s="10">
        <f t="shared" si="0"/>
        <v>0</v>
      </c>
      <c r="J23" s="11"/>
      <c r="K23" s="11"/>
      <c r="L23" s="16" t="str">
        <f t="shared" si="1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/>
      <c r="F24" s="8" t="s">
        <v>42</v>
      </c>
      <c r="G24" s="9"/>
      <c r="H24" s="9"/>
      <c r="I24" s="10">
        <f t="shared" si="0"/>
        <v>0</v>
      </c>
      <c r="J24" s="11"/>
      <c r="K24" s="11"/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s="28" customFormat="1" ht="25.05" customHeight="1">
      <c r="A25" s="2"/>
      <c r="B25" s="21"/>
      <c r="C25" s="22"/>
      <c r="D25" s="23"/>
      <c r="E25" s="24"/>
      <c r="F25" s="24"/>
      <c r="G25" s="25"/>
      <c r="H25" s="25"/>
      <c r="I25" s="26"/>
      <c r="J25" s="27"/>
      <c r="K25" s="27">
        <f t="shared" ref="K25:AL25" si="2">SUM(K4:K23)</f>
        <v>2571.29</v>
      </c>
      <c r="L25" s="39">
        <f t="shared" si="2"/>
        <v>678.11535953032308</v>
      </c>
      <c r="M25" s="27">
        <f t="shared" si="2"/>
        <v>0</v>
      </c>
      <c r="N25" s="27">
        <f t="shared" si="2"/>
        <v>0</v>
      </c>
      <c r="O25" s="27">
        <f t="shared" si="2"/>
        <v>0</v>
      </c>
      <c r="P25" s="27">
        <f t="shared" si="2"/>
        <v>0</v>
      </c>
      <c r="Q25" s="27">
        <f t="shared" si="2"/>
        <v>0</v>
      </c>
      <c r="R25" s="27">
        <f t="shared" si="2"/>
        <v>0</v>
      </c>
      <c r="S25" s="27">
        <f t="shared" si="2"/>
        <v>0</v>
      </c>
      <c r="T25" s="27">
        <f t="shared" si="2"/>
        <v>0</v>
      </c>
      <c r="U25" s="27">
        <f t="shared" si="2"/>
        <v>0</v>
      </c>
      <c r="V25" s="27">
        <f t="shared" si="2"/>
        <v>0</v>
      </c>
      <c r="W25" s="27">
        <f t="shared" si="2"/>
        <v>0</v>
      </c>
      <c r="X25" s="27">
        <f t="shared" si="2"/>
        <v>0</v>
      </c>
      <c r="Y25" s="27">
        <f t="shared" si="2"/>
        <v>0</v>
      </c>
      <c r="Z25" s="27">
        <f t="shared" si="2"/>
        <v>0</v>
      </c>
      <c r="AA25" s="27">
        <f t="shared" si="2"/>
        <v>0</v>
      </c>
      <c r="AB25" s="27">
        <f t="shared" si="2"/>
        <v>0</v>
      </c>
      <c r="AC25" s="27">
        <f t="shared" si="2"/>
        <v>0</v>
      </c>
      <c r="AD25" s="27">
        <f t="shared" si="2"/>
        <v>0</v>
      </c>
      <c r="AE25" s="27">
        <f t="shared" si="2"/>
        <v>0</v>
      </c>
      <c r="AF25" s="27">
        <f t="shared" si="2"/>
        <v>0</v>
      </c>
      <c r="AG25" s="27">
        <f t="shared" si="2"/>
        <v>0</v>
      </c>
      <c r="AH25" s="27">
        <f t="shared" si="2"/>
        <v>0</v>
      </c>
      <c r="AI25" s="27">
        <f t="shared" si="2"/>
        <v>0</v>
      </c>
      <c r="AJ25" s="27">
        <f t="shared" si="2"/>
        <v>0</v>
      </c>
      <c r="AK25" s="27">
        <f t="shared" si="2"/>
        <v>0</v>
      </c>
      <c r="AL25" s="27">
        <f t="shared" si="2"/>
        <v>0</v>
      </c>
    </row>
    <row r="26" spans="1:38" ht="25.05" customHeight="1">
      <c r="B26" s="13">
        <v>46090</v>
      </c>
      <c r="C26" s="14" t="s">
        <v>43</v>
      </c>
      <c r="D26" s="6"/>
      <c r="E26" s="7" t="s">
        <v>41</v>
      </c>
      <c r="F26" s="8" t="s">
        <v>42</v>
      </c>
      <c r="G26" s="9">
        <v>0.29166666666666669</v>
      </c>
      <c r="H26" s="9">
        <v>0.33333333333333331</v>
      </c>
      <c r="I26" s="10">
        <f>H26-G26</f>
        <v>4.166666666666663E-2</v>
      </c>
      <c r="J26" s="11">
        <v>3</v>
      </c>
      <c r="K26" s="62" t="s">
        <v>42</v>
      </c>
      <c r="L26" s="64" t="s">
        <v>42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 t="s">
        <v>1432</v>
      </c>
      <c r="E27" s="19" t="s">
        <v>1537</v>
      </c>
      <c r="F27" s="8" t="s">
        <v>42</v>
      </c>
      <c r="G27" s="9">
        <v>0.33680555555555558</v>
      </c>
      <c r="H27" s="9">
        <v>0.48958333333333331</v>
      </c>
      <c r="I27" s="10">
        <f t="shared" ref="I27:I29" si="3">H27-G27</f>
        <v>0.15277777777777773</v>
      </c>
      <c r="J27" s="11">
        <v>12</v>
      </c>
      <c r="K27" s="11">
        <v>352</v>
      </c>
      <c r="L27" s="16">
        <f t="shared" ref="L27:L29" si="4">IFERROR(((K27/(J27*I27)/24)),"0")</f>
        <v>8.0000000000000018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30" t="s">
        <v>2300</v>
      </c>
      <c r="E28" s="85" t="s">
        <v>2301</v>
      </c>
      <c r="F28" s="8" t="s">
        <v>42</v>
      </c>
      <c r="G28" s="9">
        <v>0.53472222222222221</v>
      </c>
      <c r="H28" s="9">
        <v>0.69791666666666663</v>
      </c>
      <c r="I28" s="10">
        <f t="shared" si="3"/>
        <v>0.16319444444444442</v>
      </c>
      <c r="J28" s="11">
        <v>12</v>
      </c>
      <c r="K28" s="11">
        <v>193.86</v>
      </c>
      <c r="L28" s="16">
        <f t="shared" si="4"/>
        <v>4.1246808510638306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18"/>
      <c r="E29" s="6"/>
      <c r="F29" s="8" t="s">
        <v>42</v>
      </c>
      <c r="G29" s="9"/>
      <c r="H29" s="9"/>
      <c r="I29" s="10">
        <f t="shared" si="3"/>
        <v>0</v>
      </c>
      <c r="J29" s="11"/>
      <c r="K29" s="11"/>
      <c r="L29" s="16" t="str">
        <f t="shared" si="4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s="28" customFormat="1" ht="25.05" customHeight="1">
      <c r="A30" s="2"/>
      <c r="B30" s="21"/>
      <c r="C30" s="22"/>
      <c r="D30" s="23"/>
      <c r="E30" s="24"/>
      <c r="F30" s="22"/>
      <c r="G30" s="25"/>
      <c r="H30" s="25"/>
      <c r="I30" s="26"/>
      <c r="J30" s="27"/>
      <c r="K30" s="27">
        <f t="shared" ref="K30:AL30" si="5">SUM(K26:K29)</f>
        <v>545.86</v>
      </c>
      <c r="L30" s="27">
        <f t="shared" si="5"/>
        <v>12.124680851063832</v>
      </c>
      <c r="M30" s="27">
        <f t="shared" si="5"/>
        <v>0</v>
      </c>
      <c r="N30" s="27">
        <f t="shared" si="5"/>
        <v>0</v>
      </c>
      <c r="O30" s="27">
        <f t="shared" si="5"/>
        <v>0</v>
      </c>
      <c r="P30" s="27">
        <f t="shared" si="5"/>
        <v>0</v>
      </c>
      <c r="Q30" s="27">
        <f t="shared" si="5"/>
        <v>0</v>
      </c>
      <c r="R30" s="27">
        <f t="shared" si="5"/>
        <v>0</v>
      </c>
      <c r="S30" s="27">
        <f t="shared" si="5"/>
        <v>0</v>
      </c>
      <c r="T30" s="27">
        <f t="shared" si="5"/>
        <v>0</v>
      </c>
      <c r="U30" s="27">
        <f t="shared" si="5"/>
        <v>0</v>
      </c>
      <c r="V30" s="27">
        <f t="shared" si="5"/>
        <v>0</v>
      </c>
      <c r="W30" s="27">
        <f t="shared" si="5"/>
        <v>0</v>
      </c>
      <c r="X30" s="27">
        <f t="shared" si="5"/>
        <v>0</v>
      </c>
      <c r="Y30" s="27">
        <f t="shared" si="5"/>
        <v>0</v>
      </c>
      <c r="Z30" s="27">
        <f t="shared" si="5"/>
        <v>0</v>
      </c>
      <c r="AA30" s="27">
        <f t="shared" si="5"/>
        <v>0</v>
      </c>
      <c r="AB30" s="27">
        <f t="shared" si="5"/>
        <v>0</v>
      </c>
      <c r="AC30" s="27">
        <f t="shared" si="5"/>
        <v>0</v>
      </c>
      <c r="AD30" s="27">
        <f t="shared" si="5"/>
        <v>0</v>
      </c>
      <c r="AE30" s="27">
        <f t="shared" si="5"/>
        <v>0</v>
      </c>
      <c r="AF30" s="27">
        <f t="shared" si="5"/>
        <v>0</v>
      </c>
      <c r="AG30" s="27">
        <f t="shared" si="5"/>
        <v>0</v>
      </c>
      <c r="AH30" s="27">
        <f t="shared" si="5"/>
        <v>0</v>
      </c>
      <c r="AI30" s="27">
        <f t="shared" si="5"/>
        <v>0</v>
      </c>
      <c r="AJ30" s="27">
        <f t="shared" si="5"/>
        <v>0</v>
      </c>
      <c r="AK30" s="27">
        <f t="shared" si="5"/>
        <v>0</v>
      </c>
      <c r="AL30" s="27">
        <f t="shared" si="5"/>
        <v>0</v>
      </c>
    </row>
    <row r="31" spans="1:38" ht="25.05" customHeight="1">
      <c r="B31" s="5">
        <v>46090</v>
      </c>
      <c r="C31" s="29" t="s">
        <v>44</v>
      </c>
      <c r="D31" s="30"/>
      <c r="E31" s="7" t="s">
        <v>41</v>
      </c>
      <c r="F31" s="8" t="s">
        <v>42</v>
      </c>
      <c r="G31" s="9">
        <v>0.29166666666666669</v>
      </c>
      <c r="H31" s="9">
        <v>0.2986111111111111</v>
      </c>
      <c r="I31" s="10">
        <f t="shared" ref="I31:I57" si="6">H31-G31</f>
        <v>6.9444444444444198E-3</v>
      </c>
      <c r="J31" s="11">
        <v>4</v>
      </c>
      <c r="K31" s="62" t="s">
        <v>42</v>
      </c>
      <c r="L31" s="64" t="s">
        <v>42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6" t="s">
        <v>2302</v>
      </c>
      <c r="E32" s="19" t="s">
        <v>913</v>
      </c>
      <c r="F32" s="8" t="s">
        <v>42</v>
      </c>
      <c r="G32" s="9">
        <v>0.34097222222222223</v>
      </c>
      <c r="H32" s="9">
        <v>0.34375</v>
      </c>
      <c r="I32" s="10">
        <f t="shared" si="6"/>
        <v>2.7777777777777679E-3</v>
      </c>
      <c r="J32" s="11">
        <v>4</v>
      </c>
      <c r="K32" s="11">
        <v>49.19</v>
      </c>
      <c r="L32" s="16">
        <f t="shared" ref="L32:L57" si="7">IFERROR(((K32/(J32*I32)/24)),"0")</f>
        <v>184.46250000000066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3</v>
      </c>
      <c r="W32" s="12"/>
      <c r="X32" s="11"/>
      <c r="Y32" s="11"/>
      <c r="Z32" s="11"/>
      <c r="AA32" s="11"/>
      <c r="AB32" s="11">
        <v>4</v>
      </c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914</v>
      </c>
      <c r="F33" s="8" t="s">
        <v>42</v>
      </c>
      <c r="G33" s="9">
        <v>0.35</v>
      </c>
      <c r="H33" s="9">
        <v>0.3527777777777778</v>
      </c>
      <c r="I33" s="10">
        <f t="shared" si="6"/>
        <v>2.7777777777778234E-3</v>
      </c>
      <c r="J33" s="11">
        <v>4</v>
      </c>
      <c r="K33" s="11">
        <v>48.82</v>
      </c>
      <c r="L33" s="16">
        <f t="shared" si="7"/>
        <v>183.07499999999698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3</v>
      </c>
      <c r="X33" s="11"/>
      <c r="Y33" s="11"/>
      <c r="Z33" s="11"/>
      <c r="AA33" s="11"/>
      <c r="AB33" s="11"/>
      <c r="AC33" s="11"/>
      <c r="AD33" s="11">
        <v>4</v>
      </c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915</v>
      </c>
      <c r="F34" s="8" t="s">
        <v>42</v>
      </c>
      <c r="G34" s="9">
        <v>0.3576388888888889</v>
      </c>
      <c r="H34" s="9">
        <v>0.3611111111111111</v>
      </c>
      <c r="I34" s="10">
        <f t="shared" si="6"/>
        <v>3.4722222222222099E-3</v>
      </c>
      <c r="J34" s="11">
        <v>4</v>
      </c>
      <c r="K34" s="11">
        <v>48.93</v>
      </c>
      <c r="L34" s="16">
        <f t="shared" si="7"/>
        <v>146.7900000000005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3</v>
      </c>
      <c r="W34" s="12"/>
      <c r="X34" s="11"/>
      <c r="Y34" s="11"/>
      <c r="Z34" s="11"/>
      <c r="AA34" s="11"/>
      <c r="AB34" s="11">
        <v>4</v>
      </c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916</v>
      </c>
      <c r="F35" s="8" t="s">
        <v>42</v>
      </c>
      <c r="G35" s="9">
        <v>0.35972222222222222</v>
      </c>
      <c r="H35" s="9">
        <v>0.36249999999999999</v>
      </c>
      <c r="I35" s="10">
        <f t="shared" si="6"/>
        <v>2.7777777777777679E-3</v>
      </c>
      <c r="J35" s="11">
        <v>4</v>
      </c>
      <c r="K35" s="11">
        <v>48.48</v>
      </c>
      <c r="L35" s="16">
        <f t="shared" si="7"/>
        <v>181.80000000000064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3</v>
      </c>
      <c r="X35" s="11"/>
      <c r="Y35" s="11"/>
      <c r="Z35" s="11"/>
      <c r="AA35" s="11"/>
      <c r="AB35" s="11"/>
      <c r="AC35" s="11"/>
      <c r="AD35" s="11">
        <v>4</v>
      </c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917</v>
      </c>
      <c r="F36" s="8" t="s">
        <v>42</v>
      </c>
      <c r="G36" s="9">
        <v>0.36319444444444443</v>
      </c>
      <c r="H36" s="9">
        <v>0.36666666666666664</v>
      </c>
      <c r="I36" s="10">
        <f t="shared" si="6"/>
        <v>3.4722222222222099E-3</v>
      </c>
      <c r="J36" s="11">
        <v>4</v>
      </c>
      <c r="K36" s="11">
        <v>47.81</v>
      </c>
      <c r="L36" s="16">
        <f t="shared" si="7"/>
        <v>143.43000000000052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3</v>
      </c>
      <c r="X36" s="11"/>
      <c r="Y36" s="11"/>
      <c r="Z36" s="11"/>
      <c r="AA36" s="11"/>
      <c r="AB36" s="11"/>
      <c r="AC36" s="11"/>
      <c r="AD36" s="11">
        <v>4</v>
      </c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918</v>
      </c>
      <c r="F37" s="8" t="s">
        <v>42</v>
      </c>
      <c r="G37" s="9">
        <v>0.42083333333333334</v>
      </c>
      <c r="H37" s="9">
        <v>0.4236111111111111</v>
      </c>
      <c r="I37" s="10">
        <f t="shared" si="6"/>
        <v>2.7777777777777679E-3</v>
      </c>
      <c r="J37" s="11">
        <v>4</v>
      </c>
      <c r="K37" s="11">
        <v>46</v>
      </c>
      <c r="L37" s="16">
        <f t="shared" si="7"/>
        <v>172.5000000000006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3</v>
      </c>
      <c r="X37" s="11"/>
      <c r="Y37" s="11"/>
      <c r="Z37" s="11"/>
      <c r="AA37" s="11"/>
      <c r="AB37" s="11">
        <v>4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919</v>
      </c>
      <c r="F38" s="8" t="s">
        <v>42</v>
      </c>
      <c r="G38" s="9">
        <v>0.42638888888888887</v>
      </c>
      <c r="H38" s="9">
        <v>0.42916666666666664</v>
      </c>
      <c r="I38" s="10">
        <f t="shared" si="6"/>
        <v>2.7777777777777679E-3</v>
      </c>
      <c r="J38" s="11">
        <v>4</v>
      </c>
      <c r="K38" s="11">
        <v>46.85</v>
      </c>
      <c r="L38" s="16">
        <f t="shared" si="7"/>
        <v>175.68750000000065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3</v>
      </c>
      <c r="X38" s="11"/>
      <c r="Y38" s="11"/>
      <c r="Z38" s="11"/>
      <c r="AA38" s="11"/>
      <c r="AB38" s="11"/>
      <c r="AC38" s="11"/>
      <c r="AD38" s="11">
        <v>4</v>
      </c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920</v>
      </c>
      <c r="F39" s="8" t="s">
        <v>42</v>
      </c>
      <c r="G39" s="9">
        <v>0.43055555555555558</v>
      </c>
      <c r="H39" s="9">
        <v>0.43263888888888891</v>
      </c>
      <c r="I39" s="10">
        <f t="shared" si="6"/>
        <v>2.0833333333333259E-3</v>
      </c>
      <c r="J39" s="11">
        <v>4</v>
      </c>
      <c r="K39" s="11">
        <v>46.94</v>
      </c>
      <c r="L39" s="16">
        <f t="shared" si="7"/>
        <v>234.70000000000084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3</v>
      </c>
      <c r="X39" s="11"/>
      <c r="Y39" s="11"/>
      <c r="Z39" s="11"/>
      <c r="AA39" s="11"/>
      <c r="AB39" s="11">
        <v>4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921</v>
      </c>
      <c r="F40" s="8" t="s">
        <v>42</v>
      </c>
      <c r="G40" s="9">
        <v>0.43472222222222223</v>
      </c>
      <c r="H40" s="9">
        <v>0.4375</v>
      </c>
      <c r="I40" s="10">
        <f t="shared" si="6"/>
        <v>2.7777777777777679E-3</v>
      </c>
      <c r="J40" s="11">
        <v>4</v>
      </c>
      <c r="K40" s="11">
        <v>46.54</v>
      </c>
      <c r="L40" s="16">
        <f t="shared" si="7"/>
        <v>174.52500000000063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3</v>
      </c>
      <c r="X40" s="11"/>
      <c r="Y40" s="11"/>
      <c r="Z40" s="11"/>
      <c r="AA40" s="11"/>
      <c r="AB40" s="11"/>
      <c r="AC40" s="11"/>
      <c r="AD40" s="11">
        <v>4</v>
      </c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922</v>
      </c>
      <c r="F41" s="8" t="s">
        <v>42</v>
      </c>
      <c r="G41" s="9">
        <v>0.44166666666666665</v>
      </c>
      <c r="H41" s="9">
        <v>0.44444444444444442</v>
      </c>
      <c r="I41" s="10">
        <f t="shared" si="6"/>
        <v>2.7777777777777679E-3</v>
      </c>
      <c r="J41" s="11">
        <v>4</v>
      </c>
      <c r="K41" s="11">
        <v>46.14</v>
      </c>
      <c r="L41" s="16">
        <f t="shared" si="7"/>
        <v>173.02500000000063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3</v>
      </c>
      <c r="X41" s="11"/>
      <c r="Y41" s="11"/>
      <c r="Z41" s="11"/>
      <c r="AA41" s="11"/>
      <c r="AB41" s="11">
        <v>4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923</v>
      </c>
      <c r="F42" s="8" t="s">
        <v>42</v>
      </c>
      <c r="G42" s="9">
        <v>0.44513888888888886</v>
      </c>
      <c r="H42" s="9">
        <v>0.44791666666666669</v>
      </c>
      <c r="I42" s="10">
        <f t="shared" si="6"/>
        <v>2.7777777777778234E-3</v>
      </c>
      <c r="J42" s="11">
        <v>4</v>
      </c>
      <c r="K42" s="11">
        <v>48.17</v>
      </c>
      <c r="L42" s="16">
        <f t="shared" si="7"/>
        <v>180.63749999999706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3</v>
      </c>
      <c r="X42" s="11"/>
      <c r="Y42" s="11"/>
      <c r="Z42" s="11"/>
      <c r="AA42" s="11"/>
      <c r="AB42" s="11"/>
      <c r="AC42" s="11"/>
      <c r="AD42" s="11">
        <v>4</v>
      </c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924</v>
      </c>
      <c r="F43" s="8" t="s">
        <v>42</v>
      </c>
      <c r="G43" s="9">
        <v>0.44861111111111113</v>
      </c>
      <c r="H43" s="9">
        <v>0.4513888888888889</v>
      </c>
      <c r="I43" s="10">
        <f t="shared" si="6"/>
        <v>2.7777777777777679E-3</v>
      </c>
      <c r="J43" s="11">
        <v>4</v>
      </c>
      <c r="K43" s="11">
        <v>46.47</v>
      </c>
      <c r="L43" s="16">
        <f t="shared" si="7"/>
        <v>174.26250000000061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3</v>
      </c>
      <c r="X43" s="11"/>
      <c r="Y43" s="11"/>
      <c r="Z43" s="11"/>
      <c r="AA43" s="11"/>
      <c r="AB43" s="11">
        <v>4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925</v>
      </c>
      <c r="F44" s="8" t="s">
        <v>42</v>
      </c>
      <c r="G44" s="9">
        <v>0.45347222222222222</v>
      </c>
      <c r="H44" s="9">
        <v>0.45624999999999999</v>
      </c>
      <c r="I44" s="10">
        <f t="shared" si="6"/>
        <v>2.7777777777777679E-3</v>
      </c>
      <c r="J44" s="11">
        <v>4</v>
      </c>
      <c r="K44" s="11">
        <v>47.47</v>
      </c>
      <c r="L44" s="16">
        <f t="shared" si="7"/>
        <v>178.01250000000061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3</v>
      </c>
      <c r="X44" s="11"/>
      <c r="Y44" s="11"/>
      <c r="Z44" s="11"/>
      <c r="AA44" s="11"/>
      <c r="AB44" s="11"/>
      <c r="AC44" s="11"/>
      <c r="AD44" s="11">
        <v>4</v>
      </c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932</v>
      </c>
      <c r="F45" s="8" t="s">
        <v>42</v>
      </c>
      <c r="G45" s="9">
        <v>0.45833333333333331</v>
      </c>
      <c r="H45" s="9">
        <v>0.46111111111111114</v>
      </c>
      <c r="I45" s="10">
        <f t="shared" si="6"/>
        <v>2.7777777777778234E-3</v>
      </c>
      <c r="J45" s="11">
        <v>4</v>
      </c>
      <c r="K45" s="11">
        <v>47.26</v>
      </c>
      <c r="L45" s="16">
        <f t="shared" si="7"/>
        <v>177.22499999999707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3</v>
      </c>
      <c r="X45" s="11"/>
      <c r="Y45" s="11"/>
      <c r="Z45" s="11"/>
      <c r="AA45" s="11"/>
      <c r="AB45" s="11">
        <v>4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933</v>
      </c>
      <c r="F46" s="8" t="s">
        <v>42</v>
      </c>
      <c r="G46" s="9">
        <v>0.46319444444444446</v>
      </c>
      <c r="H46" s="9">
        <v>0.46597222222222223</v>
      </c>
      <c r="I46" s="10">
        <f t="shared" si="6"/>
        <v>2.7777777777777679E-3</v>
      </c>
      <c r="J46" s="11">
        <v>4</v>
      </c>
      <c r="K46" s="11">
        <v>47.63</v>
      </c>
      <c r="L46" s="16">
        <f t="shared" si="7"/>
        <v>178.61250000000064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3</v>
      </c>
      <c r="W46" s="12"/>
      <c r="X46" s="11"/>
      <c r="Y46" s="11"/>
      <c r="Z46" s="11"/>
      <c r="AA46" s="11"/>
      <c r="AB46" s="11"/>
      <c r="AC46" s="11"/>
      <c r="AD46" s="11">
        <v>4</v>
      </c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934</v>
      </c>
      <c r="F47" s="8" t="s">
        <v>42</v>
      </c>
      <c r="G47" s="9">
        <v>0.46944444444444444</v>
      </c>
      <c r="H47" s="9">
        <v>0.47222222222222221</v>
      </c>
      <c r="I47" s="10">
        <f t="shared" si="6"/>
        <v>2.7777777777777679E-3</v>
      </c>
      <c r="J47" s="11">
        <v>4</v>
      </c>
      <c r="K47" s="11">
        <v>45.47</v>
      </c>
      <c r="L47" s="16">
        <f t="shared" si="7"/>
        <v>170.51250000000059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3</v>
      </c>
      <c r="W47" s="12"/>
      <c r="X47" s="11"/>
      <c r="Y47" s="11"/>
      <c r="Z47" s="11"/>
      <c r="AA47" s="11"/>
      <c r="AB47" s="11">
        <v>4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935</v>
      </c>
      <c r="F48" s="8" t="s">
        <v>42</v>
      </c>
      <c r="G48" s="9">
        <v>0.47222222222222221</v>
      </c>
      <c r="H48" s="9">
        <v>0.47499999999999998</v>
      </c>
      <c r="I48" s="10">
        <f t="shared" si="6"/>
        <v>2.7777777777777679E-3</v>
      </c>
      <c r="J48" s="11">
        <v>4</v>
      </c>
      <c r="K48" s="11">
        <v>47.56</v>
      </c>
      <c r="L48" s="16">
        <f t="shared" si="7"/>
        <v>178.35000000000062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3</v>
      </c>
      <c r="X48" s="11"/>
      <c r="Y48" s="11"/>
      <c r="Z48" s="11"/>
      <c r="AA48" s="11"/>
      <c r="AB48" s="11"/>
      <c r="AC48" s="11"/>
      <c r="AD48" s="11">
        <v>4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706</v>
      </c>
      <c r="F49" s="8" t="s">
        <v>42</v>
      </c>
      <c r="G49" s="9">
        <v>0.47986111111111113</v>
      </c>
      <c r="H49" s="9">
        <v>0.4826388888888889</v>
      </c>
      <c r="I49" s="10">
        <f t="shared" si="6"/>
        <v>2.7777777777777679E-3</v>
      </c>
      <c r="J49" s="11">
        <v>4</v>
      </c>
      <c r="K49" s="11">
        <v>48.51</v>
      </c>
      <c r="L49" s="16">
        <f t="shared" si="7"/>
        <v>181.91250000000062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3</v>
      </c>
      <c r="X49" s="11"/>
      <c r="Y49" s="11"/>
      <c r="Z49" s="11"/>
      <c r="AA49" s="11"/>
      <c r="AB49" s="11"/>
      <c r="AC49" s="11"/>
      <c r="AD49" s="11">
        <v>4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707</v>
      </c>
      <c r="F50" s="8" t="s">
        <v>42</v>
      </c>
      <c r="G50" s="9">
        <v>0.48541666666666666</v>
      </c>
      <c r="H50" s="9">
        <v>0.48819444444444443</v>
      </c>
      <c r="I50" s="10">
        <f t="shared" si="6"/>
        <v>2.7777777777777679E-3</v>
      </c>
      <c r="J50" s="11">
        <v>4</v>
      </c>
      <c r="K50" s="11">
        <v>48.14</v>
      </c>
      <c r="L50" s="16">
        <f t="shared" si="7"/>
        <v>180.52500000000066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3</v>
      </c>
      <c r="W50" s="12"/>
      <c r="X50" s="11"/>
      <c r="Y50" s="11"/>
      <c r="Z50" s="11"/>
      <c r="AA50" s="11"/>
      <c r="AB50" s="11"/>
      <c r="AC50" s="11"/>
      <c r="AD50" s="11">
        <v>4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708</v>
      </c>
      <c r="F51" s="8" t="s">
        <v>42</v>
      </c>
      <c r="G51" s="9">
        <v>0.4909722222222222</v>
      </c>
      <c r="H51" s="9">
        <v>0.49375000000000002</v>
      </c>
      <c r="I51" s="10">
        <f t="shared" si="6"/>
        <v>2.7777777777778234E-3</v>
      </c>
      <c r="J51" s="11">
        <v>4</v>
      </c>
      <c r="K51" s="11">
        <v>48.73</v>
      </c>
      <c r="L51" s="16">
        <f t="shared" si="7"/>
        <v>182.737499999997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3</v>
      </c>
      <c r="X51" s="11"/>
      <c r="Y51" s="11"/>
      <c r="Z51" s="11"/>
      <c r="AA51" s="11"/>
      <c r="AB51" s="11">
        <v>4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709</v>
      </c>
      <c r="F52" s="8" t="s">
        <v>42</v>
      </c>
      <c r="G52" s="9">
        <v>0.49513888888888891</v>
      </c>
      <c r="H52" s="9">
        <v>0.49791666666666667</v>
      </c>
      <c r="I52" s="10">
        <f t="shared" si="6"/>
        <v>2.7777777777777679E-3</v>
      </c>
      <c r="J52" s="11">
        <v>4</v>
      </c>
      <c r="K52" s="11">
        <v>43.17</v>
      </c>
      <c r="L52" s="16">
        <f t="shared" si="7"/>
        <v>161.88750000000059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3</v>
      </c>
      <c r="W52" s="12"/>
      <c r="X52" s="11"/>
      <c r="Y52" s="11"/>
      <c r="Z52" s="11"/>
      <c r="AA52" s="11"/>
      <c r="AB52" s="11">
        <v>4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710</v>
      </c>
      <c r="F53" s="8" t="s">
        <v>42</v>
      </c>
      <c r="G53" s="9">
        <v>0.50486111111111109</v>
      </c>
      <c r="H53" s="9">
        <v>0.50763888888888886</v>
      </c>
      <c r="I53" s="10">
        <f t="shared" si="6"/>
        <v>2.7777777777777679E-3</v>
      </c>
      <c r="J53" s="11">
        <v>4</v>
      </c>
      <c r="K53" s="11">
        <v>49.46</v>
      </c>
      <c r="L53" s="16">
        <f t="shared" si="7"/>
        <v>185.47500000000068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3</v>
      </c>
      <c r="W53" s="12"/>
      <c r="X53" s="11"/>
      <c r="Y53" s="11"/>
      <c r="Z53" s="11"/>
      <c r="AA53" s="11"/>
      <c r="AB53" s="11"/>
      <c r="AC53" s="11"/>
      <c r="AD53" s="11">
        <v>4</v>
      </c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711</v>
      </c>
      <c r="F54" s="8" t="s">
        <v>42</v>
      </c>
      <c r="G54" s="9">
        <v>0.50902777777777775</v>
      </c>
      <c r="H54" s="9">
        <v>0.51180555555555551</v>
      </c>
      <c r="I54" s="10">
        <f t="shared" si="6"/>
        <v>2.7777777777777679E-3</v>
      </c>
      <c r="J54" s="11">
        <v>4</v>
      </c>
      <c r="K54" s="11">
        <v>47.85</v>
      </c>
      <c r="L54" s="16">
        <f t="shared" si="7"/>
        <v>179.43750000000065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3</v>
      </c>
      <c r="X54" s="11"/>
      <c r="Y54" s="11"/>
      <c r="Z54" s="11"/>
      <c r="AA54" s="11"/>
      <c r="AB54" s="11">
        <v>4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2303</v>
      </c>
      <c r="F55" s="8" t="s">
        <v>42</v>
      </c>
      <c r="G55" s="9">
        <v>0.5131944444444444</v>
      </c>
      <c r="H55" s="9">
        <v>0.51597222222222228</v>
      </c>
      <c r="I55" s="10">
        <f t="shared" si="6"/>
        <v>2.7777777777778789E-3</v>
      </c>
      <c r="J55" s="11">
        <v>4</v>
      </c>
      <c r="K55" s="11">
        <v>48.01</v>
      </c>
      <c r="L55" s="16">
        <f t="shared" si="7"/>
        <v>180.03749999999343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3</v>
      </c>
      <c r="X55" s="11"/>
      <c r="Y55" s="11"/>
      <c r="Z55" s="11"/>
      <c r="AA55" s="11"/>
      <c r="AB55" s="11"/>
      <c r="AC55" s="11"/>
      <c r="AD55" s="11">
        <v>4</v>
      </c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2304</v>
      </c>
      <c r="F56" s="8" t="s">
        <v>42</v>
      </c>
      <c r="G56" s="9">
        <v>0.51527777777777772</v>
      </c>
      <c r="H56" s="9">
        <v>0.51875000000000004</v>
      </c>
      <c r="I56" s="10">
        <f t="shared" si="6"/>
        <v>3.4722222222223209E-3</v>
      </c>
      <c r="J56" s="11">
        <v>4</v>
      </c>
      <c r="K56" s="11">
        <v>48.77</v>
      </c>
      <c r="L56" s="16">
        <f t="shared" si="7"/>
        <v>146.30999999999585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3</v>
      </c>
      <c r="W56" s="12"/>
      <c r="X56" s="11"/>
      <c r="Y56" s="11"/>
      <c r="Z56" s="11"/>
      <c r="AA56" s="11"/>
      <c r="AB56" s="11">
        <v>4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2305</v>
      </c>
      <c r="F57" s="14"/>
      <c r="G57" s="9">
        <v>0.52083333333333337</v>
      </c>
      <c r="H57" s="9">
        <v>0.5229166666666667</v>
      </c>
      <c r="I57" s="10">
        <f t="shared" si="6"/>
        <v>2.0833333333333259E-3</v>
      </c>
      <c r="J57" s="11">
        <v>4</v>
      </c>
      <c r="K57" s="11">
        <v>49.65</v>
      </c>
      <c r="L57" s="16">
        <f t="shared" si="7"/>
        <v>248.25000000000088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3</v>
      </c>
      <c r="X57" s="11"/>
      <c r="Y57" s="11"/>
      <c r="Z57" s="11"/>
      <c r="AA57" s="11"/>
      <c r="AB57" s="11"/>
      <c r="AC57" s="11"/>
      <c r="AD57" s="11">
        <v>4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2306</v>
      </c>
      <c r="F58" s="8" t="s">
        <v>42</v>
      </c>
      <c r="G58" s="9">
        <v>0.52569444444444446</v>
      </c>
      <c r="H58" s="9">
        <v>0.52847222222222223</v>
      </c>
      <c r="I58" s="10">
        <f t="shared" ref="I58:I72" si="8">H58-G58</f>
        <v>2.7777777777777679E-3</v>
      </c>
      <c r="J58" s="11">
        <v>4</v>
      </c>
      <c r="K58" s="11">
        <v>47.87</v>
      </c>
      <c r="L58" s="16">
        <f t="shared" ref="L58:L74" si="9">IFERROR(((K58/(J58*I58)/24)),"0")</f>
        <v>179.51250000000061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3</v>
      </c>
      <c r="X58" s="11"/>
      <c r="Y58" s="11"/>
      <c r="Z58" s="11"/>
      <c r="AA58" s="11"/>
      <c r="AB58" s="11">
        <v>4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2307</v>
      </c>
      <c r="F59" s="8" t="s">
        <v>42</v>
      </c>
      <c r="G59" s="9">
        <v>0.54583333333333328</v>
      </c>
      <c r="H59" s="9">
        <v>0.54861111111111116</v>
      </c>
      <c r="I59" s="10">
        <f t="shared" si="8"/>
        <v>2.7777777777778789E-3</v>
      </c>
      <c r="J59" s="11">
        <v>4</v>
      </c>
      <c r="K59" s="11">
        <v>47.19</v>
      </c>
      <c r="L59" s="16">
        <f t="shared" si="9"/>
        <v>176.96249999999353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3</v>
      </c>
      <c r="W59" s="12"/>
      <c r="X59" s="11"/>
      <c r="Y59" s="11"/>
      <c r="Z59" s="11"/>
      <c r="AA59" s="11"/>
      <c r="AB59" s="11"/>
      <c r="AC59" s="11"/>
      <c r="AD59" s="11">
        <v>4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2308</v>
      </c>
      <c r="F60" s="8" t="s">
        <v>42</v>
      </c>
      <c r="G60" s="9">
        <v>0.55694444444444446</v>
      </c>
      <c r="H60" s="9">
        <v>0.55972222222222223</v>
      </c>
      <c r="I60" s="10">
        <f t="shared" si="8"/>
        <v>2.7777777777777679E-3</v>
      </c>
      <c r="J60" s="11">
        <v>4</v>
      </c>
      <c r="K60" s="11">
        <v>47.57</v>
      </c>
      <c r="L60" s="16">
        <f t="shared" si="9"/>
        <v>178.38750000000064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3</v>
      </c>
      <c r="W60" s="12"/>
      <c r="X60" s="11"/>
      <c r="Y60" s="11"/>
      <c r="Z60" s="11"/>
      <c r="AA60" s="11"/>
      <c r="AB60" s="11">
        <v>4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2309</v>
      </c>
      <c r="F61" s="8" t="s">
        <v>42</v>
      </c>
      <c r="G61" s="9">
        <v>0.56388888888888888</v>
      </c>
      <c r="H61" s="9">
        <v>0.56666666666666665</v>
      </c>
      <c r="I61" s="10">
        <f t="shared" si="8"/>
        <v>2.7777777777777679E-3</v>
      </c>
      <c r="J61" s="11">
        <v>4</v>
      </c>
      <c r="K61" s="11">
        <v>48.93</v>
      </c>
      <c r="L61" s="16">
        <f t="shared" si="9"/>
        <v>183.48750000000064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3</v>
      </c>
      <c r="W61" s="12"/>
      <c r="X61" s="11"/>
      <c r="Y61" s="11"/>
      <c r="Z61" s="11"/>
      <c r="AA61" s="11"/>
      <c r="AB61" s="11"/>
      <c r="AC61" s="11"/>
      <c r="AD61" s="11">
        <v>4</v>
      </c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2310</v>
      </c>
      <c r="F62" s="8" t="s">
        <v>42</v>
      </c>
      <c r="G62" s="9">
        <v>0.56944444444444442</v>
      </c>
      <c r="H62" s="9">
        <v>0.57222222222222219</v>
      </c>
      <c r="I62" s="10">
        <f t="shared" si="8"/>
        <v>2.7777777777777679E-3</v>
      </c>
      <c r="J62" s="11">
        <v>4</v>
      </c>
      <c r="K62" s="11">
        <v>47.49</v>
      </c>
      <c r="L62" s="16">
        <f t="shared" si="9"/>
        <v>178.08750000000063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3</v>
      </c>
      <c r="W62" s="12"/>
      <c r="X62" s="11"/>
      <c r="Y62" s="11"/>
      <c r="Z62" s="11"/>
      <c r="AA62" s="11"/>
      <c r="AB62" s="11">
        <v>4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2311</v>
      </c>
      <c r="F63" s="8" t="s">
        <v>42</v>
      </c>
      <c r="G63" s="9">
        <v>0.58402777777777781</v>
      </c>
      <c r="H63" s="9">
        <v>0.58680555555555558</v>
      </c>
      <c r="I63" s="10">
        <f t="shared" si="8"/>
        <v>2.7777777777777679E-3</v>
      </c>
      <c r="J63" s="11">
        <v>4</v>
      </c>
      <c r="K63" s="11">
        <v>48.95</v>
      </c>
      <c r="L63" s="16">
        <f t="shared" si="9"/>
        <v>183.56250000000065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3</v>
      </c>
      <c r="X63" s="11"/>
      <c r="Y63" s="11"/>
      <c r="Z63" s="11"/>
      <c r="AA63" s="11"/>
      <c r="AB63" s="11"/>
      <c r="AC63" s="11"/>
      <c r="AD63" s="11">
        <v>4</v>
      </c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2312</v>
      </c>
      <c r="F64" s="8" t="s">
        <v>42</v>
      </c>
      <c r="G64" s="9">
        <v>0.60069444444444442</v>
      </c>
      <c r="H64" s="9">
        <v>0.60347222222222219</v>
      </c>
      <c r="I64" s="10">
        <f t="shared" si="8"/>
        <v>2.7777777777777679E-3</v>
      </c>
      <c r="J64" s="11">
        <v>4</v>
      </c>
      <c r="K64" s="11">
        <v>47.15</v>
      </c>
      <c r="L64" s="16">
        <f t="shared" si="9"/>
        <v>176.8125000000006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3</v>
      </c>
      <c r="X64" s="11"/>
      <c r="Y64" s="11"/>
      <c r="Z64" s="11"/>
      <c r="AA64" s="11"/>
      <c r="AB64" s="11"/>
      <c r="AC64" s="11"/>
      <c r="AD64" s="11">
        <v>4</v>
      </c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2313</v>
      </c>
      <c r="F65" s="8" t="s">
        <v>42</v>
      </c>
      <c r="G65" s="9">
        <v>0.60763888888888884</v>
      </c>
      <c r="H65" s="9">
        <v>0.61041666666666672</v>
      </c>
      <c r="I65" s="10">
        <f t="shared" si="8"/>
        <v>2.7777777777778789E-3</v>
      </c>
      <c r="J65" s="11">
        <v>4</v>
      </c>
      <c r="K65" s="11">
        <v>48.21</v>
      </c>
      <c r="L65" s="16">
        <f t="shared" si="9"/>
        <v>180.78749999999343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3</v>
      </c>
      <c r="W65" s="12"/>
      <c r="X65" s="11"/>
      <c r="Y65" s="11"/>
      <c r="Z65" s="11"/>
      <c r="AA65" s="11"/>
      <c r="AB65" s="11"/>
      <c r="AC65" s="11"/>
      <c r="AD65" s="11">
        <v>4</v>
      </c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2314</v>
      </c>
      <c r="F66" s="8" t="s">
        <v>42</v>
      </c>
      <c r="G66" s="9">
        <v>0.61736111111111114</v>
      </c>
      <c r="H66" s="9">
        <v>0.62013888888888891</v>
      </c>
      <c r="I66" s="10">
        <f t="shared" si="8"/>
        <v>2.7777777777777679E-3</v>
      </c>
      <c r="J66" s="11">
        <v>4</v>
      </c>
      <c r="K66" s="11">
        <v>46.45</v>
      </c>
      <c r="L66" s="16">
        <f t="shared" si="9"/>
        <v>174.18750000000065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3</v>
      </c>
      <c r="X66" s="11"/>
      <c r="Y66" s="11"/>
      <c r="Z66" s="11"/>
      <c r="AA66" s="11"/>
      <c r="AB66" s="11">
        <v>4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2315</v>
      </c>
      <c r="F67" s="8" t="s">
        <v>42</v>
      </c>
      <c r="G67" s="9">
        <v>0.62638888888888888</v>
      </c>
      <c r="H67" s="9">
        <v>0.62916666666666665</v>
      </c>
      <c r="I67" s="10">
        <f t="shared" si="8"/>
        <v>2.7777777777777679E-3</v>
      </c>
      <c r="J67" s="11">
        <v>4</v>
      </c>
      <c r="K67" s="11">
        <v>48.4</v>
      </c>
      <c r="L67" s="16">
        <f t="shared" si="9"/>
        <v>181.50000000000065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3</v>
      </c>
      <c r="X67" s="11"/>
      <c r="Y67" s="11"/>
      <c r="Z67" s="11"/>
      <c r="AA67" s="11"/>
      <c r="AB67" s="11"/>
      <c r="AC67" s="11"/>
      <c r="AD67" s="11">
        <v>4</v>
      </c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2316</v>
      </c>
      <c r="F68" s="8" t="s">
        <v>42</v>
      </c>
      <c r="G68" s="9">
        <v>0.65694444444444444</v>
      </c>
      <c r="H68" s="9">
        <v>0.65972222222222221</v>
      </c>
      <c r="I68" s="10">
        <f t="shared" si="8"/>
        <v>2.7777777777777679E-3</v>
      </c>
      <c r="J68" s="11">
        <v>4</v>
      </c>
      <c r="K68" s="11">
        <v>46.4</v>
      </c>
      <c r="L68" s="16">
        <f t="shared" si="9"/>
        <v>174.0000000000006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3</v>
      </c>
      <c r="W68" s="12"/>
      <c r="X68" s="11"/>
      <c r="Y68" s="11"/>
      <c r="Z68" s="11"/>
      <c r="AA68" s="11"/>
      <c r="AB68" s="11"/>
      <c r="AC68" s="11"/>
      <c r="AD68" s="11">
        <v>4</v>
      </c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2317</v>
      </c>
      <c r="F69" s="8" t="s">
        <v>42</v>
      </c>
      <c r="G69" s="9">
        <v>0.68263888888888891</v>
      </c>
      <c r="H69" s="9">
        <v>0.68541666666666667</v>
      </c>
      <c r="I69" s="10">
        <f t="shared" si="8"/>
        <v>2.7777777777777679E-3</v>
      </c>
      <c r="J69" s="11">
        <v>4</v>
      </c>
      <c r="K69" s="11">
        <v>49.63</v>
      </c>
      <c r="L69" s="16">
        <f t="shared" si="9"/>
        <v>186.11250000000067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3</v>
      </c>
      <c r="X69" s="11"/>
      <c r="Y69" s="11"/>
      <c r="Z69" s="11"/>
      <c r="AA69" s="11"/>
      <c r="AB69" s="11">
        <v>4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/>
      <c r="F70" s="8"/>
      <c r="G70" s="9"/>
      <c r="H70" s="9"/>
      <c r="I70" s="10"/>
      <c r="J70" s="11"/>
      <c r="K70" s="11"/>
      <c r="L70" s="16"/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6" t="s">
        <v>2249</v>
      </c>
      <c r="E71" s="19" t="s">
        <v>2236</v>
      </c>
      <c r="F71" s="8" t="s">
        <v>42</v>
      </c>
      <c r="G71" s="9">
        <v>0.69374999999999998</v>
      </c>
      <c r="H71" s="9">
        <v>0.70486111111111116</v>
      </c>
      <c r="I71" s="10">
        <f t="shared" si="8"/>
        <v>1.1111111111111183E-2</v>
      </c>
      <c r="J71" s="11">
        <v>4</v>
      </c>
      <c r="K71" s="11">
        <v>58.86</v>
      </c>
      <c r="L71" s="16">
        <f t="shared" si="9"/>
        <v>55.181249999999643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1"/>
      <c r="Y71" s="11"/>
      <c r="Z71" s="11"/>
      <c r="AA71" s="11"/>
      <c r="AB71" s="11"/>
      <c r="AC71" s="11"/>
      <c r="AD71" s="11">
        <v>16</v>
      </c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2237</v>
      </c>
      <c r="F72" s="8" t="s">
        <v>42</v>
      </c>
      <c r="G72" s="9">
        <v>0.71111111111111114</v>
      </c>
      <c r="H72" s="9">
        <v>0.72222222222222221</v>
      </c>
      <c r="I72" s="10">
        <f t="shared" si="8"/>
        <v>1.1111111111111072E-2</v>
      </c>
      <c r="J72" s="11">
        <v>4</v>
      </c>
      <c r="K72" s="11">
        <v>56.63</v>
      </c>
      <c r="L72" s="16">
        <f t="shared" si="9"/>
        <v>53.090625000000188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/>
      <c r="Z72" s="11"/>
      <c r="AA72" s="11"/>
      <c r="AB72" s="11"/>
      <c r="AC72" s="11"/>
      <c r="AD72" s="11">
        <v>16</v>
      </c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2238</v>
      </c>
      <c r="F73" s="8" t="s">
        <v>42</v>
      </c>
      <c r="G73" s="9">
        <v>0.7270833333333333</v>
      </c>
      <c r="H73" s="9">
        <v>0.7368055555555556</v>
      </c>
      <c r="I73" s="10">
        <f t="shared" ref="I73:I83" si="10">H73-G73</f>
        <v>9.7222222222222987E-3</v>
      </c>
      <c r="J73" s="11">
        <v>4</v>
      </c>
      <c r="K73" s="11">
        <v>64.17</v>
      </c>
      <c r="L73" s="16">
        <f t="shared" si="9"/>
        <v>68.753571428570893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2</v>
      </c>
      <c r="W73" s="12"/>
      <c r="X73" s="11"/>
      <c r="Y73" s="11"/>
      <c r="Z73" s="11"/>
      <c r="AA73" s="11"/>
      <c r="AB73" s="11"/>
      <c r="AC73" s="11"/>
      <c r="AD73" s="11">
        <v>14</v>
      </c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2239</v>
      </c>
      <c r="F74" s="8" t="s">
        <v>42</v>
      </c>
      <c r="G74" s="9">
        <v>0.74027777777777781</v>
      </c>
      <c r="H74" s="9">
        <v>0.75</v>
      </c>
      <c r="I74" s="10">
        <f t="shared" si="10"/>
        <v>9.7222222222221877E-3</v>
      </c>
      <c r="J74" s="11">
        <v>4</v>
      </c>
      <c r="K74" s="11">
        <v>62.31</v>
      </c>
      <c r="L74" s="16">
        <f t="shared" si="9"/>
        <v>66.760714285714528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/>
      <c r="Y74" s="11"/>
      <c r="Z74" s="11"/>
      <c r="AA74" s="11"/>
      <c r="AB74" s="11"/>
      <c r="AC74" s="11"/>
      <c r="AD74" s="11">
        <v>14</v>
      </c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2240</v>
      </c>
      <c r="F75" s="8" t="s">
        <v>42</v>
      </c>
      <c r="G75" s="9">
        <v>0.75694444444444442</v>
      </c>
      <c r="H75" s="9">
        <v>0.76666666666666672</v>
      </c>
      <c r="I75" s="10">
        <f t="shared" si="10"/>
        <v>9.7222222222222987E-3</v>
      </c>
      <c r="J75" s="11">
        <v>4</v>
      </c>
      <c r="K75" s="11">
        <v>62.31</v>
      </c>
      <c r="L75" s="16">
        <f t="shared" ref="L75:L83" si="11">IFERROR(((K75/(J75*I75)/24)),"0")</f>
        <v>66.76071428571376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/>
      <c r="Z75" s="11"/>
      <c r="AA75" s="11"/>
      <c r="AB75" s="11"/>
      <c r="AC75" s="11"/>
      <c r="AD75" s="11">
        <v>14</v>
      </c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2318</v>
      </c>
      <c r="F76" s="8" t="s">
        <v>42</v>
      </c>
      <c r="G76" s="9">
        <v>0.74930555555555556</v>
      </c>
      <c r="H76" s="9">
        <v>0.75208333333333333</v>
      </c>
      <c r="I76" s="10">
        <f t="shared" si="10"/>
        <v>2.7777777777777679E-3</v>
      </c>
      <c r="J76" s="11">
        <v>4</v>
      </c>
      <c r="K76" s="11">
        <v>11.26</v>
      </c>
      <c r="L76" s="16">
        <f t="shared" si="11"/>
        <v>42.225000000000151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2</v>
      </c>
      <c r="W76" s="12"/>
      <c r="X76" s="11"/>
      <c r="Y76" s="11"/>
      <c r="Z76" s="11"/>
      <c r="AA76" s="11"/>
      <c r="AB76" s="11">
        <v>4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2280</v>
      </c>
      <c r="F77" s="8" t="s">
        <v>42</v>
      </c>
      <c r="G77" s="9">
        <v>0.6166666666666667</v>
      </c>
      <c r="H77" s="9">
        <v>0.64236111111111116</v>
      </c>
      <c r="I77" s="10">
        <f t="shared" si="10"/>
        <v>2.5694444444444464E-2</v>
      </c>
      <c r="J77" s="11">
        <v>4</v>
      </c>
      <c r="K77" s="11">
        <v>150.80000000000001</v>
      </c>
      <c r="L77" s="16">
        <f t="shared" si="11"/>
        <v>61.135135135135094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2</v>
      </c>
      <c r="W77" s="12"/>
      <c r="X77" s="11"/>
      <c r="Y77" s="11"/>
      <c r="Z77" s="11"/>
      <c r="AA77" s="11"/>
      <c r="AB77" s="11">
        <v>37</v>
      </c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2281</v>
      </c>
      <c r="F78" s="8" t="s">
        <v>42</v>
      </c>
      <c r="G78" s="9">
        <v>0.56388888888888888</v>
      </c>
      <c r="H78" s="9">
        <v>0.67222222222222228</v>
      </c>
      <c r="I78" s="10">
        <f t="shared" si="10"/>
        <v>0.10833333333333339</v>
      </c>
      <c r="J78" s="11">
        <v>4</v>
      </c>
      <c r="K78" s="11">
        <v>147.27000000000001</v>
      </c>
      <c r="L78" s="16">
        <f t="shared" si="11"/>
        <v>14.160576923076917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/>
      <c r="Z78" s="11"/>
      <c r="AA78" s="11"/>
      <c r="AB78" s="11">
        <v>36</v>
      </c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2282</v>
      </c>
      <c r="F79" s="8" t="s">
        <v>42</v>
      </c>
      <c r="G79" s="9">
        <v>0.6791666666666667</v>
      </c>
      <c r="H79" s="9">
        <v>0.70138888888888884</v>
      </c>
      <c r="I79" s="10">
        <f t="shared" si="10"/>
        <v>2.2222222222222143E-2</v>
      </c>
      <c r="J79" s="11">
        <v>4</v>
      </c>
      <c r="K79" s="11">
        <v>149.56</v>
      </c>
      <c r="L79" s="16">
        <f t="shared" si="11"/>
        <v>70.106250000000259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2</v>
      </c>
      <c r="W79" s="12"/>
      <c r="X79" s="11"/>
      <c r="Y79" s="11"/>
      <c r="Z79" s="11"/>
      <c r="AA79" s="11"/>
      <c r="AB79" s="11">
        <v>32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2283</v>
      </c>
      <c r="F80" s="8" t="s">
        <v>42</v>
      </c>
      <c r="G80" s="9">
        <v>0.68819444444444444</v>
      </c>
      <c r="H80" s="9">
        <v>0.71180555555555558</v>
      </c>
      <c r="I80" s="10">
        <f t="shared" si="10"/>
        <v>2.3611111111111138E-2</v>
      </c>
      <c r="J80" s="11">
        <v>4</v>
      </c>
      <c r="K80" s="11">
        <v>149.1</v>
      </c>
      <c r="L80" s="16">
        <f t="shared" si="11"/>
        <v>65.779411764705813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/>
      <c r="AB80" s="11"/>
      <c r="AC80" s="11">
        <v>34</v>
      </c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2284</v>
      </c>
      <c r="F81" s="8" t="s">
        <v>42</v>
      </c>
      <c r="G81" s="9">
        <v>0.71666666666666667</v>
      </c>
      <c r="H81" s="9">
        <v>0.74027777777777781</v>
      </c>
      <c r="I81" s="10">
        <f t="shared" si="10"/>
        <v>2.3611111111111138E-2</v>
      </c>
      <c r="J81" s="11">
        <v>4</v>
      </c>
      <c r="K81" s="11">
        <v>151.30000000000001</v>
      </c>
      <c r="L81" s="16">
        <f t="shared" si="11"/>
        <v>66.749999999999929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/>
      <c r="AA81" s="11"/>
      <c r="AB81" s="11">
        <v>34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2285</v>
      </c>
      <c r="F82" s="8" t="s">
        <v>42</v>
      </c>
      <c r="G82" s="9">
        <v>0.71944444444444444</v>
      </c>
      <c r="H82" s="9">
        <v>0.7416666666666667</v>
      </c>
      <c r="I82" s="10">
        <f t="shared" si="10"/>
        <v>2.2222222222222254E-2</v>
      </c>
      <c r="J82" s="11">
        <v>4</v>
      </c>
      <c r="K82" s="11">
        <v>149.02000000000001</v>
      </c>
      <c r="L82" s="16">
        <f t="shared" si="11"/>
        <v>69.853124999999906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/>
      <c r="AB82" s="11"/>
      <c r="AC82" s="11">
        <v>32</v>
      </c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2286</v>
      </c>
      <c r="F83" s="8" t="s">
        <v>42</v>
      </c>
      <c r="G83" s="9">
        <v>0.75</v>
      </c>
      <c r="H83" s="9">
        <v>0.77152777777777781</v>
      </c>
      <c r="I83" s="10">
        <f t="shared" si="10"/>
        <v>2.1527777777777812E-2</v>
      </c>
      <c r="J83" s="11">
        <v>4</v>
      </c>
      <c r="K83" s="11">
        <v>151.69</v>
      </c>
      <c r="L83" s="16">
        <f t="shared" si="11"/>
        <v>73.398387096774073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/>
      <c r="AB83" s="11"/>
      <c r="AC83" s="11">
        <v>31</v>
      </c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/>
      <c r="F84" s="19"/>
      <c r="G84" s="19"/>
      <c r="H84" s="19"/>
      <c r="I84" s="19"/>
      <c r="J84" s="19"/>
      <c r="K84" s="19"/>
      <c r="L84" s="19"/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6" t="s">
        <v>1432</v>
      </c>
      <c r="E85" s="19" t="s">
        <v>71</v>
      </c>
      <c r="F85" s="8" t="s">
        <v>42</v>
      </c>
      <c r="G85" s="9">
        <v>0.36388888888888887</v>
      </c>
      <c r="H85" s="9">
        <v>0.38680555555555557</v>
      </c>
      <c r="I85" s="10">
        <f t="shared" ref="I85:I95" si="12">H85-G85</f>
        <v>2.2916666666666696E-2</v>
      </c>
      <c r="J85" s="11">
        <v>4</v>
      </c>
      <c r="K85" s="11">
        <v>65.95</v>
      </c>
      <c r="L85" s="16">
        <f t="shared" ref="L85:L95" si="13">IFERROR(((K85/(J85*I85)/24)),"0")</f>
        <v>29.977272727272691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3</v>
      </c>
      <c r="W85" s="12"/>
      <c r="X85" s="11"/>
      <c r="Y85" s="11"/>
      <c r="Z85" s="11"/>
      <c r="AA85" s="11"/>
      <c r="AB85" s="11"/>
      <c r="AC85" s="11"/>
      <c r="AD85" s="11"/>
      <c r="AE85" s="11"/>
      <c r="AF85" s="11"/>
      <c r="AG85" s="11">
        <v>8.25</v>
      </c>
      <c r="AH85" s="11">
        <v>8.25</v>
      </c>
      <c r="AI85" s="11">
        <v>8.25</v>
      </c>
      <c r="AJ85" s="11">
        <v>8.25</v>
      </c>
      <c r="AK85" s="11"/>
      <c r="AL85" s="14"/>
    </row>
    <row r="86" spans="2:38" ht="25.05" customHeight="1">
      <c r="B86" s="13"/>
      <c r="C86" s="29"/>
      <c r="D86" s="30"/>
      <c r="E86" s="19" t="s">
        <v>72</v>
      </c>
      <c r="F86" s="8" t="s">
        <v>42</v>
      </c>
      <c r="G86" s="9">
        <v>0.38819444444444445</v>
      </c>
      <c r="H86" s="9">
        <v>0.40486111111111112</v>
      </c>
      <c r="I86" s="10">
        <f t="shared" si="12"/>
        <v>1.6666666666666663E-2</v>
      </c>
      <c r="J86" s="11">
        <v>4</v>
      </c>
      <c r="K86" s="11">
        <v>69.98</v>
      </c>
      <c r="L86" s="16">
        <f t="shared" si="13"/>
        <v>43.737500000000011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3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>
        <v>6</v>
      </c>
      <c r="AH86" s="11">
        <v>6</v>
      </c>
      <c r="AI86" s="11">
        <v>6</v>
      </c>
      <c r="AJ86" s="11">
        <v>6</v>
      </c>
      <c r="AK86" s="11"/>
      <c r="AL86" s="14"/>
    </row>
    <row r="87" spans="2:38" ht="25.05" customHeight="1">
      <c r="B87" s="13"/>
      <c r="C87" s="29"/>
      <c r="D87" s="30"/>
      <c r="E87" s="19" t="s">
        <v>73</v>
      </c>
      <c r="F87" s="8" t="s">
        <v>42</v>
      </c>
      <c r="G87" s="9">
        <v>0.41249999999999998</v>
      </c>
      <c r="H87" s="9">
        <v>0.43055555555555558</v>
      </c>
      <c r="I87" s="10">
        <f t="shared" si="12"/>
        <v>1.8055555555555602E-2</v>
      </c>
      <c r="J87" s="11">
        <v>4</v>
      </c>
      <c r="K87" s="11">
        <v>67.09</v>
      </c>
      <c r="L87" s="16">
        <f t="shared" si="13"/>
        <v>38.705769230769128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3</v>
      </c>
      <c r="W87" s="12"/>
      <c r="X87" s="11"/>
      <c r="Y87" s="11"/>
      <c r="Z87" s="11"/>
      <c r="AA87" s="11"/>
      <c r="AB87" s="11"/>
      <c r="AC87" s="11"/>
      <c r="AD87" s="11"/>
      <c r="AE87" s="11"/>
      <c r="AF87" s="11"/>
      <c r="AG87" s="11">
        <v>6.5</v>
      </c>
      <c r="AH87" s="11">
        <v>6.5</v>
      </c>
      <c r="AI87" s="11">
        <v>6.5</v>
      </c>
      <c r="AJ87" s="11">
        <v>6.5</v>
      </c>
      <c r="AK87" s="11"/>
      <c r="AL87" s="14"/>
    </row>
    <row r="88" spans="2:38" ht="25.05" customHeight="1">
      <c r="B88" s="13"/>
      <c r="C88" s="29"/>
      <c r="D88" s="30"/>
      <c r="E88" s="19" t="s">
        <v>1985</v>
      </c>
      <c r="F88" s="8" t="s">
        <v>42</v>
      </c>
      <c r="G88" s="9">
        <v>0.43402777777777779</v>
      </c>
      <c r="H88" s="9">
        <v>0.44791666666666669</v>
      </c>
      <c r="I88" s="10">
        <f t="shared" si="12"/>
        <v>1.3888888888888895E-2</v>
      </c>
      <c r="J88" s="11">
        <v>4</v>
      </c>
      <c r="K88" s="11">
        <v>69.31</v>
      </c>
      <c r="L88" s="16">
        <f t="shared" si="13"/>
        <v>51.98249999999998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3</v>
      </c>
      <c r="X88" s="11"/>
      <c r="Y88" s="11"/>
      <c r="Z88" s="11"/>
      <c r="AA88" s="11"/>
      <c r="AB88" s="11"/>
      <c r="AC88" s="11"/>
      <c r="AD88" s="11"/>
      <c r="AE88" s="11"/>
      <c r="AF88" s="11"/>
      <c r="AG88" s="11">
        <v>5</v>
      </c>
      <c r="AH88" s="11">
        <v>5</v>
      </c>
      <c r="AI88" s="11">
        <v>5</v>
      </c>
      <c r="AJ88" s="11">
        <v>5</v>
      </c>
      <c r="AK88" s="11"/>
      <c r="AL88" s="14"/>
    </row>
    <row r="89" spans="2:38" ht="25.05" customHeight="1">
      <c r="B89" s="13"/>
      <c r="C89" s="29"/>
      <c r="D89" s="30"/>
      <c r="E89" s="19" t="s">
        <v>1986</v>
      </c>
      <c r="F89" s="8" t="s">
        <v>42</v>
      </c>
      <c r="G89" s="9">
        <v>0.58402777777777781</v>
      </c>
      <c r="H89" s="9">
        <v>0.60347222222222219</v>
      </c>
      <c r="I89" s="10">
        <f t="shared" si="12"/>
        <v>1.9444444444444375E-2</v>
      </c>
      <c r="J89" s="11">
        <v>4</v>
      </c>
      <c r="K89" s="11">
        <v>68.89</v>
      </c>
      <c r="L89" s="16">
        <f t="shared" si="13"/>
        <v>36.905357142857277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3</v>
      </c>
      <c r="W89" s="12"/>
      <c r="X89" s="11"/>
      <c r="Y89" s="11"/>
      <c r="Z89" s="11"/>
      <c r="AA89" s="11"/>
      <c r="AB89" s="11"/>
      <c r="AC89" s="11"/>
      <c r="AD89" s="11"/>
      <c r="AE89" s="11"/>
      <c r="AF89" s="11"/>
      <c r="AG89" s="11">
        <v>7</v>
      </c>
      <c r="AH89" s="11">
        <v>7</v>
      </c>
      <c r="AI89" s="11">
        <v>7</v>
      </c>
      <c r="AJ89" s="11">
        <v>7</v>
      </c>
      <c r="AK89" s="11"/>
      <c r="AL89" s="14"/>
    </row>
    <row r="90" spans="2:38" ht="25.05" customHeight="1">
      <c r="B90" s="13"/>
      <c r="C90" s="29"/>
      <c r="D90" s="30"/>
      <c r="E90" s="19" t="s">
        <v>1987</v>
      </c>
      <c r="F90" s="8" t="s">
        <v>42</v>
      </c>
      <c r="G90" s="9">
        <v>0.60416666666666663</v>
      </c>
      <c r="H90" s="9">
        <v>0.62013888888888891</v>
      </c>
      <c r="I90" s="10">
        <f t="shared" si="12"/>
        <v>1.5972222222222276E-2</v>
      </c>
      <c r="J90" s="11">
        <v>4</v>
      </c>
      <c r="K90" s="11">
        <v>71</v>
      </c>
      <c r="L90" s="16">
        <f t="shared" si="13"/>
        <v>46.304347826086797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3</v>
      </c>
      <c r="X90" s="11"/>
      <c r="Y90" s="11"/>
      <c r="Z90" s="11"/>
      <c r="AA90" s="11"/>
      <c r="AB90" s="11"/>
      <c r="AC90" s="11"/>
      <c r="AD90" s="11"/>
      <c r="AE90" s="11"/>
      <c r="AF90" s="11"/>
      <c r="AG90" s="11">
        <v>5.75</v>
      </c>
      <c r="AH90" s="11">
        <v>5.75</v>
      </c>
      <c r="AI90" s="11">
        <v>5.75</v>
      </c>
      <c r="AJ90" s="11">
        <v>5.75</v>
      </c>
      <c r="AK90" s="11"/>
      <c r="AL90" s="14"/>
    </row>
    <row r="91" spans="2:38" ht="25.05" customHeight="1">
      <c r="B91" s="13"/>
      <c r="C91" s="29"/>
      <c r="D91" s="30"/>
      <c r="E91" s="19" t="s">
        <v>1988</v>
      </c>
      <c r="F91" s="8" t="s">
        <v>42</v>
      </c>
      <c r="G91" s="9">
        <v>0.625</v>
      </c>
      <c r="H91" s="9">
        <v>0.64444444444444449</v>
      </c>
      <c r="I91" s="10">
        <f t="shared" si="12"/>
        <v>1.9444444444444486E-2</v>
      </c>
      <c r="J91" s="11">
        <v>4</v>
      </c>
      <c r="K91" s="11">
        <v>66.66</v>
      </c>
      <c r="L91" s="16">
        <f t="shared" si="13"/>
        <v>35.710714285714211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3</v>
      </c>
      <c r="X91" s="11"/>
      <c r="Y91" s="11"/>
      <c r="Z91" s="11"/>
      <c r="AA91" s="11"/>
      <c r="AB91" s="11"/>
      <c r="AC91" s="11"/>
      <c r="AD91" s="11"/>
      <c r="AE91" s="11"/>
      <c r="AF91" s="11"/>
      <c r="AG91" s="11">
        <v>7</v>
      </c>
      <c r="AH91" s="11">
        <v>7</v>
      </c>
      <c r="AI91" s="11">
        <v>7</v>
      </c>
      <c r="AJ91" s="11">
        <v>7</v>
      </c>
      <c r="AK91" s="11"/>
      <c r="AL91" s="14"/>
    </row>
    <row r="92" spans="2:38" ht="25.05" customHeight="1">
      <c r="B92" s="13"/>
      <c r="C92" s="29"/>
      <c r="D92" s="30"/>
      <c r="E92" s="17" t="s">
        <v>1591</v>
      </c>
      <c r="F92" s="8" t="s">
        <v>42</v>
      </c>
      <c r="G92" s="9">
        <v>0.57708333333333328</v>
      </c>
      <c r="H92" s="9">
        <v>0.59722222222222221</v>
      </c>
      <c r="I92" s="10">
        <f t="shared" si="12"/>
        <v>2.0138888888888928E-2</v>
      </c>
      <c r="J92" s="11">
        <v>1</v>
      </c>
      <c r="K92" s="11">
        <v>9.3000000000000007</v>
      </c>
      <c r="L92" s="16">
        <f t="shared" si="13"/>
        <v>19.241379310344794</v>
      </c>
      <c r="M92" s="11"/>
      <c r="N92" s="11"/>
      <c r="O92" s="11"/>
      <c r="P92" s="11"/>
      <c r="Q92" s="11"/>
      <c r="R92" s="12"/>
      <c r="S92" s="12"/>
      <c r="T92" s="11"/>
      <c r="U92" s="11"/>
      <c r="V92" s="12">
        <v>10</v>
      </c>
      <c r="W92" s="12"/>
      <c r="X92" s="11">
        <v>14.5</v>
      </c>
      <c r="Y92" s="11"/>
      <c r="Z92" s="11">
        <v>14.5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7" t="s">
        <v>1592</v>
      </c>
      <c r="F93" s="8" t="s">
        <v>42</v>
      </c>
      <c r="G93" s="9">
        <v>0.59444444444444444</v>
      </c>
      <c r="H93" s="9">
        <v>0.61111111111111116</v>
      </c>
      <c r="I93" s="10">
        <f t="shared" si="12"/>
        <v>1.6666666666666718E-2</v>
      </c>
      <c r="J93" s="11">
        <v>1</v>
      </c>
      <c r="K93" s="11">
        <v>9.3000000000000007</v>
      </c>
      <c r="L93" s="16">
        <f t="shared" si="13"/>
        <v>23.249999999999929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10</v>
      </c>
      <c r="W93" s="12"/>
      <c r="X93" s="11">
        <v>12</v>
      </c>
      <c r="Y93" s="11"/>
      <c r="Z93" s="11">
        <v>12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7" t="s">
        <v>1593</v>
      </c>
      <c r="F94" s="8" t="s">
        <v>42</v>
      </c>
      <c r="G94" s="9">
        <v>0.61041666666666672</v>
      </c>
      <c r="H94" s="9">
        <v>0.62430555555555556</v>
      </c>
      <c r="I94" s="10">
        <f t="shared" si="12"/>
        <v>1.388888888888884E-2</v>
      </c>
      <c r="J94" s="11">
        <v>1</v>
      </c>
      <c r="K94" s="11">
        <v>9.3000000000000007</v>
      </c>
      <c r="L94" s="16">
        <f t="shared" si="13"/>
        <v>27.900000000000102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10</v>
      </c>
      <c r="X94" s="11">
        <v>10</v>
      </c>
      <c r="Y94" s="11"/>
      <c r="Z94" s="11">
        <v>10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7" t="s">
        <v>1594</v>
      </c>
      <c r="F95" s="8" t="s">
        <v>42</v>
      </c>
      <c r="G95" s="9">
        <v>0.62569444444444444</v>
      </c>
      <c r="H95" s="9">
        <v>0.64583333333333337</v>
      </c>
      <c r="I95" s="10">
        <f t="shared" si="12"/>
        <v>2.0138888888888928E-2</v>
      </c>
      <c r="J95" s="11">
        <v>1</v>
      </c>
      <c r="K95" s="11">
        <v>10.71</v>
      </c>
      <c r="L95" s="16">
        <f t="shared" si="13"/>
        <v>22.158620689655134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10</v>
      </c>
      <c r="W95" s="12"/>
      <c r="X95" s="11">
        <v>14.5</v>
      </c>
      <c r="Y95" s="11"/>
      <c r="Z95" s="11">
        <v>14.5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/>
      <c r="F96" s="19"/>
      <c r="G96" s="19"/>
      <c r="H96" s="19"/>
      <c r="I96" s="19"/>
      <c r="J96" s="19"/>
      <c r="K96" s="19"/>
      <c r="L96" s="19"/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1:38" ht="25.05" customHeight="1">
      <c r="B97" s="13"/>
      <c r="C97" s="29"/>
      <c r="D97" s="6" t="s">
        <v>2249</v>
      </c>
      <c r="E97" s="19" t="s">
        <v>913</v>
      </c>
      <c r="F97" s="8" t="s">
        <v>42</v>
      </c>
      <c r="G97" s="9">
        <v>0.75972222222222219</v>
      </c>
      <c r="H97" s="9">
        <v>0.76249999999999996</v>
      </c>
      <c r="I97" s="10">
        <f t="shared" ref="I97:I104" si="14">H97-G97</f>
        <v>2.7777777777777679E-3</v>
      </c>
      <c r="J97" s="11">
        <v>4</v>
      </c>
      <c r="K97" s="11">
        <v>49.01</v>
      </c>
      <c r="L97" s="16">
        <f t="shared" ref="L97:L104" si="15">IFERROR(((K97/(J97*I97)/24)),"0")</f>
        <v>183.78750000000062</v>
      </c>
      <c r="M97" s="11"/>
      <c r="N97" s="11"/>
      <c r="O97" s="11"/>
      <c r="P97" s="11"/>
      <c r="Q97" s="11"/>
      <c r="R97" s="12"/>
      <c r="S97" s="12"/>
      <c r="T97" s="11"/>
      <c r="U97" s="11"/>
      <c r="V97" s="12">
        <v>3</v>
      </c>
      <c r="W97" s="12"/>
      <c r="X97" s="11"/>
      <c r="Y97" s="11"/>
      <c r="Z97" s="11"/>
      <c r="AA97" s="11"/>
      <c r="AB97" s="11">
        <v>4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1:38" ht="25.05" customHeight="1">
      <c r="B98" s="13"/>
      <c r="C98" s="29"/>
      <c r="D98" s="30"/>
      <c r="E98" s="19" t="s">
        <v>914</v>
      </c>
      <c r="F98" s="8" t="s">
        <v>42</v>
      </c>
      <c r="G98" s="9">
        <v>0.76736111111111116</v>
      </c>
      <c r="H98" s="9">
        <v>0.77013888888888893</v>
      </c>
      <c r="I98" s="10">
        <f t="shared" si="14"/>
        <v>2.7777777777777679E-3</v>
      </c>
      <c r="J98" s="11">
        <v>4</v>
      </c>
      <c r="K98" s="11">
        <v>49.01</v>
      </c>
      <c r="L98" s="16">
        <f t="shared" si="15"/>
        <v>183.78750000000062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3</v>
      </c>
      <c r="X98" s="11"/>
      <c r="Y98" s="11"/>
      <c r="Z98" s="11"/>
      <c r="AA98" s="11"/>
      <c r="AB98" s="11">
        <v>4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1:38" ht="25.05" customHeight="1">
      <c r="B99" s="13"/>
      <c r="C99" s="29"/>
      <c r="D99" s="30"/>
      <c r="E99" s="19" t="s">
        <v>916</v>
      </c>
      <c r="F99" s="8" t="s">
        <v>42</v>
      </c>
      <c r="G99" s="9">
        <v>0.77500000000000002</v>
      </c>
      <c r="H99" s="9">
        <v>0.77777777777777779</v>
      </c>
      <c r="I99" s="10">
        <f t="shared" si="14"/>
        <v>2.7777777777777679E-3</v>
      </c>
      <c r="J99" s="11">
        <v>4</v>
      </c>
      <c r="K99" s="11">
        <v>49.19</v>
      </c>
      <c r="L99" s="16">
        <f t="shared" si="15"/>
        <v>184.46250000000066</v>
      </c>
      <c r="M99" s="11"/>
      <c r="N99" s="11"/>
      <c r="O99" s="11"/>
      <c r="P99" s="11"/>
      <c r="Q99" s="11"/>
      <c r="R99" s="12"/>
      <c r="S99" s="12"/>
      <c r="T99" s="11"/>
      <c r="U99" s="11"/>
      <c r="V99" s="12">
        <v>3</v>
      </c>
      <c r="W99" s="12"/>
      <c r="X99" s="11"/>
      <c r="Y99" s="11"/>
      <c r="Z99" s="11"/>
      <c r="AA99" s="11"/>
      <c r="AB99" s="11">
        <v>4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1:38" ht="25.05" customHeight="1">
      <c r="B100" s="13"/>
      <c r="C100" s="29"/>
      <c r="D100" s="30"/>
      <c r="E100" s="19" t="s">
        <v>917</v>
      </c>
      <c r="F100" s="8" t="s">
        <v>42</v>
      </c>
      <c r="G100" s="9">
        <v>0.78263888888888888</v>
      </c>
      <c r="H100" s="9">
        <v>0.78541666666666665</v>
      </c>
      <c r="I100" s="10">
        <f t="shared" si="14"/>
        <v>2.7777777777777679E-3</v>
      </c>
      <c r="J100" s="11">
        <v>4</v>
      </c>
      <c r="K100" s="11">
        <v>48.24</v>
      </c>
      <c r="L100" s="16">
        <f t="shared" si="15"/>
        <v>180.90000000000066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>
        <v>3</v>
      </c>
      <c r="W100" s="12"/>
      <c r="X100" s="11"/>
      <c r="Y100" s="11"/>
      <c r="Z100" s="11"/>
      <c r="AA100" s="11"/>
      <c r="AB100" s="11">
        <v>4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1:38" ht="25.05" customHeight="1">
      <c r="B101" s="13"/>
      <c r="C101" s="29"/>
      <c r="D101" s="30"/>
      <c r="E101" s="30"/>
      <c r="F101" s="30"/>
      <c r="G101" s="30"/>
      <c r="H101" s="30"/>
      <c r="I101" s="30"/>
      <c r="J101" s="30"/>
      <c r="K101" s="30"/>
      <c r="L101" s="30"/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1:38" ht="25.05" customHeight="1">
      <c r="B102" s="13"/>
      <c r="C102" s="29"/>
      <c r="D102" s="30" t="s">
        <v>2300</v>
      </c>
      <c r="E102" s="19" t="s">
        <v>2319</v>
      </c>
      <c r="F102" s="8" t="s">
        <v>42</v>
      </c>
      <c r="G102" s="9">
        <v>0.58194444444444449</v>
      </c>
      <c r="H102" s="9">
        <v>0.59930555555555554</v>
      </c>
      <c r="I102" s="10">
        <f t="shared" si="14"/>
        <v>1.7361111111111049E-2</v>
      </c>
      <c r="J102" s="11">
        <v>4</v>
      </c>
      <c r="K102" s="11">
        <v>27.12</v>
      </c>
      <c r="L102" s="16">
        <f t="shared" si="15"/>
        <v>16.272000000000059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>
        <v>3</v>
      </c>
      <c r="W102" s="12"/>
      <c r="X102" s="11"/>
      <c r="Y102" s="11"/>
      <c r="Z102" s="11"/>
      <c r="AA102" s="11"/>
      <c r="AB102" s="11"/>
      <c r="AC102" s="11">
        <v>25</v>
      </c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1:38" ht="25.05" customHeight="1">
      <c r="B103" s="13"/>
      <c r="C103" s="29"/>
      <c r="D103" s="30"/>
      <c r="E103" s="19" t="s">
        <v>2320</v>
      </c>
      <c r="F103" s="8" t="s">
        <v>42</v>
      </c>
      <c r="G103" s="9">
        <v>0.6</v>
      </c>
      <c r="H103" s="9">
        <v>0.61875000000000002</v>
      </c>
      <c r="I103" s="10">
        <f t="shared" si="14"/>
        <v>1.8750000000000044E-2</v>
      </c>
      <c r="J103" s="11">
        <v>4</v>
      </c>
      <c r="K103" s="11">
        <v>28.04</v>
      </c>
      <c r="L103" s="16">
        <f t="shared" si="15"/>
        <v>15.57777777777774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3</v>
      </c>
      <c r="X103" s="11"/>
      <c r="Y103" s="11"/>
      <c r="Z103" s="11"/>
      <c r="AA103" s="11"/>
      <c r="AB103" s="11"/>
      <c r="AC103" s="11">
        <v>27</v>
      </c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1:38" ht="25.05" customHeight="1">
      <c r="B104" s="13"/>
      <c r="C104" s="29"/>
      <c r="D104" s="30"/>
      <c r="E104" s="19" t="s">
        <v>2321</v>
      </c>
      <c r="F104" s="8" t="s">
        <v>42</v>
      </c>
      <c r="G104" s="9">
        <v>0.61944444444444446</v>
      </c>
      <c r="H104" s="9">
        <v>0.63472222222222219</v>
      </c>
      <c r="I104" s="10">
        <f t="shared" si="14"/>
        <v>1.5277777777777724E-2</v>
      </c>
      <c r="J104" s="11">
        <v>4</v>
      </c>
      <c r="K104" s="11">
        <v>27.2</v>
      </c>
      <c r="L104" s="16">
        <f t="shared" si="15"/>
        <v>18.545454545454611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>
        <v>3</v>
      </c>
      <c r="W104" s="12"/>
      <c r="X104" s="11"/>
      <c r="Y104" s="11"/>
      <c r="Z104" s="11"/>
      <c r="AA104" s="11"/>
      <c r="AB104" s="11"/>
      <c r="AC104" s="11">
        <v>22</v>
      </c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1:38" ht="25.05" customHeight="1">
      <c r="B105" s="13"/>
      <c r="C105" s="29"/>
      <c r="D105" s="30"/>
      <c r="E105" s="19" t="s">
        <v>2322</v>
      </c>
      <c r="F105" s="8" t="s">
        <v>42</v>
      </c>
      <c r="G105" s="9">
        <v>0.63541666666666663</v>
      </c>
      <c r="H105" s="9">
        <v>0.6479166666666667</v>
      </c>
      <c r="I105" s="10">
        <f>H105-G105</f>
        <v>1.2500000000000067E-2</v>
      </c>
      <c r="J105" s="11">
        <v>4</v>
      </c>
      <c r="K105" s="11">
        <v>27.18</v>
      </c>
      <c r="L105" s="16">
        <f t="shared" ref="L105:L108" si="16">IFERROR(((K105/(J105*I105)/24)),"0")</f>
        <v>22.649999999999878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3</v>
      </c>
      <c r="X105" s="11"/>
      <c r="Y105" s="11"/>
      <c r="Z105" s="11"/>
      <c r="AA105" s="11"/>
      <c r="AB105" s="11"/>
      <c r="AC105" s="11">
        <v>18</v>
      </c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1:38" ht="25.05" customHeight="1">
      <c r="B106" s="13"/>
      <c r="C106" s="29"/>
      <c r="D106" s="30"/>
      <c r="E106" s="19" t="s">
        <v>2323</v>
      </c>
      <c r="F106" s="8" t="s">
        <v>42</v>
      </c>
      <c r="G106" s="9">
        <v>0.64861111111111114</v>
      </c>
      <c r="H106" s="9">
        <v>0.66527777777777775</v>
      </c>
      <c r="I106" s="10">
        <f>H106-G106</f>
        <v>1.6666666666666607E-2</v>
      </c>
      <c r="J106" s="11">
        <v>4</v>
      </c>
      <c r="K106" s="11">
        <v>27</v>
      </c>
      <c r="L106" s="16">
        <f t="shared" si="16"/>
        <v>16.87500000000006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3</v>
      </c>
      <c r="W106" s="12"/>
      <c r="X106" s="11"/>
      <c r="Y106" s="11"/>
      <c r="Z106" s="11"/>
      <c r="AA106" s="11"/>
      <c r="AB106" s="11"/>
      <c r="AC106" s="11">
        <v>24</v>
      </c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1:38" ht="25.05" customHeight="1">
      <c r="B107" s="13"/>
      <c r="C107" s="29"/>
      <c r="D107" s="30"/>
      <c r="E107" s="19" t="s">
        <v>2324</v>
      </c>
      <c r="F107" s="8" t="s">
        <v>42</v>
      </c>
      <c r="G107" s="9">
        <v>0.66597222222222219</v>
      </c>
      <c r="H107" s="9">
        <v>0.68263888888888891</v>
      </c>
      <c r="I107" s="10">
        <f>H107-G107</f>
        <v>1.6666666666666718E-2</v>
      </c>
      <c r="J107" s="11">
        <v>4</v>
      </c>
      <c r="K107" s="11">
        <v>26.66</v>
      </c>
      <c r="L107" s="16">
        <f t="shared" si="16"/>
        <v>16.662499999999948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>
        <v>3</v>
      </c>
      <c r="W107" s="12"/>
      <c r="X107" s="11"/>
      <c r="Y107" s="11"/>
      <c r="Z107" s="11"/>
      <c r="AA107" s="11"/>
      <c r="AB107" s="11"/>
      <c r="AC107" s="11">
        <v>24</v>
      </c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1:38" ht="25.05" customHeight="1">
      <c r="B108" s="13"/>
      <c r="C108" s="29"/>
      <c r="D108" s="30"/>
      <c r="E108" s="19"/>
      <c r="F108" s="8" t="s">
        <v>42</v>
      </c>
      <c r="G108" s="9"/>
      <c r="H108" s="9"/>
      <c r="I108" s="10">
        <v>4</v>
      </c>
      <c r="J108" s="11"/>
      <c r="K108" s="11"/>
      <c r="L108" s="16" t="str">
        <f t="shared" si="16"/>
        <v>0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1:38" s="28" customFormat="1" ht="25.5" customHeight="1">
      <c r="A109" s="2"/>
      <c r="B109" s="32"/>
      <c r="C109" s="33"/>
      <c r="D109" s="34"/>
      <c r="E109" s="35"/>
      <c r="F109" s="35"/>
      <c r="G109" s="36"/>
      <c r="H109" s="36"/>
      <c r="I109" s="37"/>
      <c r="J109" s="38"/>
      <c r="K109" s="38">
        <f t="shared" ref="K109:AL109" si="17">SUM(K31:K108)</f>
        <v>4052.6800000000007</v>
      </c>
      <c r="L109" s="39">
        <f t="shared" si="17"/>
        <v>8796.928454455614</v>
      </c>
      <c r="M109" s="38">
        <f t="shared" si="17"/>
        <v>0</v>
      </c>
      <c r="N109" s="38">
        <f t="shared" si="17"/>
        <v>0</v>
      </c>
      <c r="O109" s="38">
        <f t="shared" si="17"/>
        <v>0</v>
      </c>
      <c r="P109" s="38">
        <f t="shared" si="17"/>
        <v>0</v>
      </c>
      <c r="Q109" s="38">
        <f t="shared" si="17"/>
        <v>0</v>
      </c>
      <c r="R109" s="38">
        <f t="shared" si="17"/>
        <v>0</v>
      </c>
      <c r="S109" s="38">
        <f t="shared" si="17"/>
        <v>0</v>
      </c>
      <c r="T109" s="38">
        <f t="shared" si="17"/>
        <v>0</v>
      </c>
      <c r="U109" s="38">
        <f t="shared" si="17"/>
        <v>0</v>
      </c>
      <c r="V109" s="38">
        <f t="shared" si="17"/>
        <v>122</v>
      </c>
      <c r="W109" s="38">
        <f t="shared" si="17"/>
        <v>109</v>
      </c>
      <c r="X109" s="38">
        <f t="shared" si="17"/>
        <v>51</v>
      </c>
      <c r="Y109" s="38">
        <f t="shared" si="17"/>
        <v>0</v>
      </c>
      <c r="Z109" s="38">
        <f t="shared" si="17"/>
        <v>51</v>
      </c>
      <c r="AA109" s="38">
        <f t="shared" si="17"/>
        <v>0</v>
      </c>
      <c r="AB109" s="38">
        <f t="shared" si="17"/>
        <v>227</v>
      </c>
      <c r="AC109" s="38">
        <f t="shared" si="17"/>
        <v>237</v>
      </c>
      <c r="AD109" s="38">
        <f t="shared" si="17"/>
        <v>158</v>
      </c>
      <c r="AE109" s="38">
        <f t="shared" si="17"/>
        <v>0</v>
      </c>
      <c r="AF109" s="38">
        <f t="shared" si="17"/>
        <v>0</v>
      </c>
      <c r="AG109" s="38">
        <f t="shared" si="17"/>
        <v>45.5</v>
      </c>
      <c r="AH109" s="38">
        <f t="shared" si="17"/>
        <v>45.5</v>
      </c>
      <c r="AI109" s="38">
        <f t="shared" si="17"/>
        <v>45.5</v>
      </c>
      <c r="AJ109" s="38">
        <f t="shared" si="17"/>
        <v>45.5</v>
      </c>
      <c r="AK109" s="38">
        <f t="shared" si="17"/>
        <v>0</v>
      </c>
      <c r="AL109" s="38">
        <f t="shared" si="17"/>
        <v>0</v>
      </c>
    </row>
    <row r="110" spans="1:38" ht="38.1" customHeight="1">
      <c r="B110" s="40" t="s">
        <v>45</v>
      </c>
      <c r="C110" s="41"/>
      <c r="D110" s="41"/>
      <c r="E110" s="41"/>
      <c r="F110" s="41"/>
      <c r="G110" s="41"/>
      <c r="H110" s="41"/>
      <c r="I110" s="41"/>
      <c r="J110" s="41"/>
      <c r="K110" s="42">
        <f>K25+K30+K109</f>
        <v>7169.8300000000008</v>
      </c>
      <c r="L110" s="42">
        <f>L25+L30+L109</f>
        <v>9487.1684948370003</v>
      </c>
      <c r="M110" s="43">
        <f t="shared" ref="M110:AL110" si="18">(M25+M30+M109)/(480-15-30)</f>
        <v>0</v>
      </c>
      <c r="N110" s="43">
        <f t="shared" si="18"/>
        <v>0</v>
      </c>
      <c r="O110" s="43">
        <f t="shared" si="18"/>
        <v>0</v>
      </c>
      <c r="P110" s="43">
        <f t="shared" si="18"/>
        <v>0</v>
      </c>
      <c r="Q110" s="43">
        <f t="shared" si="18"/>
        <v>0</v>
      </c>
      <c r="R110" s="43">
        <f t="shared" si="18"/>
        <v>0</v>
      </c>
      <c r="S110" s="43">
        <f t="shared" si="18"/>
        <v>0</v>
      </c>
      <c r="T110" s="43">
        <f t="shared" si="18"/>
        <v>0</v>
      </c>
      <c r="U110" s="43">
        <f t="shared" si="18"/>
        <v>0</v>
      </c>
      <c r="V110" s="43">
        <f t="shared" si="18"/>
        <v>0.28045977011494255</v>
      </c>
      <c r="W110" s="43">
        <f t="shared" si="18"/>
        <v>0.25057471264367814</v>
      </c>
      <c r="X110" s="43">
        <f t="shared" si="18"/>
        <v>0.11724137931034483</v>
      </c>
      <c r="Y110" s="43">
        <f t="shared" si="18"/>
        <v>0</v>
      </c>
      <c r="Z110" s="43">
        <f t="shared" si="18"/>
        <v>0.11724137931034483</v>
      </c>
      <c r="AA110" s="43">
        <f t="shared" si="18"/>
        <v>0</v>
      </c>
      <c r="AB110" s="43">
        <f t="shared" si="18"/>
        <v>0.52183908045977012</v>
      </c>
      <c r="AC110" s="43">
        <f t="shared" si="18"/>
        <v>0.54482758620689653</v>
      </c>
      <c r="AD110" s="43">
        <f t="shared" si="18"/>
        <v>0.36321839080459772</v>
      </c>
      <c r="AE110" s="43">
        <f t="shared" si="18"/>
        <v>0</v>
      </c>
      <c r="AF110" s="43">
        <f t="shared" si="18"/>
        <v>0</v>
      </c>
      <c r="AG110" s="43">
        <f t="shared" si="18"/>
        <v>0.10459770114942529</v>
      </c>
      <c r="AH110" s="43">
        <f t="shared" si="18"/>
        <v>0.10459770114942529</v>
      </c>
      <c r="AI110" s="43">
        <f t="shared" si="18"/>
        <v>0.10459770114942529</v>
      </c>
      <c r="AJ110" s="43">
        <f t="shared" si="18"/>
        <v>0.10459770114942529</v>
      </c>
      <c r="AK110" s="43">
        <f t="shared" si="18"/>
        <v>0</v>
      </c>
      <c r="AL110" s="43">
        <f t="shared" si="18"/>
        <v>0</v>
      </c>
    </row>
    <row r="111" spans="1:38" ht="25.05" customHeight="1">
      <c r="B111" s="44"/>
      <c r="C111" s="44"/>
      <c r="D111" s="44"/>
      <c r="E111" s="45"/>
      <c r="F111" s="45"/>
      <c r="G111" s="45"/>
      <c r="H111" s="45"/>
      <c r="I111" s="46"/>
      <c r="J111" s="46"/>
      <c r="K111" s="45"/>
      <c r="L111" s="47"/>
      <c r="M111" s="47"/>
      <c r="N111" s="47"/>
      <c r="O111" s="47"/>
      <c r="P111" s="47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spans="1:38" ht="25.05" customHeight="1">
      <c r="B112" s="44"/>
      <c r="C112" s="44"/>
      <c r="D112" s="44"/>
      <c r="E112" s="45"/>
      <c r="F112" s="45"/>
      <c r="G112" s="45"/>
      <c r="H112" s="45"/>
      <c r="I112" s="48" t="s">
        <v>46</v>
      </c>
      <c r="J112" s="46"/>
      <c r="K112" s="45"/>
      <c r="L112" s="47"/>
      <c r="M112" s="47"/>
      <c r="N112" s="47"/>
      <c r="O112" s="47"/>
      <c r="P112" s="47"/>
      <c r="Q112" s="45"/>
      <c r="R112" s="45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  <c r="AI112" s="45"/>
      <c r="AJ112" s="45"/>
    </row>
    <row r="113" spans="2:34" ht="25.05" customHeight="1">
      <c r="B113" s="44"/>
      <c r="C113" s="44"/>
      <c r="D113" s="44"/>
      <c r="E113" s="45"/>
      <c r="F113" s="45"/>
      <c r="G113" s="45"/>
      <c r="H113" s="45"/>
      <c r="I113" s="49" t="s">
        <v>47</v>
      </c>
      <c r="J113" s="9">
        <v>0</v>
      </c>
      <c r="K113" s="11">
        <v>6</v>
      </c>
      <c r="L113" s="11" t="s">
        <v>48</v>
      </c>
      <c r="M113" s="47"/>
      <c r="N113" s="14">
        <v>2</v>
      </c>
      <c r="O113" s="14"/>
      <c r="P113" s="14"/>
      <c r="Q113" s="50" t="s">
        <v>49</v>
      </c>
      <c r="R113" s="51"/>
      <c r="S113" s="45"/>
      <c r="T113" s="45"/>
      <c r="U113" s="45"/>
      <c r="V113" s="45"/>
      <c r="W113" s="45"/>
      <c r="X113" s="45"/>
      <c r="Y113" s="45"/>
      <c r="Z113" s="45"/>
      <c r="AA113" s="45"/>
      <c r="AC113" s="45"/>
      <c r="AD113" s="45"/>
      <c r="AE113" s="45"/>
      <c r="AF113" s="45"/>
      <c r="AG113" s="45"/>
      <c r="AH113" s="45"/>
    </row>
    <row r="114" spans="2:34" ht="25.05" customHeight="1">
      <c r="B114" s="44"/>
      <c r="C114" s="44"/>
      <c r="D114" s="44"/>
      <c r="E114" s="45"/>
      <c r="F114" s="45"/>
      <c r="G114" s="45"/>
      <c r="H114" s="45"/>
      <c r="I114" s="49" t="s">
        <v>50</v>
      </c>
      <c r="J114" s="9">
        <v>0</v>
      </c>
      <c r="K114" s="11">
        <v>0</v>
      </c>
      <c r="L114" s="11" t="s">
        <v>48</v>
      </c>
      <c r="M114" s="47"/>
      <c r="N114" s="14">
        <v>0</v>
      </c>
      <c r="O114" s="14"/>
      <c r="P114" s="14"/>
      <c r="Q114" s="50" t="s">
        <v>51</v>
      </c>
      <c r="R114" s="51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</row>
    <row r="115" spans="2:34" ht="25.05" customHeight="1">
      <c r="B115" s="44"/>
      <c r="C115" s="44"/>
      <c r="D115" s="44"/>
      <c r="E115" s="45"/>
      <c r="F115" s="45"/>
      <c r="G115" s="45"/>
      <c r="H115" s="45"/>
      <c r="I115" s="49" t="s">
        <v>52</v>
      </c>
      <c r="J115" s="9">
        <v>0</v>
      </c>
      <c r="K115" s="11">
        <v>12</v>
      </c>
      <c r="L115" s="11" t="s">
        <v>48</v>
      </c>
      <c r="M115" s="47"/>
      <c r="N115" s="14">
        <v>0</v>
      </c>
      <c r="O115" s="14"/>
      <c r="P115" s="14"/>
      <c r="Q115" s="50" t="s">
        <v>53</v>
      </c>
      <c r="R115" s="51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</row>
    <row r="116" spans="2:34" ht="25.05" customHeight="1">
      <c r="B116" s="44"/>
      <c r="C116" s="44"/>
      <c r="D116" s="44"/>
      <c r="E116" s="45"/>
      <c r="F116" s="45"/>
      <c r="G116" s="45"/>
      <c r="H116" s="45"/>
      <c r="I116" s="52" t="s">
        <v>54</v>
      </c>
      <c r="J116" s="53">
        <v>0</v>
      </c>
      <c r="K116" s="11">
        <v>2</v>
      </c>
      <c r="L116" s="54" t="s">
        <v>48</v>
      </c>
      <c r="M116" s="47"/>
      <c r="N116" s="14">
        <v>3</v>
      </c>
      <c r="O116" s="14"/>
      <c r="P116" s="14"/>
      <c r="Q116" s="50" t="s">
        <v>55</v>
      </c>
      <c r="R116" s="51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</row>
    <row r="117" spans="2:34" ht="25.05" customHeight="1">
      <c r="B117" s="44"/>
      <c r="C117" s="44"/>
      <c r="D117" s="44"/>
      <c r="E117" s="45"/>
      <c r="F117" s="45"/>
      <c r="G117" s="45"/>
      <c r="H117" s="45"/>
      <c r="I117" s="49" t="s">
        <v>56</v>
      </c>
      <c r="J117" s="9">
        <v>0</v>
      </c>
      <c r="K117" s="11">
        <v>20</v>
      </c>
      <c r="L117" s="11" t="s">
        <v>48</v>
      </c>
      <c r="M117" s="47"/>
      <c r="N117"/>
      <c r="O117"/>
      <c r="P117"/>
      <c r="Q117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</row>
    <row r="118" spans="2:34" ht="25.05" customHeight="1">
      <c r="B118" s="44"/>
      <c r="C118" s="44"/>
      <c r="D118" s="44"/>
      <c r="E118" s="45"/>
      <c r="F118" s="45"/>
      <c r="G118" s="45"/>
      <c r="H118" s="45"/>
      <c r="M118" s="47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  <c r="AE118" s="45"/>
      <c r="AF118" s="45"/>
      <c r="AG118" s="45"/>
      <c r="AH118" s="45"/>
    </row>
    <row r="119" spans="2:34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B017C-9A8A-41A0-8A55-BC5E42A564C4}">
  <sheetPr>
    <pageSetUpPr fitToPage="1"/>
  </sheetPr>
  <dimension ref="A1:AL84"/>
  <sheetViews>
    <sheetView zoomScale="70" zoomScaleNormal="7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46089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0.80555555555555558</v>
      </c>
      <c r="I4" s="10">
        <f t="shared" ref="I4:I28" si="0">H4-G4</f>
        <v>1.3888888888888951E-2</v>
      </c>
      <c r="J4" s="11">
        <v>8</v>
      </c>
      <c r="K4" s="11">
        <v>0</v>
      </c>
      <c r="L4" s="16">
        <f t="shared" ref="L4:L28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99" t="s">
        <v>2325</v>
      </c>
      <c r="D5" s="6" t="s">
        <v>2302</v>
      </c>
      <c r="E5" s="17" t="s">
        <v>2326</v>
      </c>
      <c r="F5" s="55" t="s">
        <v>59</v>
      </c>
      <c r="G5" s="9">
        <v>0.80625000000000002</v>
      </c>
      <c r="H5" s="9">
        <v>0.81597222222222221</v>
      </c>
      <c r="I5" s="10">
        <f t="shared" si="0"/>
        <v>9.7222222222221877E-3</v>
      </c>
      <c r="J5" s="11">
        <v>2</v>
      </c>
      <c r="K5" s="11">
        <f>2.2*18</f>
        <v>39.6</v>
      </c>
      <c r="L5" s="16">
        <f t="shared" si="1"/>
        <v>84.85714285714316</v>
      </c>
      <c r="M5" s="11">
        <v>14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99" t="s">
        <v>2327</v>
      </c>
      <c r="D6" s="6"/>
      <c r="E6" s="17" t="s">
        <v>2328</v>
      </c>
      <c r="F6" s="8" t="s">
        <v>851</v>
      </c>
      <c r="G6" s="9">
        <v>0.82013888888888886</v>
      </c>
      <c r="H6" s="9">
        <v>0.85069444444444442</v>
      </c>
      <c r="I6" s="10">
        <f t="shared" si="0"/>
        <v>3.0555555555555558E-2</v>
      </c>
      <c r="J6" s="11">
        <v>2</v>
      </c>
      <c r="K6" s="11">
        <f>14.5*18</f>
        <v>261</v>
      </c>
      <c r="L6" s="16">
        <f t="shared" si="1"/>
        <v>177.95454545454547</v>
      </c>
      <c r="M6" s="11">
        <v>44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7" t="s">
        <v>1616</v>
      </c>
      <c r="F7" s="8" t="s">
        <v>42</v>
      </c>
      <c r="G7" s="9">
        <v>0.80625000000000002</v>
      </c>
      <c r="H7" s="9">
        <v>0.86458333333333337</v>
      </c>
      <c r="I7" s="10">
        <f t="shared" si="0"/>
        <v>5.8333333333333348E-2</v>
      </c>
      <c r="J7" s="11">
        <v>5</v>
      </c>
      <c r="K7" s="11">
        <f>195*4.03</f>
        <v>785.85</v>
      </c>
      <c r="L7" s="16">
        <f t="shared" si="1"/>
        <v>112.26428571428569</v>
      </c>
      <c r="M7" s="11"/>
      <c r="N7" s="11"/>
      <c r="O7" s="11"/>
      <c r="P7" s="11"/>
      <c r="Q7" s="11">
        <v>84</v>
      </c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58" t="s">
        <v>2329</v>
      </c>
      <c r="F8" s="20">
        <v>0.5</v>
      </c>
      <c r="G8" s="9">
        <v>0.8930555555555556</v>
      </c>
      <c r="H8" s="9">
        <v>0.94444444444444442</v>
      </c>
      <c r="I8" s="10">
        <f t="shared" si="0"/>
        <v>5.1388888888888817E-2</v>
      </c>
      <c r="J8" s="11">
        <v>2</v>
      </c>
      <c r="K8" s="11">
        <f>43.44*18</f>
        <v>781.92</v>
      </c>
      <c r="L8" s="16">
        <f t="shared" si="1"/>
        <v>316.99459459459501</v>
      </c>
      <c r="M8" s="11">
        <v>74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31"/>
      <c r="E9" s="121" t="s">
        <v>1321</v>
      </c>
      <c r="F9" s="8" t="s">
        <v>42</v>
      </c>
      <c r="G9" s="9">
        <v>0.80625000000000002</v>
      </c>
      <c r="H9" s="9">
        <v>0.82986111111111116</v>
      </c>
      <c r="I9" s="10">
        <f t="shared" si="0"/>
        <v>2.3611111111111138E-2</v>
      </c>
      <c r="J9" s="11">
        <v>3</v>
      </c>
      <c r="K9" s="11">
        <f>7*18</f>
        <v>126</v>
      </c>
      <c r="L9" s="16">
        <f t="shared" si="1"/>
        <v>74.117647058823437</v>
      </c>
      <c r="M9" s="11"/>
      <c r="N9" s="11"/>
      <c r="O9" s="11"/>
      <c r="P9" s="11"/>
      <c r="Q9" s="11"/>
      <c r="R9" s="12"/>
      <c r="S9" s="12">
        <v>34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31"/>
      <c r="E10" s="17" t="s">
        <v>2330</v>
      </c>
      <c r="F10" s="61" t="s">
        <v>232</v>
      </c>
      <c r="G10" s="9">
        <v>0.85486111111111107</v>
      </c>
      <c r="H10" s="9">
        <v>0.875</v>
      </c>
      <c r="I10" s="10">
        <f t="shared" si="0"/>
        <v>2.0138888888888928E-2</v>
      </c>
      <c r="J10" s="11">
        <v>2</v>
      </c>
      <c r="K10" s="11">
        <v>126</v>
      </c>
      <c r="L10" s="16">
        <f t="shared" si="1"/>
        <v>130.34482758620663</v>
      </c>
      <c r="M10" s="11">
        <v>29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31"/>
      <c r="E11" s="122" t="s">
        <v>2331</v>
      </c>
      <c r="F11" s="8" t="s">
        <v>42</v>
      </c>
      <c r="G11" s="9">
        <v>0.8305555555555556</v>
      </c>
      <c r="H11" s="9">
        <v>0.85416666666666663</v>
      </c>
      <c r="I11" s="10">
        <f t="shared" si="0"/>
        <v>2.3611111111111027E-2</v>
      </c>
      <c r="J11" s="11">
        <v>3</v>
      </c>
      <c r="K11" s="11">
        <v>104</v>
      </c>
      <c r="L11" s="16">
        <f t="shared" si="1"/>
        <v>61.17647058823551</v>
      </c>
      <c r="M11" s="11"/>
      <c r="N11" s="11"/>
      <c r="O11" s="11"/>
      <c r="P11" s="11"/>
      <c r="Q11" s="11"/>
      <c r="R11" s="12"/>
      <c r="S11" s="12">
        <v>34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56" t="s">
        <v>2332</v>
      </c>
      <c r="F12" s="59" t="s">
        <v>59</v>
      </c>
      <c r="G12" s="9">
        <v>0.87569444444444444</v>
      </c>
      <c r="H12" s="9">
        <v>0.89236111111111116</v>
      </c>
      <c r="I12" s="10">
        <f t="shared" si="0"/>
        <v>1.6666666666666718E-2</v>
      </c>
      <c r="J12" s="11">
        <v>2</v>
      </c>
      <c r="K12" s="11">
        <f>5.7*18</f>
        <v>102.60000000000001</v>
      </c>
      <c r="L12" s="16">
        <f t="shared" si="1"/>
        <v>128.24999999999963</v>
      </c>
      <c r="M12" s="11">
        <v>24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 t="s">
        <v>2249</v>
      </c>
      <c r="E13" s="15" t="s">
        <v>2250</v>
      </c>
      <c r="F13" s="55" t="s">
        <v>232</v>
      </c>
      <c r="G13" s="9">
        <v>0.89652777777777781</v>
      </c>
      <c r="H13" s="9">
        <v>0.94444444444444442</v>
      </c>
      <c r="I13" s="10">
        <f t="shared" si="0"/>
        <v>4.7916666666666607E-2</v>
      </c>
      <c r="J13" s="11">
        <v>1</v>
      </c>
      <c r="K13" s="11">
        <f>2.3*10</f>
        <v>23</v>
      </c>
      <c r="L13" s="16">
        <f t="shared" si="1"/>
        <v>20.000000000000025</v>
      </c>
      <c r="M13" s="11"/>
      <c r="N13" s="11"/>
      <c r="O13" s="11"/>
      <c r="P13" s="11"/>
      <c r="Q13" s="11"/>
      <c r="R13" s="12">
        <v>69</v>
      </c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2333</v>
      </c>
      <c r="F14" s="55" t="s">
        <v>64</v>
      </c>
      <c r="G14" s="9">
        <v>0.95833333333333337</v>
      </c>
      <c r="H14" s="9">
        <v>0.96875</v>
      </c>
      <c r="I14" s="10">
        <f t="shared" si="0"/>
        <v>1.041666666666663E-2</v>
      </c>
      <c r="J14" s="11">
        <v>2</v>
      </c>
      <c r="K14" s="11">
        <f>0.92*3</f>
        <v>2.7600000000000002</v>
      </c>
      <c r="L14" s="16">
        <f t="shared" si="1"/>
        <v>5.52000000000002</v>
      </c>
      <c r="M14" s="11">
        <v>15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 t="s">
        <v>2334</v>
      </c>
      <c r="F15" s="55" t="s">
        <v>42</v>
      </c>
      <c r="G15" s="9">
        <v>0.86527777777777781</v>
      </c>
      <c r="H15" s="9">
        <v>0.90277777777777779</v>
      </c>
      <c r="I15" s="10">
        <f t="shared" si="0"/>
        <v>3.7499999999999978E-2</v>
      </c>
      <c r="J15" s="11">
        <v>5</v>
      </c>
      <c r="K15" s="11">
        <f>114*4.03</f>
        <v>459.42</v>
      </c>
      <c r="L15" s="16">
        <f t="shared" si="1"/>
        <v>102.0933333333334</v>
      </c>
      <c r="M15" s="11"/>
      <c r="N15" s="11"/>
      <c r="O15" s="11"/>
      <c r="P15" s="11"/>
      <c r="Q15" s="11">
        <v>54</v>
      </c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2335</v>
      </c>
      <c r="F16" s="57">
        <v>0.75</v>
      </c>
      <c r="G16" s="9">
        <v>0.96944444444444444</v>
      </c>
      <c r="H16" s="9">
        <v>0.99305555555555558</v>
      </c>
      <c r="I16" s="10">
        <f t="shared" si="0"/>
        <v>2.3611111111111138E-2</v>
      </c>
      <c r="J16" s="11">
        <v>2</v>
      </c>
      <c r="K16" s="11">
        <f>115*3</f>
        <v>345</v>
      </c>
      <c r="L16" s="16">
        <f t="shared" si="1"/>
        <v>304.41176470588204</v>
      </c>
      <c r="M16" s="11">
        <v>34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 t="s">
        <v>2336</v>
      </c>
      <c r="F17" s="55" t="s">
        <v>2255</v>
      </c>
      <c r="G17" s="9">
        <v>0.91666666666666663</v>
      </c>
      <c r="H17" s="9">
        <v>0.97916666666666663</v>
      </c>
      <c r="I17" s="10">
        <f t="shared" si="0"/>
        <v>6.25E-2</v>
      </c>
      <c r="J17" s="11">
        <v>1</v>
      </c>
      <c r="K17" s="11">
        <f>1.15*3</f>
        <v>3.4499999999999997</v>
      </c>
      <c r="L17" s="16">
        <f t="shared" si="1"/>
        <v>2.2999999999999998</v>
      </c>
      <c r="M17" s="11"/>
      <c r="N17" s="11"/>
      <c r="O17" s="11"/>
      <c r="P17" s="11"/>
      <c r="Q17" s="11"/>
      <c r="R17" s="12"/>
      <c r="S17" s="12">
        <v>90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15" t="s">
        <v>2337</v>
      </c>
      <c r="F18" s="55" t="s">
        <v>2338</v>
      </c>
      <c r="G18" s="9">
        <v>0.85486111111111107</v>
      </c>
      <c r="H18" s="9">
        <v>46090.010416666664</v>
      </c>
      <c r="I18" s="10">
        <f t="shared" si="0"/>
        <v>46089.155555555553</v>
      </c>
      <c r="J18" s="11">
        <v>8</v>
      </c>
      <c r="K18" s="11">
        <f>36*5</f>
        <v>180</v>
      </c>
      <c r="L18" s="16">
        <f t="shared" si="1"/>
        <v>2.0341010563101853E-5</v>
      </c>
      <c r="M18" s="11"/>
      <c r="N18" s="11"/>
      <c r="O18" s="11"/>
      <c r="P18" s="11"/>
      <c r="Q18" s="11"/>
      <c r="R18" s="12"/>
      <c r="S18" s="12">
        <v>224</v>
      </c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859</v>
      </c>
      <c r="F19" s="55" t="s">
        <v>42</v>
      </c>
      <c r="G19" s="9">
        <v>1.1111111111111112E-2</v>
      </c>
      <c r="H19" s="9">
        <v>6.25E-2</v>
      </c>
      <c r="I19" s="10">
        <f t="shared" si="0"/>
        <v>5.1388888888888887E-2</v>
      </c>
      <c r="J19" s="11">
        <v>8</v>
      </c>
      <c r="K19" s="11">
        <v>0</v>
      </c>
      <c r="L19" s="16">
        <f t="shared" si="1"/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2337</v>
      </c>
      <c r="F20" s="55" t="s">
        <v>2338</v>
      </c>
      <c r="G20" s="9">
        <v>6.9444444444444448E-2</v>
      </c>
      <c r="H20" s="9">
        <v>0.1736111111111111</v>
      </c>
      <c r="I20" s="10">
        <f t="shared" si="0"/>
        <v>0.10416666666666666</v>
      </c>
      <c r="J20" s="11">
        <v>10</v>
      </c>
      <c r="K20" s="11">
        <v>180</v>
      </c>
      <c r="L20" s="16">
        <f t="shared" si="1"/>
        <v>7.2</v>
      </c>
      <c r="M20" s="11"/>
      <c r="N20" s="11"/>
      <c r="O20" s="11"/>
      <c r="P20" s="11"/>
      <c r="Q20" s="11"/>
      <c r="R20" s="12"/>
      <c r="S20" s="12">
        <v>150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 t="s">
        <v>1432</v>
      </c>
      <c r="E21" s="15" t="s">
        <v>2339</v>
      </c>
      <c r="F21" s="55" t="s">
        <v>232</v>
      </c>
      <c r="G21" s="9">
        <v>0.81666666666666665</v>
      </c>
      <c r="H21" s="9">
        <v>0.81944444444444442</v>
      </c>
      <c r="I21" s="10">
        <f t="shared" si="0"/>
        <v>2.7777777777777679E-3</v>
      </c>
      <c r="J21" s="11">
        <v>2</v>
      </c>
      <c r="K21" s="11">
        <f>0.2*4</f>
        <v>0.8</v>
      </c>
      <c r="L21" s="16">
        <f t="shared" si="1"/>
        <v>6.0000000000000213</v>
      </c>
      <c r="M21" s="11">
        <v>4</v>
      </c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2340</v>
      </c>
      <c r="F22" s="55" t="s">
        <v>234</v>
      </c>
      <c r="G22" s="9">
        <v>0.85138888888888886</v>
      </c>
      <c r="H22" s="9">
        <v>0.85416666666666663</v>
      </c>
      <c r="I22" s="10">
        <f t="shared" si="0"/>
        <v>2.7777777777777679E-3</v>
      </c>
      <c r="J22" s="11">
        <v>2</v>
      </c>
      <c r="K22" s="11">
        <f>1*4</f>
        <v>4</v>
      </c>
      <c r="L22" s="16">
        <f t="shared" si="1"/>
        <v>30.000000000000103</v>
      </c>
      <c r="M22" s="11">
        <v>4</v>
      </c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 t="s">
        <v>2341</v>
      </c>
      <c r="F23" s="8" t="s">
        <v>42</v>
      </c>
      <c r="G23" s="9">
        <v>0.90347222222222223</v>
      </c>
      <c r="H23" s="9">
        <v>0.90625</v>
      </c>
      <c r="I23" s="10">
        <f t="shared" si="0"/>
        <v>2.7777777777777679E-3</v>
      </c>
      <c r="J23" s="11">
        <v>5</v>
      </c>
      <c r="K23" s="11">
        <f>6*4.03</f>
        <v>24.18</v>
      </c>
      <c r="L23" s="16">
        <f t="shared" si="1"/>
        <v>72.540000000000262</v>
      </c>
      <c r="M23" s="11"/>
      <c r="N23" s="11"/>
      <c r="O23" s="11"/>
      <c r="P23" s="11"/>
      <c r="Q23" s="11">
        <v>4</v>
      </c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 t="s">
        <v>2342</v>
      </c>
      <c r="F24" s="57">
        <v>0.5</v>
      </c>
      <c r="G24" s="9">
        <v>8.3333333333333329E-2</v>
      </c>
      <c r="H24" s="9">
        <v>9.375E-2</v>
      </c>
      <c r="I24" s="10">
        <f t="shared" si="0"/>
        <v>1.0416666666666671E-2</v>
      </c>
      <c r="J24" s="11">
        <v>2</v>
      </c>
      <c r="K24" s="11">
        <f>5.33*4</f>
        <v>21.32</v>
      </c>
      <c r="L24" s="16">
        <f t="shared" si="1"/>
        <v>42.639999999999979</v>
      </c>
      <c r="M24" s="11">
        <v>15</v>
      </c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 t="s">
        <v>2343</v>
      </c>
      <c r="F25" s="55" t="s">
        <v>237</v>
      </c>
      <c r="G25" s="9">
        <v>0.82013888888888886</v>
      </c>
      <c r="H25" s="9">
        <v>0.82638888888888884</v>
      </c>
      <c r="I25" s="10">
        <f t="shared" si="0"/>
        <v>6.2499999999999778E-3</v>
      </c>
      <c r="J25" s="11">
        <v>1</v>
      </c>
      <c r="K25" s="11">
        <f>0.02*4</f>
        <v>0.08</v>
      </c>
      <c r="L25" s="16">
        <f t="shared" si="1"/>
        <v>0.53333333333333521</v>
      </c>
      <c r="M25" s="11"/>
      <c r="N25" s="11"/>
      <c r="O25" s="11"/>
      <c r="P25" s="11"/>
      <c r="Q25" s="11"/>
      <c r="R25" s="12"/>
      <c r="S25" s="12">
        <v>9</v>
      </c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 t="s">
        <v>1760</v>
      </c>
      <c r="E26" s="15" t="s">
        <v>624</v>
      </c>
      <c r="F26" s="8" t="s">
        <v>42</v>
      </c>
      <c r="G26" s="9">
        <v>0.875</v>
      </c>
      <c r="H26" s="9">
        <v>0.9375</v>
      </c>
      <c r="I26" s="10">
        <f t="shared" si="0"/>
        <v>6.25E-2</v>
      </c>
      <c r="J26" s="11">
        <v>1</v>
      </c>
      <c r="K26" s="11">
        <v>3</v>
      </c>
      <c r="L26" s="16">
        <f t="shared" si="1"/>
        <v>2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15" t="s">
        <v>2344</v>
      </c>
      <c r="F27" s="55" t="s">
        <v>239</v>
      </c>
      <c r="G27" s="9">
        <v>6.9444444444444448E-2</v>
      </c>
      <c r="H27" s="9">
        <v>7.6388888888888895E-2</v>
      </c>
      <c r="I27" s="10">
        <f t="shared" si="0"/>
        <v>6.9444444444444475E-3</v>
      </c>
      <c r="J27" s="11">
        <v>2</v>
      </c>
      <c r="K27" s="11">
        <f>0.53*4</f>
        <v>2.12</v>
      </c>
      <c r="L27" s="16">
        <f t="shared" si="1"/>
        <v>6.3599999999999968</v>
      </c>
      <c r="M27" s="11">
        <v>10</v>
      </c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/>
      <c r="E28" s="15"/>
      <c r="F28" s="55"/>
      <c r="G28" s="9"/>
      <c r="H28" s="9"/>
      <c r="I28" s="10">
        <f t="shared" si="0"/>
        <v>0</v>
      </c>
      <c r="J28" s="11"/>
      <c r="K28" s="11"/>
      <c r="L28" s="16" t="str">
        <f t="shared" si="1"/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s="28" customFormat="1" ht="25.05" customHeight="1">
      <c r="A29" s="2"/>
      <c r="B29" s="21"/>
      <c r="C29" s="22"/>
      <c r="D29" s="23"/>
      <c r="E29" s="24"/>
      <c r="F29" s="24"/>
      <c r="G29" s="25"/>
      <c r="H29" s="25"/>
      <c r="I29" s="26"/>
      <c r="J29" s="27"/>
      <c r="K29" s="27">
        <f t="shared" ref="K29:AI29" si="2">SUM(K4:K25)</f>
        <v>3570.98</v>
      </c>
      <c r="L29" s="39">
        <f t="shared" si="2"/>
        <v>1679.1979655673938</v>
      </c>
      <c r="M29" s="27">
        <f t="shared" si="2"/>
        <v>257</v>
      </c>
      <c r="N29" s="27">
        <f t="shared" si="2"/>
        <v>0</v>
      </c>
      <c r="O29" s="27">
        <f t="shared" si="2"/>
        <v>0</v>
      </c>
      <c r="P29" s="27">
        <f t="shared" si="2"/>
        <v>0</v>
      </c>
      <c r="Q29" s="27">
        <f t="shared" si="2"/>
        <v>142</v>
      </c>
      <c r="R29" s="27">
        <f t="shared" si="2"/>
        <v>69</v>
      </c>
      <c r="S29" s="27">
        <f t="shared" si="2"/>
        <v>541</v>
      </c>
      <c r="T29" s="27">
        <f t="shared" si="2"/>
        <v>0</v>
      </c>
      <c r="U29" s="27">
        <f t="shared" si="2"/>
        <v>0</v>
      </c>
      <c r="V29" s="27">
        <f t="shared" si="2"/>
        <v>0</v>
      </c>
      <c r="W29" s="27">
        <f t="shared" si="2"/>
        <v>0</v>
      </c>
      <c r="X29" s="27">
        <f t="shared" si="2"/>
        <v>0</v>
      </c>
      <c r="Y29" s="27">
        <f t="shared" si="2"/>
        <v>0</v>
      </c>
      <c r="Z29" s="27">
        <f t="shared" si="2"/>
        <v>0</v>
      </c>
      <c r="AA29" s="27">
        <f t="shared" si="2"/>
        <v>0</v>
      </c>
      <c r="AB29" s="27">
        <f t="shared" si="2"/>
        <v>0</v>
      </c>
      <c r="AC29" s="27">
        <f t="shared" si="2"/>
        <v>0</v>
      </c>
      <c r="AD29" s="27">
        <f t="shared" si="2"/>
        <v>0</v>
      </c>
      <c r="AE29" s="27">
        <f t="shared" si="2"/>
        <v>0</v>
      </c>
      <c r="AF29" s="27">
        <f t="shared" si="2"/>
        <v>0</v>
      </c>
      <c r="AG29" s="27">
        <f t="shared" si="2"/>
        <v>0</v>
      </c>
      <c r="AH29" s="27">
        <f t="shared" si="2"/>
        <v>0</v>
      </c>
      <c r="AI29" s="27">
        <f t="shared" si="2"/>
        <v>0</v>
      </c>
      <c r="AJ29" s="27">
        <f>SUM(AJ4:AJ25)</f>
        <v>0</v>
      </c>
      <c r="AK29" s="27">
        <f>SUM(AK4:AK25)</f>
        <v>0</v>
      </c>
      <c r="AL29" s="27">
        <f>SUM(AL4:AL25)</f>
        <v>0</v>
      </c>
    </row>
    <row r="30" spans="1:38" ht="25.05" customHeight="1">
      <c r="B30" s="13"/>
      <c r="C30" s="14" t="s">
        <v>43</v>
      </c>
      <c r="D30" s="6"/>
      <c r="E30" s="7" t="s">
        <v>41</v>
      </c>
      <c r="F30" s="8" t="s">
        <v>42</v>
      </c>
      <c r="G30" s="9"/>
      <c r="H30" s="9"/>
      <c r="I30" s="10">
        <f>H30-G30</f>
        <v>0</v>
      </c>
      <c r="J30" s="11"/>
      <c r="K30" s="11"/>
      <c r="L30" s="16" t="str">
        <f>IFERROR(((K30/(J30*I30)/24)),"0")</f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4"/>
      <c r="D31" s="18"/>
      <c r="E31" s="6"/>
      <c r="F31" s="14"/>
      <c r="G31" s="9"/>
      <c r="H31" s="9"/>
      <c r="I31" s="10"/>
      <c r="J31" s="11"/>
      <c r="K31" s="11"/>
      <c r="L31" s="16"/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s="28" customFormat="1" ht="25.05" customHeight="1">
      <c r="A32" s="2"/>
      <c r="B32" s="21"/>
      <c r="C32" s="22"/>
      <c r="D32" s="23"/>
      <c r="E32" s="24"/>
      <c r="F32" s="22"/>
      <c r="G32" s="25"/>
      <c r="H32" s="25"/>
      <c r="I32" s="26"/>
      <c r="J32" s="27"/>
      <c r="K32" s="27">
        <f t="shared" ref="K32:AI32" si="3">SUM(K30:K31)</f>
        <v>0</v>
      </c>
      <c r="L32" s="27">
        <f t="shared" si="3"/>
        <v>0</v>
      </c>
      <c r="M32" s="27">
        <f t="shared" si="3"/>
        <v>0</v>
      </c>
      <c r="N32" s="27">
        <f t="shared" si="3"/>
        <v>0</v>
      </c>
      <c r="O32" s="27">
        <f t="shared" si="3"/>
        <v>0</v>
      </c>
      <c r="P32" s="27">
        <f t="shared" si="3"/>
        <v>0</v>
      </c>
      <c r="Q32" s="27">
        <f t="shared" si="3"/>
        <v>0</v>
      </c>
      <c r="R32" s="27">
        <f t="shared" si="3"/>
        <v>0</v>
      </c>
      <c r="S32" s="27">
        <f t="shared" si="3"/>
        <v>0</v>
      </c>
      <c r="T32" s="27">
        <f t="shared" si="3"/>
        <v>0</v>
      </c>
      <c r="U32" s="27">
        <f t="shared" si="3"/>
        <v>0</v>
      </c>
      <c r="V32" s="27">
        <f t="shared" si="3"/>
        <v>0</v>
      </c>
      <c r="W32" s="27">
        <f t="shared" si="3"/>
        <v>0</v>
      </c>
      <c r="X32" s="27">
        <f t="shared" si="3"/>
        <v>0</v>
      </c>
      <c r="Y32" s="27">
        <f t="shared" si="3"/>
        <v>0</v>
      </c>
      <c r="Z32" s="27">
        <f t="shared" si="3"/>
        <v>0</v>
      </c>
      <c r="AA32" s="27">
        <f t="shared" si="3"/>
        <v>0</v>
      </c>
      <c r="AB32" s="27">
        <f t="shared" si="3"/>
        <v>0</v>
      </c>
      <c r="AC32" s="27">
        <f t="shared" si="3"/>
        <v>0</v>
      </c>
      <c r="AD32" s="27">
        <f t="shared" si="3"/>
        <v>0</v>
      </c>
      <c r="AE32" s="27">
        <f t="shared" si="3"/>
        <v>0</v>
      </c>
      <c r="AF32" s="27">
        <f t="shared" si="3"/>
        <v>0</v>
      </c>
      <c r="AG32" s="27">
        <f t="shared" si="3"/>
        <v>0</v>
      </c>
      <c r="AH32" s="27">
        <f t="shared" si="3"/>
        <v>0</v>
      </c>
      <c r="AI32" s="27">
        <f t="shared" si="3"/>
        <v>0</v>
      </c>
      <c r="AJ32" s="27">
        <f>SUM(AJ30:AJ31)</f>
        <v>0</v>
      </c>
      <c r="AK32" s="27">
        <f>SUM(AK30:AK31)</f>
        <v>0</v>
      </c>
      <c r="AL32" s="27">
        <f>SUM(AL30:AL31)</f>
        <v>0</v>
      </c>
    </row>
    <row r="33" spans="2:38" ht="25.05" customHeight="1">
      <c r="B33" s="5">
        <v>46089</v>
      </c>
      <c r="C33" s="29" t="s">
        <v>44</v>
      </c>
      <c r="D33" s="30"/>
      <c r="E33" s="7" t="s">
        <v>41</v>
      </c>
      <c r="F33" s="8" t="s">
        <v>42</v>
      </c>
      <c r="G33" s="9">
        <v>0.79166666666666663</v>
      </c>
      <c r="H33" s="9">
        <v>0.83333333333333337</v>
      </c>
      <c r="I33" s="10">
        <f t="shared" ref="I33:I66" si="4">H33-G33</f>
        <v>4.1666666666666741E-2</v>
      </c>
      <c r="J33" s="11">
        <v>5</v>
      </c>
      <c r="K33" s="11">
        <v>0</v>
      </c>
      <c r="L33" s="16">
        <f t="shared" ref="L33:L65" si="5">IFERROR(((K33/(J33*I33)/24)),"0")</f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6" t="s">
        <v>2302</v>
      </c>
      <c r="E34" s="19" t="s">
        <v>2345</v>
      </c>
      <c r="F34" s="8" t="s">
        <v>42</v>
      </c>
      <c r="G34" s="9">
        <v>0.8666666666666667</v>
      </c>
      <c r="H34" s="9">
        <v>0.87222222222222223</v>
      </c>
      <c r="I34" s="10">
        <f t="shared" si="4"/>
        <v>5.5555555555555358E-3</v>
      </c>
      <c r="J34" s="11">
        <v>1</v>
      </c>
      <c r="K34" s="11">
        <f>10.05*13</f>
        <v>130.65</v>
      </c>
      <c r="L34" s="16">
        <f t="shared" si="5"/>
        <v>979.87500000000352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8</v>
      </c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6"/>
      <c r="E35" s="19" t="s">
        <v>2346</v>
      </c>
      <c r="F35" s="8" t="s">
        <v>42</v>
      </c>
      <c r="G35" s="9">
        <v>0.87430555555555556</v>
      </c>
      <c r="H35" s="9">
        <v>0.87986111111111109</v>
      </c>
      <c r="I35" s="10">
        <f t="shared" si="4"/>
        <v>5.5555555555555358E-3</v>
      </c>
      <c r="J35" s="11">
        <v>1</v>
      </c>
      <c r="K35" s="11">
        <f>10.05*5</f>
        <v>50.25</v>
      </c>
      <c r="L35" s="16">
        <f t="shared" si="5"/>
        <v>376.87500000000136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8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2347</v>
      </c>
      <c r="F36" s="8" t="s">
        <v>42</v>
      </c>
      <c r="G36" s="9">
        <v>0.84861111111111109</v>
      </c>
      <c r="H36" s="9">
        <v>0.85555555555555551</v>
      </c>
      <c r="I36" s="10">
        <f t="shared" si="4"/>
        <v>6.9444444444444198E-3</v>
      </c>
      <c r="J36" s="11">
        <v>1</v>
      </c>
      <c r="K36" s="11">
        <f>1.01*18</f>
        <v>18.18</v>
      </c>
      <c r="L36" s="16">
        <f t="shared" si="5"/>
        <v>109.08000000000038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10</v>
      </c>
      <c r="W36" s="12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23" t="s">
        <v>2149</v>
      </c>
      <c r="F37" s="8" t="s">
        <v>42</v>
      </c>
      <c r="G37" s="9">
        <v>0.88263888888888886</v>
      </c>
      <c r="H37" s="9">
        <v>0.90208333333333335</v>
      </c>
      <c r="I37" s="10">
        <f t="shared" si="4"/>
        <v>1.9444444444444486E-2</v>
      </c>
      <c r="J37" s="11">
        <v>4</v>
      </c>
      <c r="K37" s="11">
        <v>180.86</v>
      </c>
      <c r="L37" s="16">
        <f t="shared" si="5"/>
        <v>96.889285714285506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/>
      <c r="AD37" s="11">
        <v>28</v>
      </c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23" t="s">
        <v>2348</v>
      </c>
      <c r="F38" s="8" t="s">
        <v>42</v>
      </c>
      <c r="G38" s="9">
        <v>0.8833333333333333</v>
      </c>
      <c r="H38" s="9">
        <v>0.90486111111111112</v>
      </c>
      <c r="I38" s="10">
        <f t="shared" si="4"/>
        <v>2.1527777777777812E-2</v>
      </c>
      <c r="J38" s="11">
        <v>4</v>
      </c>
      <c r="K38" s="11">
        <v>180.9</v>
      </c>
      <c r="L38" s="16">
        <f t="shared" si="5"/>
        <v>87.532258064515986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>
        <v>31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23" t="s">
        <v>2349</v>
      </c>
      <c r="F39" s="8" t="s">
        <v>42</v>
      </c>
      <c r="G39" s="9">
        <v>0.90833333333333333</v>
      </c>
      <c r="H39" s="9">
        <v>0.92291666666666672</v>
      </c>
      <c r="I39" s="10">
        <f t="shared" si="4"/>
        <v>1.4583333333333393E-2</v>
      </c>
      <c r="J39" s="11">
        <v>4</v>
      </c>
      <c r="K39" s="11">
        <v>180.63</v>
      </c>
      <c r="L39" s="16">
        <f t="shared" si="5"/>
        <v>129.02142857142806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/>
      <c r="AC39" s="11"/>
      <c r="AD39" s="11">
        <v>21</v>
      </c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23" t="s">
        <v>2350</v>
      </c>
      <c r="F40" s="8" t="s">
        <v>42</v>
      </c>
      <c r="G40" s="9">
        <v>0.91249999999999998</v>
      </c>
      <c r="H40" s="9">
        <v>0.93125000000000002</v>
      </c>
      <c r="I40" s="10">
        <f t="shared" si="4"/>
        <v>1.8750000000000044E-2</v>
      </c>
      <c r="J40" s="11">
        <v>4</v>
      </c>
      <c r="K40" s="11">
        <v>181.41</v>
      </c>
      <c r="L40" s="16">
        <f t="shared" si="5"/>
        <v>100.78333333333309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>
        <v>27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23" t="s">
        <v>2351</v>
      </c>
      <c r="F41" s="8" t="s">
        <v>42</v>
      </c>
      <c r="G41" s="9">
        <v>0.91527777777777775</v>
      </c>
      <c r="H41" s="9">
        <v>0.93333333333333335</v>
      </c>
      <c r="I41" s="10">
        <f t="shared" si="4"/>
        <v>1.8055555555555602E-2</v>
      </c>
      <c r="J41" s="11">
        <v>4</v>
      </c>
      <c r="K41" s="11">
        <v>181.6</v>
      </c>
      <c r="L41" s="16">
        <f t="shared" si="5"/>
        <v>104.76923076923049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>
        <v>26</v>
      </c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23" t="s">
        <v>2352</v>
      </c>
      <c r="F42" s="8" t="s">
        <v>42</v>
      </c>
      <c r="G42" s="9">
        <v>0.93263888888888891</v>
      </c>
      <c r="H42" s="9">
        <v>0.95</v>
      </c>
      <c r="I42" s="10">
        <f t="shared" si="4"/>
        <v>1.7361111111111049E-2</v>
      </c>
      <c r="J42" s="11">
        <v>4</v>
      </c>
      <c r="K42" s="11">
        <v>180.56</v>
      </c>
      <c r="L42" s="16">
        <f t="shared" si="5"/>
        <v>108.3360000000004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/>
      <c r="AC42" s="11"/>
      <c r="AD42" s="11">
        <v>25</v>
      </c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23" t="s">
        <v>2353</v>
      </c>
      <c r="F43" s="8" t="s">
        <v>42</v>
      </c>
      <c r="G43" s="9">
        <v>0.9375</v>
      </c>
      <c r="H43" s="9">
        <v>0.95625000000000004</v>
      </c>
      <c r="I43" s="10">
        <f t="shared" si="4"/>
        <v>1.8750000000000044E-2</v>
      </c>
      <c r="J43" s="11">
        <v>4</v>
      </c>
      <c r="K43" s="11">
        <v>180.53</v>
      </c>
      <c r="L43" s="16">
        <f t="shared" si="5"/>
        <v>100.29444444444421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>
        <v>27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23" t="s">
        <v>2354</v>
      </c>
      <c r="F44" s="8" t="s">
        <v>42</v>
      </c>
      <c r="G44" s="9">
        <v>0.94305555555555554</v>
      </c>
      <c r="H44" s="9">
        <v>0.96111111111111114</v>
      </c>
      <c r="I44" s="10">
        <f t="shared" si="4"/>
        <v>1.8055555555555602E-2</v>
      </c>
      <c r="J44" s="11">
        <v>4</v>
      </c>
      <c r="K44" s="11">
        <v>180.61</v>
      </c>
      <c r="L44" s="16">
        <f t="shared" si="5"/>
        <v>104.19807692307666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>
        <v>26</v>
      </c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23" t="s">
        <v>2355</v>
      </c>
      <c r="F45" s="8" t="s">
        <v>42</v>
      </c>
      <c r="G45" s="9">
        <v>0.95694444444444449</v>
      </c>
      <c r="H45" s="9">
        <v>0.97499999999999998</v>
      </c>
      <c r="I45" s="10">
        <f t="shared" si="4"/>
        <v>1.8055555555555491E-2</v>
      </c>
      <c r="J45" s="11">
        <v>4</v>
      </c>
      <c r="K45" s="11">
        <v>180.62</v>
      </c>
      <c r="L45" s="16">
        <f t="shared" si="5"/>
        <v>104.20384615384653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/>
      <c r="AC45" s="11"/>
      <c r="AD45" s="11">
        <v>26</v>
      </c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23" t="s">
        <v>2356</v>
      </c>
      <c r="F46" s="8" t="s">
        <v>42</v>
      </c>
      <c r="G46" s="9">
        <v>0.96250000000000002</v>
      </c>
      <c r="H46" s="9">
        <v>0.97986111111111107</v>
      </c>
      <c r="I46" s="10">
        <f t="shared" si="4"/>
        <v>1.7361111111111049E-2</v>
      </c>
      <c r="J46" s="11">
        <v>4</v>
      </c>
      <c r="K46" s="11">
        <v>179.76</v>
      </c>
      <c r="L46" s="16">
        <f t="shared" si="5"/>
        <v>107.85600000000038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>
        <v>25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23" t="s">
        <v>2357</v>
      </c>
      <c r="F47" s="8" t="s">
        <v>42</v>
      </c>
      <c r="G47" s="9">
        <v>0.97083333333333333</v>
      </c>
      <c r="H47" s="9">
        <v>0.98888888888888893</v>
      </c>
      <c r="I47" s="10">
        <f t="shared" si="4"/>
        <v>1.8055555555555602E-2</v>
      </c>
      <c r="J47" s="11">
        <v>4</v>
      </c>
      <c r="K47" s="11">
        <v>180.59</v>
      </c>
      <c r="L47" s="16">
        <f t="shared" si="5"/>
        <v>104.18653846153819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/>
      <c r="AC47" s="11">
        <v>26</v>
      </c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23" t="s">
        <v>1929</v>
      </c>
      <c r="F48" s="8" t="s">
        <v>42</v>
      </c>
      <c r="G48" s="9">
        <v>0.98402777777777772</v>
      </c>
      <c r="H48" s="9">
        <v>0.99861111111111112</v>
      </c>
      <c r="I48" s="10">
        <f t="shared" si="4"/>
        <v>1.4583333333333393E-2</v>
      </c>
      <c r="J48" s="11">
        <v>4</v>
      </c>
      <c r="K48" s="11">
        <v>182.41</v>
      </c>
      <c r="L48" s="16">
        <f t="shared" si="5"/>
        <v>130.2928571428566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>
        <v>21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23" t="s">
        <v>1930</v>
      </c>
      <c r="F49" s="8" t="s">
        <v>42</v>
      </c>
      <c r="G49" s="9">
        <v>0.98611111111111116</v>
      </c>
      <c r="H49" s="9">
        <v>46090.003472222219</v>
      </c>
      <c r="I49" s="10">
        <f t="shared" si="4"/>
        <v>46089.017361111109</v>
      </c>
      <c r="J49" s="11">
        <v>4</v>
      </c>
      <c r="K49" s="11">
        <v>180.26</v>
      </c>
      <c r="L49" s="16">
        <f t="shared" si="5"/>
        <v>4.0740906203778209E-5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>
        <v>25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23" t="s">
        <v>1931</v>
      </c>
      <c r="F50" s="8" t="s">
        <v>42</v>
      </c>
      <c r="G50" s="9">
        <v>0.99513888888888891</v>
      </c>
      <c r="H50" s="9">
        <v>46090.010416666664</v>
      </c>
      <c r="I50" s="10">
        <f t="shared" si="4"/>
        <v>46089.015277777777</v>
      </c>
      <c r="J50" s="11">
        <v>4</v>
      </c>
      <c r="K50" s="11">
        <v>180.76</v>
      </c>
      <c r="L50" s="16">
        <f t="shared" si="5"/>
        <v>4.0853914003550678E-5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/>
      <c r="AC50" s="11">
        <v>22</v>
      </c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23" t="s">
        <v>1932</v>
      </c>
      <c r="F51" s="8" t="s">
        <v>42</v>
      </c>
      <c r="G51" s="9">
        <v>7.4305555555555555E-2</v>
      </c>
      <c r="H51" s="9">
        <v>9.166666666666666E-2</v>
      </c>
      <c r="I51" s="10">
        <f t="shared" si="4"/>
        <v>1.7361111111111105E-2</v>
      </c>
      <c r="J51" s="11">
        <v>4</v>
      </c>
      <c r="K51" s="11">
        <v>180.32</v>
      </c>
      <c r="L51" s="16">
        <f t="shared" si="5"/>
        <v>108.19200000000002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/>
      <c r="AB51" s="11">
        <v>25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23" t="s">
        <v>1933</v>
      </c>
      <c r="F52" s="8" t="s">
        <v>42</v>
      </c>
      <c r="G52" s="9">
        <v>7.4305555555555555E-2</v>
      </c>
      <c r="H52" s="9">
        <v>9.4444444444444442E-2</v>
      </c>
      <c r="I52" s="10">
        <f t="shared" si="4"/>
        <v>2.0138888888888887E-2</v>
      </c>
      <c r="J52" s="11">
        <v>4</v>
      </c>
      <c r="K52" s="11">
        <v>177.77</v>
      </c>
      <c r="L52" s="16">
        <f t="shared" si="5"/>
        <v>91.95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/>
      <c r="AB52" s="11"/>
      <c r="AC52" s="11"/>
      <c r="AD52" s="11">
        <v>29</v>
      </c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23" t="s">
        <v>1934</v>
      </c>
      <c r="F53" s="8" t="s">
        <v>42</v>
      </c>
      <c r="G53" s="9">
        <v>9.930555555555555E-2</v>
      </c>
      <c r="H53" s="9">
        <v>0.11597222222222223</v>
      </c>
      <c r="I53" s="10">
        <f t="shared" si="4"/>
        <v>1.6666666666666677E-2</v>
      </c>
      <c r="J53" s="11">
        <v>4</v>
      </c>
      <c r="K53" s="11">
        <v>183.02</v>
      </c>
      <c r="L53" s="16">
        <f t="shared" si="5"/>
        <v>114.38749999999993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/>
      <c r="AB53" s="11">
        <v>24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23" t="s">
        <v>1935</v>
      </c>
      <c r="F54" s="8" t="s">
        <v>42</v>
      </c>
      <c r="G54" s="9">
        <v>0.12569444444444444</v>
      </c>
      <c r="H54" s="9">
        <v>0.1423611111111111</v>
      </c>
      <c r="I54" s="10">
        <f t="shared" si="4"/>
        <v>1.6666666666666663E-2</v>
      </c>
      <c r="J54" s="11">
        <v>4</v>
      </c>
      <c r="K54" s="11">
        <v>180.78</v>
      </c>
      <c r="L54" s="16">
        <f t="shared" si="5"/>
        <v>112.98750000000003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/>
      <c r="AB54" s="11">
        <v>24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/>
      <c r="F55" s="8" t="s">
        <v>42</v>
      </c>
      <c r="G55" s="9"/>
      <c r="H55" s="9"/>
      <c r="I55" s="10">
        <f t="shared" si="4"/>
        <v>0</v>
      </c>
      <c r="J55" s="11"/>
      <c r="K55" s="11"/>
      <c r="L55" s="16" t="str">
        <f t="shared" si="5"/>
        <v>0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 t="s">
        <v>2219</v>
      </c>
      <c r="E56" s="19" t="s">
        <v>2266</v>
      </c>
      <c r="F56" s="8" t="s">
        <v>42</v>
      </c>
      <c r="G56" s="9">
        <v>0.90347222222222223</v>
      </c>
      <c r="H56" s="9">
        <v>0.91666666666666663</v>
      </c>
      <c r="I56" s="10">
        <f t="shared" si="4"/>
        <v>1.3194444444444398E-2</v>
      </c>
      <c r="J56" s="11">
        <v>5</v>
      </c>
      <c r="K56" s="11">
        <v>32.11</v>
      </c>
      <c r="L56" s="16">
        <f t="shared" si="5"/>
        <v>20.280000000000072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>
        <f>19/4</f>
        <v>4.75</v>
      </c>
      <c r="AH56" s="11">
        <f t="shared" ref="AH56:AJ56" si="6">19/4</f>
        <v>4.75</v>
      </c>
      <c r="AI56" s="11">
        <f t="shared" si="6"/>
        <v>4.75</v>
      </c>
      <c r="AJ56" s="11">
        <f t="shared" si="6"/>
        <v>4.75</v>
      </c>
      <c r="AK56" s="11"/>
      <c r="AL56" s="14"/>
    </row>
    <row r="57" spans="2:38" ht="25.05" customHeight="1">
      <c r="B57" s="13"/>
      <c r="C57" s="29"/>
      <c r="D57" s="30"/>
      <c r="E57" s="19" t="s">
        <v>2267</v>
      </c>
      <c r="F57" s="8" t="s">
        <v>42</v>
      </c>
      <c r="G57" s="9">
        <v>0.93541666666666667</v>
      </c>
      <c r="H57" s="9">
        <v>0.95416666666666672</v>
      </c>
      <c r="I57" s="10">
        <f t="shared" si="4"/>
        <v>1.8750000000000044E-2</v>
      </c>
      <c r="J57" s="11">
        <v>5</v>
      </c>
      <c r="K57" s="11">
        <v>31.98</v>
      </c>
      <c r="L57" s="16">
        <f t="shared" si="5"/>
        <v>14.213333333333301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/>
      <c r="Z57" s="11"/>
      <c r="AA57" s="11"/>
      <c r="AB57" s="11"/>
      <c r="AC57" s="11"/>
      <c r="AD57" s="11"/>
      <c r="AE57" s="11"/>
      <c r="AF57" s="11"/>
      <c r="AG57" s="11">
        <f>27/4</f>
        <v>6.75</v>
      </c>
      <c r="AH57" s="11">
        <f t="shared" ref="AH57:AJ57" si="7">27/4</f>
        <v>6.75</v>
      </c>
      <c r="AI57" s="11">
        <f t="shared" si="7"/>
        <v>6.75</v>
      </c>
      <c r="AJ57" s="11">
        <f t="shared" si="7"/>
        <v>6.75</v>
      </c>
      <c r="AK57" s="11"/>
      <c r="AL57" s="14"/>
    </row>
    <row r="58" spans="2:38" ht="25.05" customHeight="1">
      <c r="B58" s="13"/>
      <c r="C58" s="29"/>
      <c r="D58" s="30"/>
      <c r="E58" s="19" t="s">
        <v>2268</v>
      </c>
      <c r="F58" s="8" t="s">
        <v>42</v>
      </c>
      <c r="G58" s="9">
        <v>0.96180555555555558</v>
      </c>
      <c r="H58" s="9">
        <v>0.97777777777777775</v>
      </c>
      <c r="I58" s="10">
        <f t="shared" si="4"/>
        <v>1.5972222222222165E-2</v>
      </c>
      <c r="J58" s="11">
        <v>5</v>
      </c>
      <c r="K58" s="11">
        <v>33.06</v>
      </c>
      <c r="L58" s="16">
        <f t="shared" si="5"/>
        <v>17.248695652173975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2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>
        <f>23/4</f>
        <v>5.75</v>
      </c>
      <c r="AH58" s="11">
        <f t="shared" ref="AH58:AJ58" si="8">23/4</f>
        <v>5.75</v>
      </c>
      <c r="AI58" s="11">
        <f t="shared" si="8"/>
        <v>5.75</v>
      </c>
      <c r="AJ58" s="11">
        <f t="shared" si="8"/>
        <v>5.75</v>
      </c>
      <c r="AK58" s="11"/>
      <c r="AL58" s="14"/>
    </row>
    <row r="59" spans="2:38" ht="25.05" customHeight="1">
      <c r="B59" s="13"/>
      <c r="C59" s="29"/>
      <c r="D59" s="30"/>
      <c r="E59" s="19" t="s">
        <v>2269</v>
      </c>
      <c r="F59" s="8" t="s">
        <v>42</v>
      </c>
      <c r="G59" s="9">
        <v>0.98750000000000004</v>
      </c>
      <c r="H59" s="9">
        <v>46090.004861111112</v>
      </c>
      <c r="I59" s="10">
        <f t="shared" si="4"/>
        <v>46089.017361111109</v>
      </c>
      <c r="J59" s="11">
        <v>5</v>
      </c>
      <c r="K59" s="11">
        <v>32.92</v>
      </c>
      <c r="L59" s="16">
        <f t="shared" si="5"/>
        <v>5.952249560538683E-6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/>
      <c r="AB59" s="11"/>
      <c r="AC59" s="11"/>
      <c r="AD59" s="11"/>
      <c r="AE59" s="11"/>
      <c r="AF59" s="11"/>
      <c r="AG59" s="11">
        <f>25/4</f>
        <v>6.25</v>
      </c>
      <c r="AH59" s="11">
        <f t="shared" ref="AH59:AJ59" si="9">25/4</f>
        <v>6.25</v>
      </c>
      <c r="AI59" s="11">
        <f t="shared" si="9"/>
        <v>6.25</v>
      </c>
      <c r="AJ59" s="11">
        <f t="shared" si="9"/>
        <v>6.25</v>
      </c>
      <c r="AK59" s="11"/>
      <c r="AL59" s="14"/>
    </row>
    <row r="60" spans="2:38" ht="25.05" customHeight="1">
      <c r="B60" s="13"/>
      <c r="C60" s="29"/>
      <c r="D60" s="30"/>
      <c r="E60" s="19" t="s">
        <v>2270</v>
      </c>
      <c r="F60" s="8" t="s">
        <v>42</v>
      </c>
      <c r="G60" s="9">
        <v>7.5694444444444439E-2</v>
      </c>
      <c r="H60" s="9">
        <v>9.166666666666666E-2</v>
      </c>
      <c r="I60" s="10">
        <f t="shared" si="4"/>
        <v>1.5972222222222221E-2</v>
      </c>
      <c r="J60" s="11">
        <v>5</v>
      </c>
      <c r="K60" s="11">
        <v>35.06</v>
      </c>
      <c r="L60" s="16">
        <f t="shared" si="5"/>
        <v>18.292173913043481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/>
      <c r="Z60" s="11"/>
      <c r="AA60" s="11"/>
      <c r="AB60" s="11"/>
      <c r="AC60" s="11"/>
      <c r="AD60" s="11"/>
      <c r="AE60" s="11"/>
      <c r="AF60" s="11"/>
      <c r="AG60" s="11">
        <f>23/4</f>
        <v>5.75</v>
      </c>
      <c r="AH60" s="11">
        <f t="shared" ref="AH60:AJ60" si="10">23/4</f>
        <v>5.75</v>
      </c>
      <c r="AI60" s="11">
        <f t="shared" si="10"/>
        <v>5.75</v>
      </c>
      <c r="AJ60" s="11">
        <f t="shared" si="10"/>
        <v>5.75</v>
      </c>
      <c r="AK60" s="11"/>
      <c r="AL60" s="14"/>
    </row>
    <row r="61" spans="2:38" ht="25.05" customHeight="1">
      <c r="B61" s="13"/>
      <c r="C61" s="29"/>
      <c r="D61" s="30"/>
      <c r="E61" s="19" t="s">
        <v>2271</v>
      </c>
      <c r="F61" s="8" t="s">
        <v>42</v>
      </c>
      <c r="G61" s="9">
        <v>0.10416666666666667</v>
      </c>
      <c r="H61" s="9">
        <v>0.11805555555555555</v>
      </c>
      <c r="I61" s="10">
        <f t="shared" si="4"/>
        <v>1.3888888888888881E-2</v>
      </c>
      <c r="J61" s="11">
        <v>5</v>
      </c>
      <c r="K61" s="11">
        <v>32.83</v>
      </c>
      <c r="L61" s="16">
        <f t="shared" si="5"/>
        <v>19.698000000000011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/>
      <c r="Y61" s="11"/>
      <c r="Z61" s="11"/>
      <c r="AA61" s="11"/>
      <c r="AB61" s="11"/>
      <c r="AC61" s="11"/>
      <c r="AD61" s="11"/>
      <c r="AE61" s="11"/>
      <c r="AF61" s="11"/>
      <c r="AG61" s="11">
        <f>20/4</f>
        <v>5</v>
      </c>
      <c r="AH61" s="11">
        <f t="shared" ref="AH61:AJ61" si="11">20/4</f>
        <v>5</v>
      </c>
      <c r="AI61" s="11">
        <f t="shared" si="11"/>
        <v>5</v>
      </c>
      <c r="AJ61" s="11">
        <f t="shared" si="11"/>
        <v>5</v>
      </c>
      <c r="AK61" s="11"/>
      <c r="AL61" s="14"/>
    </row>
    <row r="62" spans="2:38" ht="25.05" customHeight="1">
      <c r="B62" s="13"/>
      <c r="C62" s="29"/>
      <c r="D62" s="30"/>
      <c r="E62" s="19" t="s">
        <v>2272</v>
      </c>
      <c r="F62" s="8" t="s">
        <v>42</v>
      </c>
      <c r="G62" s="9">
        <v>0.12361111111111112</v>
      </c>
      <c r="H62" s="9">
        <v>0.13680555555555557</v>
      </c>
      <c r="I62" s="10">
        <f t="shared" si="4"/>
        <v>1.3194444444444453E-2</v>
      </c>
      <c r="J62" s="11">
        <v>5</v>
      </c>
      <c r="K62" s="11">
        <v>33.9</v>
      </c>
      <c r="L62" s="16">
        <f t="shared" si="5"/>
        <v>21.410526315789458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2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>
        <f>19/4</f>
        <v>4.75</v>
      </c>
      <c r="AH62" s="11">
        <f t="shared" ref="AH62:AJ62" si="12">19/4</f>
        <v>4.75</v>
      </c>
      <c r="AI62" s="11">
        <f t="shared" si="12"/>
        <v>4.75</v>
      </c>
      <c r="AJ62" s="11">
        <f t="shared" si="12"/>
        <v>4.75</v>
      </c>
      <c r="AK62" s="11"/>
      <c r="AL62" s="14"/>
    </row>
    <row r="63" spans="2:38" ht="25.05" customHeight="1">
      <c r="B63" s="13"/>
      <c r="C63" s="29"/>
      <c r="D63" s="30"/>
      <c r="E63" s="19" t="s">
        <v>2273</v>
      </c>
      <c r="F63" s="8" t="s">
        <v>42</v>
      </c>
      <c r="G63" s="9">
        <v>0.1423611111111111</v>
      </c>
      <c r="H63" s="9">
        <v>0.15763888888888888</v>
      </c>
      <c r="I63" s="10">
        <f t="shared" si="4"/>
        <v>1.5277777777777779E-2</v>
      </c>
      <c r="J63" s="11">
        <v>5</v>
      </c>
      <c r="K63" s="11">
        <v>30.15</v>
      </c>
      <c r="L63" s="16">
        <f t="shared" si="5"/>
        <v>16.445454545454542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/>
      <c r="Y63" s="11"/>
      <c r="Z63" s="11"/>
      <c r="AA63" s="11"/>
      <c r="AB63" s="11"/>
      <c r="AC63" s="11"/>
      <c r="AD63" s="11"/>
      <c r="AE63" s="11"/>
      <c r="AF63" s="11"/>
      <c r="AG63" s="11">
        <f>22/4</f>
        <v>5.5</v>
      </c>
      <c r="AH63" s="11">
        <f t="shared" ref="AH63:AJ63" si="13">22/4</f>
        <v>5.5</v>
      </c>
      <c r="AI63" s="11">
        <f t="shared" si="13"/>
        <v>5.5</v>
      </c>
      <c r="AJ63" s="11">
        <f t="shared" si="13"/>
        <v>5.5</v>
      </c>
      <c r="AK63" s="11"/>
      <c r="AL63" s="14"/>
    </row>
    <row r="64" spans="2:38" ht="25.05" customHeight="1">
      <c r="B64" s="13"/>
      <c r="C64" s="29"/>
      <c r="D64" s="30"/>
      <c r="E64" s="19" t="s">
        <v>2274</v>
      </c>
      <c r="F64" s="8" t="s">
        <v>42</v>
      </c>
      <c r="G64" s="9">
        <v>0.16111111111111112</v>
      </c>
      <c r="H64" s="9">
        <v>0.17569444444444443</v>
      </c>
      <c r="I64" s="10">
        <f t="shared" si="4"/>
        <v>1.4583333333333309E-2</v>
      </c>
      <c r="J64" s="11">
        <v>5</v>
      </c>
      <c r="K64" s="11">
        <v>35.26</v>
      </c>
      <c r="L64" s="16">
        <f t="shared" si="5"/>
        <v>20.148571428571461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2</v>
      </c>
      <c r="X64" s="11"/>
      <c r="Y64" s="11"/>
      <c r="Z64" s="11"/>
      <c r="AA64" s="11"/>
      <c r="AB64" s="11"/>
      <c r="AC64" s="11"/>
      <c r="AD64" s="11"/>
      <c r="AE64" s="11"/>
      <c r="AF64" s="11"/>
      <c r="AG64" s="11">
        <f>21/4</f>
        <v>5.25</v>
      </c>
      <c r="AH64" s="11">
        <f t="shared" ref="AH64:AJ64" si="14">21/4</f>
        <v>5.25</v>
      </c>
      <c r="AI64" s="11">
        <f t="shared" si="14"/>
        <v>5.25</v>
      </c>
      <c r="AJ64" s="11">
        <f t="shared" si="14"/>
        <v>5.25</v>
      </c>
      <c r="AK64" s="11"/>
      <c r="AL64" s="14"/>
    </row>
    <row r="65" spans="1:38" ht="25.05" customHeight="1">
      <c r="B65" s="13"/>
      <c r="C65" s="29"/>
      <c r="D65" s="30"/>
      <c r="E65" s="19" t="s">
        <v>2275</v>
      </c>
      <c r="F65" s="8" t="s">
        <v>42</v>
      </c>
      <c r="G65" s="9">
        <v>0.17777777777777778</v>
      </c>
      <c r="H65" s="9">
        <v>0.19097222222222221</v>
      </c>
      <c r="I65" s="10">
        <f t="shared" si="4"/>
        <v>1.3194444444444425E-2</v>
      </c>
      <c r="J65" s="11">
        <v>5</v>
      </c>
      <c r="K65" s="11">
        <v>34.71</v>
      </c>
      <c r="L65" s="16">
        <f t="shared" si="5"/>
        <v>21.922105263157928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>
        <f>19/4</f>
        <v>4.75</v>
      </c>
      <c r="AH65" s="11">
        <f t="shared" ref="AH65:AJ65" si="15">19/4</f>
        <v>4.75</v>
      </c>
      <c r="AI65" s="11">
        <f t="shared" si="15"/>
        <v>4.75</v>
      </c>
      <c r="AJ65" s="11">
        <f t="shared" si="15"/>
        <v>4.75</v>
      </c>
      <c r="AK65" s="11"/>
      <c r="AL65" s="14"/>
    </row>
    <row r="66" spans="1:38" ht="25.05" customHeight="1">
      <c r="B66" s="13"/>
      <c r="C66" s="29"/>
      <c r="D66" s="30"/>
      <c r="E66" s="19" t="s">
        <v>2276</v>
      </c>
      <c r="F66" s="8" t="s">
        <v>42</v>
      </c>
      <c r="G66" s="9">
        <v>0.82847222222222228</v>
      </c>
      <c r="H66" s="9">
        <v>0.83888888888888891</v>
      </c>
      <c r="I66" s="10">
        <f t="shared" si="4"/>
        <v>1.041666666666663E-2</v>
      </c>
      <c r="J66" s="11">
        <v>1</v>
      </c>
      <c r="K66" s="11">
        <f>0.15*10</f>
        <v>1.5</v>
      </c>
      <c r="L66" s="16">
        <f t="shared" ref="L66:L72" si="16">IFERROR(((K66/(J66*I66)/24)),"0")</f>
        <v>6.0000000000000213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15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1:38" ht="25.05" customHeight="1">
      <c r="B67" s="13"/>
      <c r="C67" s="29"/>
      <c r="D67" s="30"/>
      <c r="E67" s="19" t="s">
        <v>2277</v>
      </c>
      <c r="F67" s="8" t="s">
        <v>42</v>
      </c>
      <c r="G67" s="9">
        <v>7.7083333333333337E-2</v>
      </c>
      <c r="H67" s="9">
        <v>9.6527777777777782E-2</v>
      </c>
      <c r="I67" s="10">
        <f t="shared" ref="I67:I72" si="17">H67-G67</f>
        <v>1.9444444444444445E-2</v>
      </c>
      <c r="J67" s="11">
        <v>4</v>
      </c>
      <c r="K67" s="11">
        <v>151.1</v>
      </c>
      <c r="L67" s="16">
        <f t="shared" si="16"/>
        <v>80.946428571428569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/>
      <c r="AC67" s="11">
        <v>28</v>
      </c>
      <c r="AD67" s="11"/>
      <c r="AE67" s="11"/>
      <c r="AF67" s="11"/>
      <c r="AG67" s="11"/>
      <c r="AH67" s="11"/>
      <c r="AI67" s="11"/>
      <c r="AJ67" s="11"/>
      <c r="AK67" s="11"/>
      <c r="AL67" s="14"/>
    </row>
    <row r="68" spans="1:38" ht="25.05" customHeight="1">
      <c r="B68" s="13"/>
      <c r="C68" s="29"/>
      <c r="D68" s="30"/>
      <c r="E68" s="19" t="s">
        <v>2278</v>
      </c>
      <c r="F68" s="8" t="s">
        <v>42</v>
      </c>
      <c r="G68" s="9">
        <v>9.6527777777777782E-2</v>
      </c>
      <c r="H68" s="9">
        <v>0.11805555555555555</v>
      </c>
      <c r="I68" s="10">
        <f t="shared" si="17"/>
        <v>2.1527777777777771E-2</v>
      </c>
      <c r="J68" s="11">
        <v>4</v>
      </c>
      <c r="K68" s="11">
        <v>149.1</v>
      </c>
      <c r="L68" s="16">
        <f t="shared" si="16"/>
        <v>72.145161290322605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/>
      <c r="AA68" s="11"/>
      <c r="AB68" s="11"/>
      <c r="AC68" s="11"/>
      <c r="AD68" s="11">
        <v>31</v>
      </c>
      <c r="AE68" s="11"/>
      <c r="AF68" s="11"/>
      <c r="AG68" s="11"/>
      <c r="AH68" s="11"/>
      <c r="AI68" s="11"/>
      <c r="AJ68" s="11"/>
      <c r="AK68" s="11"/>
      <c r="AL68" s="14"/>
    </row>
    <row r="69" spans="1:38" ht="25.05" customHeight="1">
      <c r="B69" s="13"/>
      <c r="C69" s="29"/>
      <c r="D69" s="30"/>
      <c r="E69" s="19" t="s">
        <v>2279</v>
      </c>
      <c r="F69" s="8" t="s">
        <v>42</v>
      </c>
      <c r="G69" s="9">
        <v>0.10555555555555556</v>
      </c>
      <c r="H69" s="9">
        <v>0.12638888888888888</v>
      </c>
      <c r="I69" s="10">
        <f t="shared" si="17"/>
        <v>2.0833333333333329E-2</v>
      </c>
      <c r="J69" s="11">
        <v>4</v>
      </c>
      <c r="K69" s="11">
        <v>153.5</v>
      </c>
      <c r="L69" s="16">
        <f t="shared" si="16"/>
        <v>76.750000000000014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/>
      <c r="AC69" s="11">
        <v>30</v>
      </c>
      <c r="AD69" s="11"/>
      <c r="AE69" s="11"/>
      <c r="AF69" s="11"/>
      <c r="AG69" s="11"/>
      <c r="AH69" s="11"/>
      <c r="AI69" s="11"/>
      <c r="AJ69" s="11"/>
      <c r="AK69" s="11"/>
      <c r="AL69" s="14"/>
    </row>
    <row r="70" spans="1:38" ht="25.05" customHeight="1">
      <c r="B70" s="13"/>
      <c r="C70" s="29"/>
      <c r="D70" s="30"/>
      <c r="E70" s="19"/>
      <c r="F70" s="8" t="s">
        <v>42</v>
      </c>
      <c r="G70" s="9"/>
      <c r="H70" s="9"/>
      <c r="I70" s="10">
        <f t="shared" si="17"/>
        <v>0</v>
      </c>
      <c r="J70" s="11"/>
      <c r="K70" s="11"/>
      <c r="L70" s="16" t="str">
        <f t="shared" si="16"/>
        <v>0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1:38" ht="25.05" customHeight="1">
      <c r="B71" s="13"/>
      <c r="C71" s="29"/>
      <c r="D71" s="30" t="s">
        <v>1487</v>
      </c>
      <c r="E71" s="19" t="s">
        <v>2358</v>
      </c>
      <c r="F71" s="8" t="s">
        <v>42</v>
      </c>
      <c r="G71" s="9">
        <v>0.12222222222222222</v>
      </c>
      <c r="H71" s="9">
        <v>0.12777777777777777</v>
      </c>
      <c r="I71" s="10">
        <f t="shared" si="17"/>
        <v>5.5555555555555497E-3</v>
      </c>
      <c r="J71" s="11">
        <v>1</v>
      </c>
      <c r="K71" s="11">
        <v>30.12</v>
      </c>
      <c r="L71" s="16">
        <f t="shared" si="16"/>
        <v>225.90000000000023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/>
      <c r="AD71" s="11">
        <v>8</v>
      </c>
      <c r="AE71" s="11"/>
      <c r="AF71" s="11"/>
      <c r="AG71" s="11"/>
      <c r="AH71" s="11"/>
      <c r="AI71" s="11"/>
      <c r="AJ71" s="11"/>
      <c r="AK71" s="11"/>
      <c r="AL71" s="14"/>
    </row>
    <row r="72" spans="1:38" ht="25.05" customHeight="1">
      <c r="B72" s="13"/>
      <c r="C72" s="29"/>
      <c r="D72" s="30"/>
      <c r="E72" s="19"/>
      <c r="F72" s="8" t="s">
        <v>42</v>
      </c>
      <c r="G72" s="9"/>
      <c r="H72" s="9"/>
      <c r="I72" s="10">
        <f t="shared" si="17"/>
        <v>0</v>
      </c>
      <c r="J72" s="11"/>
      <c r="K72" s="11"/>
      <c r="L72" s="16" t="str">
        <f t="shared" si="16"/>
        <v>0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1:38" ht="25.05" customHeight="1">
      <c r="B73" s="13"/>
      <c r="C73" s="29"/>
      <c r="D73" s="30"/>
      <c r="E73" s="19"/>
      <c r="F73" s="14"/>
      <c r="G73" s="9"/>
      <c r="H73" s="9"/>
      <c r="I73" s="10"/>
      <c r="J73" s="11"/>
      <c r="K73" s="11"/>
      <c r="L73" s="16"/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1:38" s="28" customFormat="1" ht="25.5" customHeight="1">
      <c r="A74" s="2"/>
      <c r="B74" s="32"/>
      <c r="C74" s="33"/>
      <c r="D74" s="34"/>
      <c r="E74" s="35"/>
      <c r="F74" s="35"/>
      <c r="G74" s="36"/>
      <c r="H74" s="36"/>
      <c r="I74" s="37"/>
      <c r="J74" s="38"/>
      <c r="K74" s="38">
        <f t="shared" ref="K74:AL74" si="18">SUM(K33:K73)</f>
        <v>4269.7700000000004</v>
      </c>
      <c r="L74" s="39">
        <f t="shared" si="18"/>
        <v>3803.110837438905</v>
      </c>
      <c r="M74" s="38">
        <f t="shared" si="18"/>
        <v>0</v>
      </c>
      <c r="N74" s="38">
        <f t="shared" si="18"/>
        <v>0</v>
      </c>
      <c r="O74" s="38">
        <f t="shared" si="18"/>
        <v>0</v>
      </c>
      <c r="P74" s="38">
        <f t="shared" si="18"/>
        <v>0</v>
      </c>
      <c r="Q74" s="38">
        <f t="shared" si="18"/>
        <v>0</v>
      </c>
      <c r="R74" s="38">
        <f t="shared" si="18"/>
        <v>0</v>
      </c>
      <c r="S74" s="38">
        <f t="shared" si="18"/>
        <v>0</v>
      </c>
      <c r="T74" s="38">
        <f t="shared" si="18"/>
        <v>0</v>
      </c>
      <c r="U74" s="38">
        <f t="shared" si="18"/>
        <v>0</v>
      </c>
      <c r="V74" s="38">
        <f t="shared" si="18"/>
        <v>60</v>
      </c>
      <c r="W74" s="38">
        <f t="shared" si="18"/>
        <v>43</v>
      </c>
      <c r="X74" s="38">
        <f t="shared" si="18"/>
        <v>0</v>
      </c>
      <c r="Y74" s="38">
        <f t="shared" si="18"/>
        <v>0</v>
      </c>
      <c r="Z74" s="38">
        <f t="shared" si="18"/>
        <v>0</v>
      </c>
      <c r="AA74" s="38">
        <f t="shared" si="18"/>
        <v>0</v>
      </c>
      <c r="AB74" s="38">
        <f t="shared" si="18"/>
        <v>208</v>
      </c>
      <c r="AC74" s="38">
        <f t="shared" si="18"/>
        <v>158</v>
      </c>
      <c r="AD74" s="38">
        <f t="shared" si="18"/>
        <v>189</v>
      </c>
      <c r="AE74" s="38">
        <f t="shared" si="18"/>
        <v>0</v>
      </c>
      <c r="AF74" s="38">
        <f t="shared" si="18"/>
        <v>0</v>
      </c>
      <c r="AG74" s="38">
        <f t="shared" si="18"/>
        <v>54.5</v>
      </c>
      <c r="AH74" s="38">
        <f t="shared" si="18"/>
        <v>54.5</v>
      </c>
      <c r="AI74" s="38">
        <f t="shared" si="18"/>
        <v>54.5</v>
      </c>
      <c r="AJ74" s="38">
        <f t="shared" si="18"/>
        <v>54.5</v>
      </c>
      <c r="AK74" s="38">
        <f t="shared" si="18"/>
        <v>0</v>
      </c>
      <c r="AL74" s="38">
        <f t="shared" si="18"/>
        <v>0</v>
      </c>
    </row>
    <row r="75" spans="1:38" ht="38.1" customHeight="1">
      <c r="B75" s="40" t="s">
        <v>45</v>
      </c>
      <c r="C75" s="41"/>
      <c r="D75" s="41"/>
      <c r="E75" s="41"/>
      <c r="F75" s="41"/>
      <c r="G75" s="41"/>
      <c r="H75" s="41"/>
      <c r="I75" s="41"/>
      <c r="J75" s="41"/>
      <c r="K75" s="42">
        <f>K29+K32+K74</f>
        <v>7840.75</v>
      </c>
      <c r="L75" s="42">
        <f>L29+L32+L74</f>
        <v>5482.3088030062991</v>
      </c>
      <c r="M75" s="43">
        <f t="shared" ref="M75:AL75" si="19">(M29+M32+M74)/(480-15-30)</f>
        <v>0.59080459770114946</v>
      </c>
      <c r="N75" s="43">
        <f t="shared" si="19"/>
        <v>0</v>
      </c>
      <c r="O75" s="43">
        <f t="shared" si="19"/>
        <v>0</v>
      </c>
      <c r="P75" s="43">
        <f t="shared" si="19"/>
        <v>0</v>
      </c>
      <c r="Q75" s="43">
        <f t="shared" si="19"/>
        <v>0.32643678160919543</v>
      </c>
      <c r="R75" s="43">
        <f t="shared" si="19"/>
        <v>0.15862068965517243</v>
      </c>
      <c r="S75" s="43">
        <f t="shared" si="19"/>
        <v>1.2436781609195402</v>
      </c>
      <c r="T75" s="43">
        <f t="shared" si="19"/>
        <v>0</v>
      </c>
      <c r="U75" s="43">
        <f t="shared" si="19"/>
        <v>0</v>
      </c>
      <c r="V75" s="43">
        <f t="shared" si="19"/>
        <v>0.13793103448275862</v>
      </c>
      <c r="W75" s="43">
        <f t="shared" si="19"/>
        <v>9.8850574712643677E-2</v>
      </c>
      <c r="X75" s="43">
        <f t="shared" si="19"/>
        <v>0</v>
      </c>
      <c r="Y75" s="43">
        <f t="shared" si="19"/>
        <v>0</v>
      </c>
      <c r="Z75" s="43">
        <f t="shared" si="19"/>
        <v>0</v>
      </c>
      <c r="AA75" s="43">
        <f t="shared" si="19"/>
        <v>0</v>
      </c>
      <c r="AB75" s="43">
        <f t="shared" si="19"/>
        <v>0.47816091954022988</v>
      </c>
      <c r="AC75" s="43">
        <f t="shared" si="19"/>
        <v>0.36321839080459772</v>
      </c>
      <c r="AD75" s="43">
        <f t="shared" si="19"/>
        <v>0.43448275862068964</v>
      </c>
      <c r="AE75" s="43">
        <f t="shared" si="19"/>
        <v>0</v>
      </c>
      <c r="AF75" s="43">
        <f t="shared" si="19"/>
        <v>0</v>
      </c>
      <c r="AG75" s="43">
        <f t="shared" si="19"/>
        <v>0.12528735632183907</v>
      </c>
      <c r="AH75" s="43">
        <f t="shared" si="19"/>
        <v>0.12528735632183907</v>
      </c>
      <c r="AI75" s="43">
        <f t="shared" si="19"/>
        <v>0.12528735632183907</v>
      </c>
      <c r="AJ75" s="43">
        <f t="shared" si="19"/>
        <v>0.12528735632183907</v>
      </c>
      <c r="AK75" s="43">
        <f t="shared" si="19"/>
        <v>0</v>
      </c>
      <c r="AL75" s="43">
        <f t="shared" si="19"/>
        <v>0</v>
      </c>
    </row>
    <row r="76" spans="1:38" ht="25.05" customHeight="1">
      <c r="B76" s="44"/>
      <c r="C76" s="44"/>
      <c r="D76" s="44"/>
      <c r="E76" s="45"/>
      <c r="F76" s="45"/>
      <c r="G76" s="45"/>
      <c r="H76" s="45"/>
      <c r="I76" s="46"/>
      <c r="J76" s="46"/>
      <c r="K76" s="45"/>
      <c r="L76" s="47"/>
      <c r="M76" s="47"/>
      <c r="N76" s="47"/>
      <c r="O76" s="47"/>
      <c r="P76" s="47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</row>
    <row r="77" spans="1:38" ht="25.05" customHeight="1">
      <c r="B77" s="44"/>
      <c r="C77" s="44"/>
      <c r="D77" s="44"/>
      <c r="E77" s="45"/>
      <c r="F77" s="45"/>
      <c r="G77" s="45"/>
      <c r="H77" s="45"/>
      <c r="I77" s="48" t="s">
        <v>46</v>
      </c>
      <c r="J77" s="46"/>
      <c r="K77" s="45"/>
      <c r="L77" s="47"/>
      <c r="M77" s="47"/>
      <c r="N77" s="47"/>
      <c r="O77" s="47"/>
      <c r="P77" s="47"/>
      <c r="Q77" s="45"/>
      <c r="R77" s="45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  <c r="AI77" s="45"/>
      <c r="AJ77" s="45"/>
    </row>
    <row r="78" spans="1:38" ht="25.05" customHeight="1">
      <c r="B78" s="44"/>
      <c r="C78" s="44"/>
      <c r="D78" s="44"/>
      <c r="E78" s="45"/>
      <c r="F78" s="45"/>
      <c r="G78" s="45"/>
      <c r="H78" s="45"/>
      <c r="I78" s="49" t="s">
        <v>47</v>
      </c>
      <c r="J78" s="9">
        <v>0</v>
      </c>
      <c r="K78" s="11">
        <v>8</v>
      </c>
      <c r="L78" s="11" t="s">
        <v>48</v>
      </c>
      <c r="M78" s="47"/>
      <c r="N78" s="14">
        <v>2</v>
      </c>
      <c r="O78" s="14"/>
      <c r="P78" s="14"/>
      <c r="Q78" s="50" t="s">
        <v>49</v>
      </c>
      <c r="R78" s="51"/>
      <c r="S78" s="45"/>
      <c r="T78" s="45"/>
      <c r="U78" s="45"/>
      <c r="V78" s="45"/>
      <c r="W78" s="45"/>
      <c r="X78" s="45"/>
      <c r="Y78" s="45"/>
      <c r="Z78" s="45"/>
      <c r="AA78" s="45"/>
      <c r="AC78" s="45"/>
      <c r="AD78" s="45"/>
      <c r="AE78" s="45"/>
      <c r="AF78" s="45"/>
      <c r="AG78" s="45"/>
      <c r="AH78" s="45"/>
    </row>
    <row r="79" spans="1:38" ht="25.05" customHeight="1">
      <c r="B79" s="44"/>
      <c r="C79" s="44"/>
      <c r="D79" s="44"/>
      <c r="E79" s="45"/>
      <c r="F79" s="45"/>
      <c r="G79" s="45"/>
      <c r="H79" s="45"/>
      <c r="I79" s="49" t="s">
        <v>50</v>
      </c>
      <c r="J79" s="9">
        <v>0</v>
      </c>
      <c r="K79" s="11">
        <v>0</v>
      </c>
      <c r="L79" s="11" t="s">
        <v>48</v>
      </c>
      <c r="M79" s="47"/>
      <c r="N79" s="14">
        <v>0</v>
      </c>
      <c r="O79" s="14"/>
      <c r="P79" s="14"/>
      <c r="Q79" s="50" t="s">
        <v>51</v>
      </c>
      <c r="R79" s="51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</row>
    <row r="80" spans="1:38" ht="25.05" customHeight="1">
      <c r="B80" s="44"/>
      <c r="C80" s="44"/>
      <c r="D80" s="44"/>
      <c r="E80" s="45"/>
      <c r="F80" s="45"/>
      <c r="G80" s="45"/>
      <c r="H80" s="45"/>
      <c r="I80" s="49" t="s">
        <v>52</v>
      </c>
      <c r="J80" s="9">
        <v>0</v>
      </c>
      <c r="K80" s="11">
        <v>17</v>
      </c>
      <c r="L80" s="11" t="s">
        <v>48</v>
      </c>
      <c r="M80" s="47"/>
      <c r="N80" s="14">
        <v>1</v>
      </c>
      <c r="O80" s="14"/>
      <c r="P80" s="14"/>
      <c r="Q80" s="50" t="s">
        <v>53</v>
      </c>
      <c r="R80" s="51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</row>
    <row r="81" spans="2:34" ht="25.05" customHeight="1">
      <c r="B81" s="44"/>
      <c r="C81" s="44"/>
      <c r="D81" s="44"/>
      <c r="E81" s="45"/>
      <c r="F81" s="45"/>
      <c r="G81" s="45"/>
      <c r="H81" s="45"/>
      <c r="I81" s="52" t="s">
        <v>54</v>
      </c>
      <c r="J81" s="53">
        <v>0</v>
      </c>
      <c r="K81" s="11">
        <v>2</v>
      </c>
      <c r="L81" s="54" t="s">
        <v>48</v>
      </c>
      <c r="M81" s="47"/>
      <c r="N81" s="14">
        <v>4</v>
      </c>
      <c r="O81" s="14"/>
      <c r="P81" s="14"/>
      <c r="Q81" s="50" t="s">
        <v>55</v>
      </c>
      <c r="R81" s="51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</row>
    <row r="82" spans="2:34" ht="25.05" customHeight="1">
      <c r="B82" s="44"/>
      <c r="C82" s="44"/>
      <c r="D82" s="44"/>
      <c r="E82" s="45"/>
      <c r="F82" s="45"/>
      <c r="G82" s="45"/>
      <c r="H82" s="45"/>
      <c r="I82" s="49" t="s">
        <v>56</v>
      </c>
      <c r="J82" s="9">
        <v>0</v>
      </c>
      <c r="K82" s="11">
        <f>SUM(K78:K81)</f>
        <v>27</v>
      </c>
      <c r="L82" s="11" t="s">
        <v>48</v>
      </c>
      <c r="M82" s="47"/>
      <c r="N82"/>
      <c r="O82"/>
      <c r="P82"/>
      <c r="Q82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</row>
    <row r="83" spans="2:34" ht="25.05" customHeight="1">
      <c r="B83" s="44"/>
      <c r="C83" s="44"/>
      <c r="D83" s="44"/>
      <c r="E83" s="45"/>
      <c r="F83" s="45"/>
      <c r="G83" s="45"/>
      <c r="H83" s="45"/>
      <c r="M83" s="47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  <c r="AE83" s="45"/>
      <c r="AF83" s="45"/>
      <c r="AG83" s="45"/>
      <c r="AH83" s="45"/>
    </row>
    <row r="84" spans="2:34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8A3C-304E-4C7B-B8FE-4EC3EAE22FA5}">
  <sheetPr>
    <pageSetUpPr fitToPage="1"/>
  </sheetPr>
  <dimension ref="A1:AL115"/>
  <sheetViews>
    <sheetView zoomScale="70" zoomScaleNormal="70" workbookViewId="0">
      <pane xSplit="12" ySplit="3" topLeftCell="M13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73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2359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5" si="0">H4-G4</f>
        <v>2.0833333333333315E-2</v>
      </c>
      <c r="J4" s="11">
        <v>1</v>
      </c>
      <c r="K4" s="11" t="s">
        <v>42</v>
      </c>
      <c r="L4" s="16" t="str">
        <f t="shared" ref="L4:L25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2360</v>
      </c>
      <c r="E5" s="15" t="s">
        <v>456</v>
      </c>
      <c r="F5" s="8" t="s">
        <v>42</v>
      </c>
      <c r="G5" s="9">
        <v>0.29166666666666669</v>
      </c>
      <c r="H5" s="9">
        <v>0.40277777777777779</v>
      </c>
      <c r="I5" s="10">
        <f t="shared" si="0"/>
        <v>0.1111111111111111</v>
      </c>
      <c r="J5" s="11">
        <v>1</v>
      </c>
      <c r="K5" s="27">
        <v>190</v>
      </c>
      <c r="L5" s="16">
        <f t="shared" si="1"/>
        <v>71.25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7" t="s">
        <v>1958</v>
      </c>
      <c r="F6" s="8" t="s">
        <v>42</v>
      </c>
      <c r="G6" s="9">
        <v>0.29166666666666669</v>
      </c>
      <c r="H6" s="9">
        <v>0.40625</v>
      </c>
      <c r="I6" s="10">
        <f t="shared" si="0"/>
        <v>0.11458333333333331</v>
      </c>
      <c r="J6" s="11">
        <v>7</v>
      </c>
      <c r="K6" s="27">
        <v>450</v>
      </c>
      <c r="L6" s="16">
        <f t="shared" si="1"/>
        <v>23.376623376623382</v>
      </c>
      <c r="M6" s="11"/>
      <c r="N6" s="11"/>
      <c r="O6" s="11"/>
      <c r="P6" s="11"/>
      <c r="Q6" s="11"/>
      <c r="R6" s="12"/>
      <c r="S6" s="12">
        <v>160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2361</v>
      </c>
      <c r="F7" s="8" t="s">
        <v>1437</v>
      </c>
      <c r="G7" s="9">
        <v>0.29166666666666669</v>
      </c>
      <c r="H7" s="9">
        <v>0.3888888888888889</v>
      </c>
      <c r="I7" s="10">
        <f t="shared" si="0"/>
        <v>9.722222222222221E-2</v>
      </c>
      <c r="J7" s="11">
        <v>1</v>
      </c>
      <c r="K7" s="27">
        <v>130</v>
      </c>
      <c r="L7" s="16">
        <f t="shared" si="1"/>
        <v>55.714285714285722</v>
      </c>
      <c r="M7" s="11"/>
      <c r="N7" s="11"/>
      <c r="O7" s="11"/>
      <c r="P7" s="11"/>
      <c r="Q7" s="11"/>
      <c r="R7" s="12">
        <v>165</v>
      </c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7" t="s">
        <v>2362</v>
      </c>
      <c r="F8" s="55" t="s">
        <v>87</v>
      </c>
      <c r="G8" s="9">
        <v>0.29166666666666669</v>
      </c>
      <c r="H8" s="9">
        <v>0.2986111111111111</v>
      </c>
      <c r="I8" s="10">
        <f t="shared" si="0"/>
        <v>6.9444444444444198E-3</v>
      </c>
      <c r="J8" s="11">
        <v>1</v>
      </c>
      <c r="K8" s="27">
        <v>20</v>
      </c>
      <c r="L8" s="16">
        <f t="shared" si="1"/>
        <v>120.00000000000041</v>
      </c>
      <c r="M8" s="11">
        <v>10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2363</v>
      </c>
      <c r="F9" s="8" t="s">
        <v>42</v>
      </c>
      <c r="G9" s="9">
        <v>0.29166666666666669</v>
      </c>
      <c r="H9" s="9">
        <v>0.2986111111111111</v>
      </c>
      <c r="I9" s="10">
        <f t="shared" si="0"/>
        <v>6.9444444444444198E-3</v>
      </c>
      <c r="J9" s="11">
        <v>1</v>
      </c>
      <c r="K9" s="27">
        <v>17.5</v>
      </c>
      <c r="L9" s="16">
        <f t="shared" si="1"/>
        <v>105.00000000000038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30"/>
      <c r="E10" s="15" t="s">
        <v>2364</v>
      </c>
      <c r="F10" s="8" t="s">
        <v>42</v>
      </c>
      <c r="G10" s="9">
        <v>0.29166666666666669</v>
      </c>
      <c r="H10" s="9">
        <v>0.30555555555555558</v>
      </c>
      <c r="I10" s="10">
        <f t="shared" si="0"/>
        <v>1.3888888888888895E-2</v>
      </c>
      <c r="J10" s="11">
        <v>1</v>
      </c>
      <c r="K10" s="27">
        <v>40.6</v>
      </c>
      <c r="L10" s="16">
        <f t="shared" si="1"/>
        <v>121.79999999999995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30" t="s">
        <v>2069</v>
      </c>
      <c r="E11" s="15" t="s">
        <v>1321</v>
      </c>
      <c r="F11" s="8" t="s">
        <v>42</v>
      </c>
      <c r="G11" s="9">
        <v>0.30902777777777779</v>
      </c>
      <c r="H11" s="9">
        <v>0.3298611111111111</v>
      </c>
      <c r="I11" s="10">
        <f t="shared" si="0"/>
        <v>2.0833333333333315E-2</v>
      </c>
      <c r="J11" s="11">
        <v>2</v>
      </c>
      <c r="K11" s="27">
        <v>218.34</v>
      </c>
      <c r="L11" s="16">
        <f t="shared" si="1"/>
        <v>218.34000000000017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100</v>
      </c>
      <c r="F12" s="8" t="s">
        <v>42</v>
      </c>
      <c r="G12" s="9">
        <v>0.39583333333333331</v>
      </c>
      <c r="H12" s="9">
        <v>0.41319444444444442</v>
      </c>
      <c r="I12" s="10">
        <f t="shared" si="0"/>
        <v>1.7361111111111105E-2</v>
      </c>
      <c r="J12" s="11">
        <v>3</v>
      </c>
      <c r="K12" s="27">
        <v>78</v>
      </c>
      <c r="L12" s="16">
        <f t="shared" si="1"/>
        <v>62.400000000000027</v>
      </c>
      <c r="M12" s="11"/>
      <c r="N12" s="11"/>
      <c r="O12" s="11"/>
      <c r="P12" s="11"/>
      <c r="Q12" s="11"/>
      <c r="R12" s="12"/>
      <c r="S12" s="12">
        <v>30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4.75" customHeight="1">
      <c r="B13" s="13"/>
      <c r="C13" s="14"/>
      <c r="D13" s="6" t="s">
        <v>2360</v>
      </c>
      <c r="E13" s="15" t="s">
        <v>2365</v>
      </c>
      <c r="F13" s="8" t="s">
        <v>42</v>
      </c>
      <c r="G13" s="9">
        <v>0.35416666666666669</v>
      </c>
      <c r="H13" s="9">
        <v>0.4375</v>
      </c>
      <c r="I13" s="10">
        <f t="shared" si="0"/>
        <v>8.3333333333333315E-2</v>
      </c>
      <c r="J13" s="11">
        <v>2</v>
      </c>
      <c r="K13" s="27">
        <v>197.5</v>
      </c>
      <c r="L13" s="16">
        <f t="shared" si="1"/>
        <v>49.375000000000007</v>
      </c>
      <c r="M13" s="11">
        <v>120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4.75" customHeight="1">
      <c r="B14" s="13"/>
      <c r="C14" s="14"/>
      <c r="D14" s="30" t="s">
        <v>2069</v>
      </c>
      <c r="E14" s="15" t="s">
        <v>2366</v>
      </c>
      <c r="F14" s="8" t="s">
        <v>42</v>
      </c>
      <c r="G14" s="9">
        <v>0.40277777777777779</v>
      </c>
      <c r="H14" s="9">
        <v>0.46527777777777779</v>
      </c>
      <c r="I14" s="10">
        <f t="shared" si="0"/>
        <v>6.25E-2</v>
      </c>
      <c r="J14" s="11">
        <v>9</v>
      </c>
      <c r="K14" s="27">
        <v>144</v>
      </c>
      <c r="L14" s="16">
        <f t="shared" si="1"/>
        <v>10.666666666666666</v>
      </c>
      <c r="M14" s="11"/>
      <c r="N14" s="11"/>
      <c r="O14" s="11"/>
      <c r="P14" s="11"/>
      <c r="Q14" s="11"/>
      <c r="R14" s="12"/>
      <c r="S14" s="12">
        <v>90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4.75" customHeight="1">
      <c r="B15" s="13"/>
      <c r="C15" s="14"/>
      <c r="D15" s="6"/>
      <c r="E15" s="15" t="s">
        <v>2367</v>
      </c>
      <c r="F15" s="55" t="s">
        <v>87</v>
      </c>
      <c r="G15" s="9">
        <v>0.44791666666666669</v>
      </c>
      <c r="H15" s="9">
        <v>0.46527777777777779</v>
      </c>
      <c r="I15" s="10">
        <f t="shared" si="0"/>
        <v>1.7361111111111105E-2</v>
      </c>
      <c r="J15" s="11">
        <v>2</v>
      </c>
      <c r="K15" s="27">
        <v>78</v>
      </c>
      <c r="L15" s="16">
        <f t="shared" si="1"/>
        <v>93.600000000000037</v>
      </c>
      <c r="M15" s="11">
        <v>25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4.75" customHeight="1">
      <c r="B16" s="13"/>
      <c r="C16" s="14"/>
      <c r="D16" s="30"/>
      <c r="E16" s="15" t="s">
        <v>2368</v>
      </c>
      <c r="F16" s="55" t="s">
        <v>87</v>
      </c>
      <c r="G16" s="9">
        <v>0.43888888888888888</v>
      </c>
      <c r="H16" s="9">
        <v>0.44583333333333336</v>
      </c>
      <c r="I16" s="10">
        <f t="shared" si="0"/>
        <v>6.9444444444444753E-3</v>
      </c>
      <c r="J16" s="11">
        <v>2</v>
      </c>
      <c r="K16" s="27">
        <v>13</v>
      </c>
      <c r="L16" s="16">
        <f t="shared" si="1"/>
        <v>38.999999999999822</v>
      </c>
      <c r="M16" s="11">
        <v>10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4.75" customHeight="1">
      <c r="B17" s="13"/>
      <c r="C17" s="14"/>
      <c r="D17" s="6"/>
      <c r="E17" s="15" t="s">
        <v>96</v>
      </c>
      <c r="F17" s="8" t="s">
        <v>42</v>
      </c>
      <c r="G17" s="9">
        <v>0.46527777777777779</v>
      </c>
      <c r="H17" s="9">
        <v>0.47916666666666669</v>
      </c>
      <c r="I17" s="10">
        <f t="shared" si="0"/>
        <v>1.3888888888888895E-2</v>
      </c>
      <c r="J17" s="11">
        <v>12</v>
      </c>
      <c r="K17" s="27" t="s">
        <v>42</v>
      </c>
      <c r="L17" s="16" t="str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/>
      <c r="E18" s="15" t="s">
        <v>104</v>
      </c>
      <c r="F18" s="55" t="s">
        <v>42</v>
      </c>
      <c r="G18" s="9">
        <v>0.47916666666666669</v>
      </c>
      <c r="H18" s="9">
        <v>0.52083333333333337</v>
      </c>
      <c r="I18" s="10">
        <f t="shared" si="0"/>
        <v>4.1666666666666685E-2</v>
      </c>
      <c r="J18" s="11">
        <v>13</v>
      </c>
      <c r="K18" s="27" t="s">
        <v>42</v>
      </c>
      <c r="L18" s="16" t="str">
        <f t="shared" si="1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6" t="s">
        <v>2369</v>
      </c>
      <c r="E19" s="15" t="s">
        <v>1962</v>
      </c>
      <c r="F19" s="55" t="s">
        <v>42</v>
      </c>
      <c r="G19" s="9">
        <v>0.52083333333333337</v>
      </c>
      <c r="H19" s="9">
        <v>0.54861111111111116</v>
      </c>
      <c r="I19" s="10">
        <f t="shared" si="0"/>
        <v>2.777777777777779E-2</v>
      </c>
      <c r="J19" s="11">
        <v>12</v>
      </c>
      <c r="K19" s="11">
        <v>150</v>
      </c>
      <c r="L19" s="16">
        <f t="shared" si="1"/>
        <v>18.749999999999989</v>
      </c>
      <c r="M19" s="11"/>
      <c r="N19" s="11"/>
      <c r="O19" s="11"/>
      <c r="P19" s="11"/>
      <c r="Q19" s="11"/>
      <c r="R19" s="12"/>
      <c r="S19" s="12">
        <v>40</v>
      </c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100</v>
      </c>
      <c r="F20" s="55" t="s">
        <v>42</v>
      </c>
      <c r="G20" s="9">
        <v>0.55208333333333337</v>
      </c>
      <c r="H20" s="9">
        <v>0.58333333333333337</v>
      </c>
      <c r="I20" s="10">
        <f t="shared" ref="I20:I24" si="2">H20-G20</f>
        <v>3.125E-2</v>
      </c>
      <c r="J20" s="11">
        <v>12</v>
      </c>
      <c r="K20" s="11">
        <v>165</v>
      </c>
      <c r="L20" s="16">
        <f t="shared" ref="L20:L24" si="3">IFERROR(((K20/(J20*I20)/24)),"0")</f>
        <v>18.333333333333332</v>
      </c>
      <c r="M20" s="11"/>
      <c r="N20" s="11"/>
      <c r="O20" s="11"/>
      <c r="P20" s="11"/>
      <c r="Q20" s="11"/>
      <c r="R20" s="12"/>
      <c r="S20" s="12">
        <v>45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2370</v>
      </c>
      <c r="F21" s="55" t="s">
        <v>42</v>
      </c>
      <c r="G21" s="9">
        <v>0.58333333333333337</v>
      </c>
      <c r="H21" s="9">
        <v>0.64583333333333337</v>
      </c>
      <c r="I21" s="10">
        <f t="shared" si="2"/>
        <v>6.25E-2</v>
      </c>
      <c r="J21" s="11">
        <v>8</v>
      </c>
      <c r="K21" s="11" t="s">
        <v>42</v>
      </c>
      <c r="L21" s="16" t="str">
        <f t="shared" si="3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1819</v>
      </c>
      <c r="F22" s="55" t="s">
        <v>42</v>
      </c>
      <c r="G22" s="9">
        <v>0.58333333333333337</v>
      </c>
      <c r="H22" s="9">
        <v>0.64583333333333337</v>
      </c>
      <c r="I22" s="10">
        <f t="shared" si="2"/>
        <v>6.25E-2</v>
      </c>
      <c r="J22" s="11">
        <v>2</v>
      </c>
      <c r="K22" s="11" t="s">
        <v>42</v>
      </c>
      <c r="L22" s="16" t="str">
        <f t="shared" si="3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30" t="s">
        <v>2069</v>
      </c>
      <c r="E23" s="15" t="s">
        <v>2231</v>
      </c>
      <c r="F23" s="55" t="s">
        <v>42</v>
      </c>
      <c r="G23" s="9">
        <v>0.625</v>
      </c>
      <c r="H23" s="9">
        <v>0.65972222222222221</v>
      </c>
      <c r="I23" s="10">
        <f t="shared" si="2"/>
        <v>3.472222222222221E-2</v>
      </c>
      <c r="J23" s="11">
        <v>2</v>
      </c>
      <c r="K23" s="27">
        <v>78</v>
      </c>
      <c r="L23" s="16">
        <f t="shared" si="3"/>
        <v>46.800000000000018</v>
      </c>
      <c r="M23" s="11">
        <v>50</v>
      </c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 t="s">
        <v>96</v>
      </c>
      <c r="F24" s="55" t="s">
        <v>42</v>
      </c>
      <c r="G24" s="9">
        <v>0.64583333333333337</v>
      </c>
      <c r="H24" s="9">
        <v>0.66666666666666663</v>
      </c>
      <c r="I24" s="10">
        <f t="shared" si="2"/>
        <v>2.0833333333333259E-2</v>
      </c>
      <c r="J24" s="11">
        <v>12</v>
      </c>
      <c r="K24" s="11" t="s">
        <v>42</v>
      </c>
      <c r="L24" s="16" t="str">
        <f t="shared" si="3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/>
      <c r="F25" s="55"/>
      <c r="G25" s="9"/>
      <c r="H25" s="9"/>
      <c r="I25" s="10">
        <f t="shared" si="0"/>
        <v>0</v>
      </c>
      <c r="J25" s="11"/>
      <c r="K25" s="11"/>
      <c r="L25" s="16" t="str">
        <f t="shared" si="1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s="28" customFormat="1" ht="25.05" customHeight="1">
      <c r="A26" s="2"/>
      <c r="B26" s="21"/>
      <c r="C26" s="22"/>
      <c r="D26" s="23"/>
      <c r="E26" s="24"/>
      <c r="F26" s="24"/>
      <c r="G26" s="25"/>
      <c r="H26" s="25"/>
      <c r="I26" s="26"/>
      <c r="J26" s="27"/>
      <c r="K26" s="27">
        <f>SUM(K4:K20)</f>
        <v>1891.94</v>
      </c>
      <c r="L26" s="39">
        <f t="shared" ref="L26:AL26" si="4">SUM(L4:L19)</f>
        <v>989.27257575757642</v>
      </c>
      <c r="M26" s="27">
        <f t="shared" si="4"/>
        <v>165</v>
      </c>
      <c r="N26" s="27">
        <f t="shared" si="4"/>
        <v>0</v>
      </c>
      <c r="O26" s="27">
        <f t="shared" si="4"/>
        <v>0</v>
      </c>
      <c r="P26" s="27">
        <f t="shared" si="4"/>
        <v>0</v>
      </c>
      <c r="Q26" s="27">
        <f t="shared" si="4"/>
        <v>0</v>
      </c>
      <c r="R26" s="27">
        <f t="shared" si="4"/>
        <v>165</v>
      </c>
      <c r="S26" s="27">
        <f t="shared" si="4"/>
        <v>320</v>
      </c>
      <c r="T26" s="27">
        <f t="shared" si="4"/>
        <v>0</v>
      </c>
      <c r="U26" s="27">
        <f t="shared" si="4"/>
        <v>0</v>
      </c>
      <c r="V26" s="27">
        <f t="shared" si="4"/>
        <v>0</v>
      </c>
      <c r="W26" s="27">
        <f t="shared" si="4"/>
        <v>0</v>
      </c>
      <c r="X26" s="27">
        <f t="shared" si="4"/>
        <v>0</v>
      </c>
      <c r="Y26" s="27">
        <f t="shared" si="4"/>
        <v>0</v>
      </c>
      <c r="Z26" s="27">
        <f t="shared" si="4"/>
        <v>0</v>
      </c>
      <c r="AA26" s="27">
        <f t="shared" si="4"/>
        <v>0</v>
      </c>
      <c r="AB26" s="27">
        <f t="shared" si="4"/>
        <v>0</v>
      </c>
      <c r="AC26" s="27">
        <f t="shared" si="4"/>
        <v>0</v>
      </c>
      <c r="AD26" s="27">
        <f t="shared" si="4"/>
        <v>0</v>
      </c>
      <c r="AE26" s="27">
        <f t="shared" si="4"/>
        <v>0</v>
      </c>
      <c r="AF26" s="27">
        <f t="shared" si="4"/>
        <v>0</v>
      </c>
      <c r="AG26" s="27">
        <f t="shared" si="4"/>
        <v>0</v>
      </c>
      <c r="AH26" s="27">
        <f t="shared" si="4"/>
        <v>0</v>
      </c>
      <c r="AI26" s="27">
        <f t="shared" si="4"/>
        <v>0</v>
      </c>
      <c r="AJ26" s="27">
        <f t="shared" si="4"/>
        <v>0</v>
      </c>
      <c r="AK26" s="27">
        <f t="shared" si="4"/>
        <v>0</v>
      </c>
      <c r="AL26" s="27">
        <f t="shared" si="4"/>
        <v>0</v>
      </c>
    </row>
    <row r="27" spans="1:38" ht="25.05" customHeight="1">
      <c r="B27" s="5" t="s">
        <v>2359</v>
      </c>
      <c r="C27" s="14" t="s">
        <v>43</v>
      </c>
      <c r="D27" s="6"/>
      <c r="E27" s="7" t="s">
        <v>41</v>
      </c>
      <c r="F27" s="8" t="s">
        <v>42</v>
      </c>
      <c r="G27" s="9">
        <v>0.29166666666666669</v>
      </c>
      <c r="H27" s="9">
        <v>0.33333333333333331</v>
      </c>
      <c r="I27" s="10">
        <f>H27-G27</f>
        <v>4.166666666666663E-2</v>
      </c>
      <c r="J27" s="11">
        <v>2</v>
      </c>
      <c r="K27" s="11" t="s">
        <v>42</v>
      </c>
      <c r="L27" s="16" t="str">
        <f>IFERROR(((K27/(J27*I27)/24)),"0")</f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 t="s">
        <v>1432</v>
      </c>
      <c r="E28" s="19" t="s">
        <v>1902</v>
      </c>
      <c r="F28" s="8" t="s">
        <v>42</v>
      </c>
      <c r="G28" s="9">
        <v>0.33333333333333331</v>
      </c>
      <c r="H28" s="9">
        <v>0.5</v>
      </c>
      <c r="I28" s="10">
        <f t="shared" ref="I28:I32" si="5">H28-G28</f>
        <v>0.16666666666666669</v>
      </c>
      <c r="J28" s="11">
        <v>12</v>
      </c>
      <c r="K28" s="11">
        <f>88*5</f>
        <v>440</v>
      </c>
      <c r="L28" s="16">
        <f t="shared" ref="L28:L32" si="6">IFERROR(((K28/(J28*I28)/24)),"0")</f>
        <v>9.1666666666666661</v>
      </c>
      <c r="M28" s="11"/>
      <c r="N28" s="11"/>
      <c r="O28" s="11"/>
      <c r="P28" s="11"/>
      <c r="Q28" s="11"/>
      <c r="R28" s="12"/>
      <c r="S28" s="12"/>
      <c r="T28" s="11">
        <v>240</v>
      </c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/>
      <c r="E29" s="15" t="s">
        <v>104</v>
      </c>
      <c r="F29" s="8" t="s">
        <v>42</v>
      </c>
      <c r="G29" s="9">
        <v>0.5</v>
      </c>
      <c r="H29" s="9">
        <v>0.54166666666666663</v>
      </c>
      <c r="I29" s="10">
        <f t="shared" si="5"/>
        <v>4.166666666666663E-2</v>
      </c>
      <c r="J29" s="11">
        <v>12</v>
      </c>
      <c r="K29" s="11" t="s">
        <v>42</v>
      </c>
      <c r="L29" s="16" t="str">
        <f t="shared" si="6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24"/>
      <c r="D30" s="6" t="s">
        <v>2371</v>
      </c>
      <c r="E30" s="15" t="s">
        <v>2372</v>
      </c>
      <c r="F30" s="8" t="s">
        <v>42</v>
      </c>
      <c r="G30" s="9">
        <v>0.54166666666666663</v>
      </c>
      <c r="H30" s="9">
        <v>0.66666666666666663</v>
      </c>
      <c r="I30" s="10">
        <f t="shared" si="5"/>
        <v>0.125</v>
      </c>
      <c r="J30" s="11">
        <v>12</v>
      </c>
      <c r="K30" s="11" t="s">
        <v>42</v>
      </c>
      <c r="L30" s="16" t="str">
        <f t="shared" si="6"/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25"/>
      <c r="D31" s="6"/>
      <c r="E31" s="15" t="s">
        <v>96</v>
      </c>
      <c r="F31" s="8" t="s">
        <v>42</v>
      </c>
      <c r="G31" s="9">
        <v>0.66666666666666663</v>
      </c>
      <c r="H31" s="9">
        <v>0.70833333333333337</v>
      </c>
      <c r="I31" s="10">
        <f t="shared" si="5"/>
        <v>4.1666666666666741E-2</v>
      </c>
      <c r="J31" s="11">
        <v>12</v>
      </c>
      <c r="K31" s="11" t="s">
        <v>42</v>
      </c>
      <c r="L31" s="16" t="str">
        <f t="shared" si="6"/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5.05" customHeight="1">
      <c r="B32" s="13"/>
      <c r="C32" s="126"/>
      <c r="D32" s="18"/>
      <c r="E32" s="15"/>
      <c r="F32" s="8" t="s">
        <v>42</v>
      </c>
      <c r="G32" s="9"/>
      <c r="H32" s="9"/>
      <c r="I32" s="10">
        <f t="shared" si="5"/>
        <v>0</v>
      </c>
      <c r="J32" s="11"/>
      <c r="K32" s="11"/>
      <c r="L32" s="16" t="str">
        <f t="shared" si="6"/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s="28" customFormat="1" ht="25.05" customHeight="1">
      <c r="A33" s="2"/>
      <c r="B33" s="21"/>
      <c r="C33" s="22"/>
      <c r="D33" s="23"/>
      <c r="E33" s="24"/>
      <c r="F33" s="22"/>
      <c r="G33" s="25"/>
      <c r="H33" s="25"/>
      <c r="I33" s="26"/>
      <c r="J33" s="27"/>
      <c r="K33" s="27">
        <f t="shared" ref="K33:AL33" si="7">SUM(K27:K32)</f>
        <v>440</v>
      </c>
      <c r="L33" s="27">
        <f t="shared" si="7"/>
        <v>9.1666666666666661</v>
      </c>
      <c r="M33" s="27">
        <f t="shared" si="7"/>
        <v>0</v>
      </c>
      <c r="N33" s="27">
        <f t="shared" si="7"/>
        <v>0</v>
      </c>
      <c r="O33" s="27">
        <f t="shared" si="7"/>
        <v>0</v>
      </c>
      <c r="P33" s="27">
        <f t="shared" si="7"/>
        <v>0</v>
      </c>
      <c r="Q33" s="27">
        <f t="shared" si="7"/>
        <v>0</v>
      </c>
      <c r="R33" s="27">
        <f t="shared" si="7"/>
        <v>0</v>
      </c>
      <c r="S33" s="27">
        <f t="shared" si="7"/>
        <v>0</v>
      </c>
      <c r="T33" s="27">
        <f t="shared" si="7"/>
        <v>240</v>
      </c>
      <c r="U33" s="27">
        <f t="shared" si="7"/>
        <v>0</v>
      </c>
      <c r="V33" s="27">
        <f t="shared" si="7"/>
        <v>0</v>
      </c>
      <c r="W33" s="27">
        <f t="shared" si="7"/>
        <v>0</v>
      </c>
      <c r="X33" s="27">
        <f t="shared" si="7"/>
        <v>0</v>
      </c>
      <c r="Y33" s="27">
        <f t="shared" si="7"/>
        <v>0</v>
      </c>
      <c r="Z33" s="27">
        <f t="shared" si="7"/>
        <v>0</v>
      </c>
      <c r="AA33" s="27">
        <f t="shared" si="7"/>
        <v>0</v>
      </c>
      <c r="AB33" s="27">
        <f t="shared" si="7"/>
        <v>0</v>
      </c>
      <c r="AC33" s="27">
        <f t="shared" si="7"/>
        <v>0</v>
      </c>
      <c r="AD33" s="27">
        <f t="shared" si="7"/>
        <v>0</v>
      </c>
      <c r="AE33" s="27">
        <f t="shared" si="7"/>
        <v>0</v>
      </c>
      <c r="AF33" s="27">
        <f t="shared" si="7"/>
        <v>0</v>
      </c>
      <c r="AG33" s="27">
        <f t="shared" si="7"/>
        <v>0</v>
      </c>
      <c r="AH33" s="27">
        <f t="shared" si="7"/>
        <v>0</v>
      </c>
      <c r="AI33" s="27">
        <f t="shared" si="7"/>
        <v>0</v>
      </c>
      <c r="AJ33" s="27">
        <f t="shared" si="7"/>
        <v>0</v>
      </c>
      <c r="AK33" s="27">
        <f t="shared" si="7"/>
        <v>0</v>
      </c>
      <c r="AL33" s="27">
        <f t="shared" si="7"/>
        <v>0</v>
      </c>
    </row>
    <row r="34" spans="1:38" ht="25.05" customHeight="1">
      <c r="B34" s="5" t="s">
        <v>2359</v>
      </c>
      <c r="C34" s="29" t="s">
        <v>44</v>
      </c>
      <c r="D34" s="30"/>
      <c r="E34" s="7" t="s">
        <v>41</v>
      </c>
      <c r="F34" s="8" t="s">
        <v>42</v>
      </c>
      <c r="G34" s="9">
        <v>0.29166666666666669</v>
      </c>
      <c r="H34" s="9">
        <v>0.3</v>
      </c>
      <c r="I34" s="10">
        <f t="shared" ref="I34:I37" si="8">H34-G34</f>
        <v>8.3333333333333037E-3</v>
      </c>
      <c r="J34" s="11">
        <v>5</v>
      </c>
      <c r="K34" s="62" t="s">
        <v>42</v>
      </c>
      <c r="L34" s="16" t="str">
        <f t="shared" ref="L34:L37" si="9">IFERROR(((K34/(J34*I34)/24)),"0")</f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1:38" ht="25.05" customHeight="1">
      <c r="B35" s="13"/>
      <c r="C35" s="29"/>
      <c r="D35" s="6" t="s">
        <v>2360</v>
      </c>
      <c r="E35" s="19" t="s">
        <v>2373</v>
      </c>
      <c r="F35" s="8" t="s">
        <v>42</v>
      </c>
      <c r="G35" s="9">
        <v>0.37847222222222221</v>
      </c>
      <c r="H35" s="9">
        <v>0.39374999999999999</v>
      </c>
      <c r="I35" s="10">
        <f t="shared" si="8"/>
        <v>1.5277777777777779E-2</v>
      </c>
      <c r="J35" s="11">
        <v>4</v>
      </c>
      <c r="K35" s="62">
        <v>181.3</v>
      </c>
      <c r="L35" s="16">
        <f t="shared" si="9"/>
        <v>123.61363636363636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/>
      <c r="AC35" s="11"/>
      <c r="AD35" s="11">
        <v>22</v>
      </c>
      <c r="AE35" s="11"/>
      <c r="AF35" s="11"/>
      <c r="AG35" s="11"/>
      <c r="AH35" s="11"/>
      <c r="AI35" s="11"/>
      <c r="AJ35" s="11"/>
      <c r="AK35" s="11"/>
      <c r="AL35" s="14"/>
    </row>
    <row r="36" spans="1:38" ht="25.05" customHeight="1">
      <c r="B36" s="13"/>
      <c r="C36" s="29"/>
      <c r="D36" s="30"/>
      <c r="E36" s="19" t="s">
        <v>2374</v>
      </c>
      <c r="F36" s="8" t="s">
        <v>42</v>
      </c>
      <c r="G36" s="9">
        <v>0.40625</v>
      </c>
      <c r="H36" s="9">
        <v>0.4152777777777778</v>
      </c>
      <c r="I36" s="10">
        <f t="shared" si="8"/>
        <v>9.0277777777778012E-3</v>
      </c>
      <c r="J36" s="11">
        <v>4</v>
      </c>
      <c r="K36" s="62">
        <v>120.42</v>
      </c>
      <c r="L36" s="16">
        <f t="shared" si="9"/>
        <v>138.94615384615349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/>
      <c r="AC36" s="11"/>
      <c r="AD36" s="11">
        <v>13</v>
      </c>
      <c r="AE36" s="11"/>
      <c r="AF36" s="11"/>
      <c r="AG36" s="11"/>
      <c r="AH36" s="11"/>
      <c r="AI36" s="11"/>
      <c r="AJ36" s="11"/>
      <c r="AK36" s="11"/>
      <c r="AL36" s="14"/>
    </row>
    <row r="37" spans="1:38" ht="25.05" customHeight="1">
      <c r="B37" s="13"/>
      <c r="C37" s="29"/>
      <c r="D37" s="30"/>
      <c r="E37" s="19" t="s">
        <v>2375</v>
      </c>
      <c r="F37" s="8" t="s">
        <v>42</v>
      </c>
      <c r="G37" s="9">
        <v>0.42708333333333331</v>
      </c>
      <c r="H37" s="9">
        <v>0.43958333333333333</v>
      </c>
      <c r="I37" s="10">
        <f t="shared" si="8"/>
        <v>1.2500000000000011E-2</v>
      </c>
      <c r="J37" s="11">
        <v>4</v>
      </c>
      <c r="K37" s="62">
        <v>120</v>
      </c>
      <c r="L37" s="16">
        <f t="shared" si="9"/>
        <v>99.999999999999901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/>
      <c r="AD37" s="11">
        <v>18</v>
      </c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/>
      <c r="E38" s="19" t="s">
        <v>2376</v>
      </c>
      <c r="F38" s="8" t="s">
        <v>42</v>
      </c>
      <c r="G38" s="9">
        <v>0.36458333333333331</v>
      </c>
      <c r="H38" s="9">
        <v>0.36469907407407409</v>
      </c>
      <c r="I38" s="10">
        <f t="shared" ref="I38:I100" si="10">H38-G38</f>
        <v>1.1574074074077734E-4</v>
      </c>
      <c r="J38" s="11">
        <v>4</v>
      </c>
      <c r="K38" s="62" t="s">
        <v>42</v>
      </c>
      <c r="L38" s="16" t="str">
        <f t="shared" ref="L38:L100" si="11">IFERROR(((K38/(J38*I38)/24)),"0")</f>
        <v>0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/>
      <c r="X38" s="11"/>
      <c r="Y38" s="11"/>
      <c r="Z38" s="11"/>
      <c r="AA38" s="11"/>
      <c r="AB38" s="11"/>
      <c r="AC38" s="11"/>
      <c r="AD38" s="11">
        <v>1</v>
      </c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 t="s">
        <v>2377</v>
      </c>
      <c r="F39" s="8" t="s">
        <v>42</v>
      </c>
      <c r="G39" s="9">
        <v>0.36736111111111114</v>
      </c>
      <c r="H39" s="9">
        <v>0.36747685185185186</v>
      </c>
      <c r="I39" s="10">
        <f t="shared" si="10"/>
        <v>1.1574074074072183E-4</v>
      </c>
      <c r="J39" s="11">
        <v>4</v>
      </c>
      <c r="K39" s="62" t="s">
        <v>42</v>
      </c>
      <c r="L39" s="16" t="str">
        <f t="shared" si="11"/>
        <v>0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/>
      <c r="X39" s="11"/>
      <c r="Y39" s="11"/>
      <c r="Z39" s="11"/>
      <c r="AA39" s="11"/>
      <c r="AB39" s="11"/>
      <c r="AC39" s="11"/>
      <c r="AD39" s="11">
        <v>1</v>
      </c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 t="s">
        <v>2378</v>
      </c>
      <c r="F40" s="8" t="s">
        <v>42</v>
      </c>
      <c r="G40" s="9">
        <v>0.37013888888888891</v>
      </c>
      <c r="H40" s="9">
        <v>0.37025462962962963</v>
      </c>
      <c r="I40" s="10">
        <f t="shared" si="10"/>
        <v>1.1574074074072183E-4</v>
      </c>
      <c r="J40" s="11">
        <v>4</v>
      </c>
      <c r="K40" s="62" t="s">
        <v>42</v>
      </c>
      <c r="L40" s="16" t="str">
        <f t="shared" si="11"/>
        <v>0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/>
      <c r="X40" s="11"/>
      <c r="Y40" s="11"/>
      <c r="Z40" s="11"/>
      <c r="AA40" s="11"/>
      <c r="AB40" s="11"/>
      <c r="AC40" s="11"/>
      <c r="AD40" s="11">
        <v>1</v>
      </c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2379</v>
      </c>
      <c r="F41" s="8" t="s">
        <v>42</v>
      </c>
      <c r="G41" s="9">
        <v>0.39374999999999999</v>
      </c>
      <c r="H41" s="9">
        <v>0.39386574074074077</v>
      </c>
      <c r="I41" s="10">
        <f t="shared" si="10"/>
        <v>1.1574074074077734E-4</v>
      </c>
      <c r="J41" s="11">
        <v>4</v>
      </c>
      <c r="K41" s="62" t="s">
        <v>42</v>
      </c>
      <c r="L41" s="16" t="str">
        <f t="shared" si="11"/>
        <v>0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/>
      <c r="X41" s="11"/>
      <c r="Y41" s="11"/>
      <c r="Z41" s="11"/>
      <c r="AA41" s="11"/>
      <c r="AB41" s="11"/>
      <c r="AC41" s="11"/>
      <c r="AD41" s="11">
        <v>1</v>
      </c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2380</v>
      </c>
      <c r="F42" s="8" t="s">
        <v>42</v>
      </c>
      <c r="G42" s="9">
        <v>0.3972222222222222</v>
      </c>
      <c r="H42" s="9">
        <v>0.39733796296296298</v>
      </c>
      <c r="I42" s="10">
        <f t="shared" si="10"/>
        <v>1.1574074074077734E-4</v>
      </c>
      <c r="J42" s="11">
        <v>4</v>
      </c>
      <c r="K42" s="62" t="s">
        <v>42</v>
      </c>
      <c r="L42" s="16" t="str">
        <f t="shared" si="11"/>
        <v>0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/>
      <c r="X42" s="11"/>
      <c r="Y42" s="11"/>
      <c r="Z42" s="11"/>
      <c r="AA42" s="11"/>
      <c r="AB42" s="11"/>
      <c r="AC42" s="11"/>
      <c r="AD42" s="11">
        <v>1</v>
      </c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 t="s">
        <v>2381</v>
      </c>
      <c r="F43" s="8" t="s">
        <v>42</v>
      </c>
      <c r="G43" s="9">
        <v>0.40763888888888888</v>
      </c>
      <c r="H43" s="9">
        <v>0.40775462962962961</v>
      </c>
      <c r="I43" s="10">
        <f t="shared" si="10"/>
        <v>1.1574074074072183E-4</v>
      </c>
      <c r="J43" s="11">
        <v>4</v>
      </c>
      <c r="K43" s="62" t="s">
        <v>42</v>
      </c>
      <c r="L43" s="16" t="str">
        <f t="shared" si="11"/>
        <v>0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/>
      <c r="X43" s="11"/>
      <c r="Y43" s="11"/>
      <c r="Z43" s="11"/>
      <c r="AA43" s="11"/>
      <c r="AB43" s="11"/>
      <c r="AC43" s="11"/>
      <c r="AD43" s="11">
        <v>1</v>
      </c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2382</v>
      </c>
      <c r="F44" s="8" t="s">
        <v>42</v>
      </c>
      <c r="G44" s="9">
        <v>0.41111111111111109</v>
      </c>
      <c r="H44" s="9">
        <v>0.41122685185185187</v>
      </c>
      <c r="I44" s="10">
        <f t="shared" si="10"/>
        <v>1.1574074074077734E-4</v>
      </c>
      <c r="J44" s="11">
        <v>4</v>
      </c>
      <c r="K44" s="62" t="s">
        <v>42</v>
      </c>
      <c r="L44" s="16" t="str">
        <f t="shared" si="11"/>
        <v>0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/>
      <c r="X44" s="11"/>
      <c r="Y44" s="11"/>
      <c r="Z44" s="11"/>
      <c r="AA44" s="11"/>
      <c r="AB44" s="11"/>
      <c r="AC44" s="11"/>
      <c r="AD44" s="11">
        <v>1</v>
      </c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2383</v>
      </c>
      <c r="F45" s="8" t="s">
        <v>42</v>
      </c>
      <c r="G45" s="9">
        <v>0.37152777777777779</v>
      </c>
      <c r="H45" s="9">
        <v>0.38680555555555557</v>
      </c>
      <c r="I45" s="10">
        <f t="shared" si="10"/>
        <v>1.5277777777777779E-2</v>
      </c>
      <c r="J45" s="11">
        <v>2</v>
      </c>
      <c r="K45" s="62" t="s">
        <v>42</v>
      </c>
      <c r="L45" s="16" t="str">
        <f t="shared" si="11"/>
        <v>0</v>
      </c>
      <c r="M45" s="11">
        <v>22</v>
      </c>
      <c r="N45" s="11"/>
      <c r="O45" s="11"/>
      <c r="P45" s="11"/>
      <c r="Q45" s="11"/>
      <c r="R45" s="12"/>
      <c r="S45" s="12"/>
      <c r="T45" s="11"/>
      <c r="U45" s="11"/>
      <c r="V45" s="12"/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2384</v>
      </c>
      <c r="F46" s="8" t="s">
        <v>42</v>
      </c>
      <c r="G46" s="9">
        <v>0.4</v>
      </c>
      <c r="H46" s="9">
        <v>0.41388888888888886</v>
      </c>
      <c r="I46" s="10">
        <f t="shared" si="10"/>
        <v>1.388888888888884E-2</v>
      </c>
      <c r="J46" s="11">
        <v>2</v>
      </c>
      <c r="K46" s="62" t="s">
        <v>42</v>
      </c>
      <c r="L46" s="16" t="str">
        <f t="shared" si="11"/>
        <v>0</v>
      </c>
      <c r="M46" s="11">
        <v>20</v>
      </c>
      <c r="N46" s="11"/>
      <c r="O46" s="11"/>
      <c r="P46" s="11"/>
      <c r="Q46" s="11"/>
      <c r="R46" s="12"/>
      <c r="S46" s="12"/>
      <c r="T46" s="11"/>
      <c r="U46" s="11"/>
      <c r="V46" s="12"/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 t="s">
        <v>1943</v>
      </c>
      <c r="F47" s="8" t="s">
        <v>42</v>
      </c>
      <c r="G47" s="9">
        <v>0.2951388888888889</v>
      </c>
      <c r="H47" s="9">
        <v>0.33333333333333331</v>
      </c>
      <c r="I47" s="10">
        <f t="shared" si="10"/>
        <v>3.819444444444442E-2</v>
      </c>
      <c r="J47" s="11">
        <v>3</v>
      </c>
      <c r="K47" s="62">
        <v>121.35</v>
      </c>
      <c r="L47" s="16">
        <f t="shared" si="11"/>
        <v>44.127272727272754</v>
      </c>
      <c r="M47" s="11">
        <v>20</v>
      </c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/>
      <c r="AC47" s="11"/>
      <c r="AD47" s="11"/>
      <c r="AE47" s="11"/>
      <c r="AF47" s="11"/>
      <c r="AG47" s="11">
        <v>13.75</v>
      </c>
      <c r="AH47" s="11">
        <v>13.75</v>
      </c>
      <c r="AI47" s="11">
        <v>13.75</v>
      </c>
      <c r="AJ47" s="11">
        <v>13.75</v>
      </c>
      <c r="AK47" s="11"/>
      <c r="AL47" s="14"/>
    </row>
    <row r="48" spans="1:38" ht="25.05" customHeight="1">
      <c r="B48" s="13"/>
      <c r="C48" s="29"/>
      <c r="D48" s="30"/>
      <c r="E48" s="19" t="s">
        <v>1944</v>
      </c>
      <c r="F48" s="8" t="s">
        <v>42</v>
      </c>
      <c r="G48" s="9">
        <v>0.41111111111111109</v>
      </c>
      <c r="H48" s="9">
        <v>0.44930555555555557</v>
      </c>
      <c r="I48" s="10">
        <f t="shared" si="10"/>
        <v>3.8194444444444475E-2</v>
      </c>
      <c r="J48" s="11">
        <v>3</v>
      </c>
      <c r="K48" s="62">
        <v>118.65</v>
      </c>
      <c r="L48" s="16">
        <f t="shared" si="11"/>
        <v>43.14545454545452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/>
      <c r="X48" s="11"/>
      <c r="Y48" s="11"/>
      <c r="Z48" s="11"/>
      <c r="AA48" s="11"/>
      <c r="AB48" s="11"/>
      <c r="AC48" s="11"/>
      <c r="AD48" s="11"/>
      <c r="AE48" s="11"/>
      <c r="AF48" s="11"/>
      <c r="AG48" s="11">
        <v>18.329999999999998</v>
      </c>
      <c r="AH48" s="11">
        <v>18.329999999999998</v>
      </c>
      <c r="AI48" s="11">
        <v>18.329999999999998</v>
      </c>
      <c r="AJ48" s="11"/>
      <c r="AK48" s="11"/>
      <c r="AL48" s="14"/>
    </row>
    <row r="49" spans="2:38" ht="25.05" customHeight="1">
      <c r="B49" s="13"/>
      <c r="C49" s="29"/>
      <c r="D49" s="30"/>
      <c r="E49" s="19" t="s">
        <v>2385</v>
      </c>
      <c r="F49" s="8" t="s">
        <v>42</v>
      </c>
      <c r="G49" s="9">
        <v>0.34930555555555554</v>
      </c>
      <c r="H49" s="9">
        <v>0.35625000000000001</v>
      </c>
      <c r="I49" s="10">
        <f t="shared" si="10"/>
        <v>6.9444444444444753E-3</v>
      </c>
      <c r="J49" s="11">
        <v>3</v>
      </c>
      <c r="K49" s="62">
        <v>63.16</v>
      </c>
      <c r="L49" s="16">
        <f t="shared" si="11"/>
        <v>126.31999999999942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/>
      <c r="AC49" s="11">
        <v>10</v>
      </c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2386</v>
      </c>
      <c r="F50" s="8" t="s">
        <v>42</v>
      </c>
      <c r="G50" s="9">
        <v>0.35</v>
      </c>
      <c r="H50" s="9">
        <v>0.35694444444444445</v>
      </c>
      <c r="I50" s="10">
        <f t="shared" si="10"/>
        <v>6.9444444444444753E-3</v>
      </c>
      <c r="J50" s="11">
        <v>3</v>
      </c>
      <c r="K50" s="62">
        <v>63.79</v>
      </c>
      <c r="L50" s="16">
        <f t="shared" si="11"/>
        <v>127.57999999999943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/>
      <c r="AB50" s="11">
        <v>10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2387</v>
      </c>
      <c r="F51" s="8" t="s">
        <v>42</v>
      </c>
      <c r="G51" s="9">
        <v>0.36319444444444443</v>
      </c>
      <c r="H51" s="9">
        <v>0.36805555555555558</v>
      </c>
      <c r="I51" s="10">
        <f t="shared" si="10"/>
        <v>4.8611111111111494E-3</v>
      </c>
      <c r="J51" s="11">
        <v>3</v>
      </c>
      <c r="K51" s="62">
        <v>66.33</v>
      </c>
      <c r="L51" s="16">
        <f t="shared" si="11"/>
        <v>189.51428571428423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/>
      <c r="AB51" s="11">
        <v>7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2388</v>
      </c>
      <c r="F52" s="8" t="s">
        <v>42</v>
      </c>
      <c r="G52" s="9">
        <v>0.36458333333333331</v>
      </c>
      <c r="H52" s="9">
        <v>0.37152777777777779</v>
      </c>
      <c r="I52" s="10">
        <f t="shared" si="10"/>
        <v>6.9444444444444753E-3</v>
      </c>
      <c r="J52" s="11">
        <v>3</v>
      </c>
      <c r="K52" s="62">
        <v>62.92</v>
      </c>
      <c r="L52" s="16">
        <f t="shared" si="11"/>
        <v>125.83999999999945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/>
      <c r="AC52" s="11">
        <v>10</v>
      </c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2389</v>
      </c>
      <c r="F53" s="8" t="s">
        <v>42</v>
      </c>
      <c r="G53" s="9">
        <v>0.37361111111111112</v>
      </c>
      <c r="H53" s="9">
        <v>0.38055555555555554</v>
      </c>
      <c r="I53" s="10">
        <f t="shared" si="10"/>
        <v>6.9444444444444198E-3</v>
      </c>
      <c r="J53" s="11">
        <v>3</v>
      </c>
      <c r="K53" s="62">
        <v>65.88</v>
      </c>
      <c r="L53" s="16">
        <f t="shared" si="11"/>
        <v>131.76000000000047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>
        <v>10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2390</v>
      </c>
      <c r="F54" s="8" t="s">
        <v>42</v>
      </c>
      <c r="G54" s="9">
        <v>0.37986111111111109</v>
      </c>
      <c r="H54" s="9">
        <v>0.38819444444444445</v>
      </c>
      <c r="I54" s="10">
        <f t="shared" si="10"/>
        <v>8.3333333333333592E-3</v>
      </c>
      <c r="J54" s="11">
        <v>3</v>
      </c>
      <c r="K54" s="62">
        <v>60.18</v>
      </c>
      <c r="L54" s="16">
        <f t="shared" si="11"/>
        <v>100.29999999999968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/>
      <c r="AC54" s="11">
        <v>12</v>
      </c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2391</v>
      </c>
      <c r="F55" s="8" t="s">
        <v>42</v>
      </c>
      <c r="G55" s="9">
        <v>0.38541666666666669</v>
      </c>
      <c r="H55" s="9">
        <v>0.39305555555555555</v>
      </c>
      <c r="I55" s="10">
        <f t="shared" si="10"/>
        <v>7.6388888888888618E-3</v>
      </c>
      <c r="J55" s="11">
        <v>3</v>
      </c>
      <c r="K55" s="62">
        <v>65.3</v>
      </c>
      <c r="L55" s="16">
        <f t="shared" si="11"/>
        <v>118.72727272727315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>
        <v>11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2392</v>
      </c>
      <c r="F56" s="8" t="s">
        <v>42</v>
      </c>
      <c r="G56" s="9">
        <v>0.39583333333333331</v>
      </c>
      <c r="H56" s="9">
        <v>0.40208333333333335</v>
      </c>
      <c r="I56" s="10">
        <f t="shared" si="10"/>
        <v>6.2500000000000333E-3</v>
      </c>
      <c r="J56" s="11">
        <v>3</v>
      </c>
      <c r="K56" s="62">
        <v>62.61</v>
      </c>
      <c r="L56" s="16">
        <f t="shared" si="11"/>
        <v>139.13333333333259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>
        <v>9</v>
      </c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2393</v>
      </c>
      <c r="F57" s="8" t="s">
        <v>42</v>
      </c>
      <c r="G57" s="9">
        <v>0.40833333333333333</v>
      </c>
      <c r="H57" s="9">
        <v>0.41666666666666669</v>
      </c>
      <c r="I57" s="10">
        <f t="shared" si="10"/>
        <v>8.3333333333333592E-3</v>
      </c>
      <c r="J57" s="11">
        <v>3</v>
      </c>
      <c r="K57" s="62">
        <v>64.400000000000006</v>
      </c>
      <c r="L57" s="16">
        <f t="shared" si="11"/>
        <v>107.33333333333302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>
        <v>12</v>
      </c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2394</v>
      </c>
      <c r="F58" s="8" t="s">
        <v>42</v>
      </c>
      <c r="G58" s="9">
        <v>0.42430555555555555</v>
      </c>
      <c r="H58" s="9">
        <v>0.43472222222222223</v>
      </c>
      <c r="I58" s="10">
        <f t="shared" si="10"/>
        <v>1.0416666666666685E-2</v>
      </c>
      <c r="J58" s="11">
        <v>3</v>
      </c>
      <c r="K58" s="62">
        <v>65.62</v>
      </c>
      <c r="L58" s="16">
        <f t="shared" si="11"/>
        <v>87.493333333333183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/>
      <c r="AA58" s="11"/>
      <c r="AB58" s="11"/>
      <c r="AC58" s="11">
        <v>15</v>
      </c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/>
      <c r="F59" s="8" t="s">
        <v>42</v>
      </c>
      <c r="G59" s="9"/>
      <c r="H59" s="9"/>
      <c r="I59" s="10">
        <f t="shared" si="10"/>
        <v>0</v>
      </c>
      <c r="J59" s="11"/>
      <c r="K59" s="62"/>
      <c r="L59" s="16" t="str">
        <f t="shared" si="11"/>
        <v>0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 t="s">
        <v>2219</v>
      </c>
      <c r="E60" s="19" t="s">
        <v>2395</v>
      </c>
      <c r="F60" s="8" t="s">
        <v>42</v>
      </c>
      <c r="G60" s="9">
        <v>0.42152777777777778</v>
      </c>
      <c r="H60" s="9">
        <v>0.42430555555555555</v>
      </c>
      <c r="I60" s="10">
        <f t="shared" si="10"/>
        <v>2.7777777777777679E-3</v>
      </c>
      <c r="J60" s="11">
        <v>6</v>
      </c>
      <c r="K60" s="62">
        <v>50.67</v>
      </c>
      <c r="L60" s="16">
        <f t="shared" si="11"/>
        <v>126.67500000000045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3</v>
      </c>
      <c r="X60" s="11"/>
      <c r="Y60" s="11"/>
      <c r="Z60" s="11"/>
      <c r="AA60" s="11"/>
      <c r="AB60" s="11">
        <v>4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2396</v>
      </c>
      <c r="F61" s="8" t="s">
        <v>42</v>
      </c>
      <c r="G61" s="9">
        <v>0.42986111111111114</v>
      </c>
      <c r="H61" s="9">
        <v>0.43263888888888891</v>
      </c>
      <c r="I61" s="10">
        <f t="shared" si="10"/>
        <v>2.7777777777777679E-3</v>
      </c>
      <c r="J61" s="11">
        <v>6</v>
      </c>
      <c r="K61" s="62">
        <v>50.64</v>
      </c>
      <c r="L61" s="16">
        <f t="shared" si="11"/>
        <v>126.60000000000046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3</v>
      </c>
      <c r="W61" s="12"/>
      <c r="X61" s="11"/>
      <c r="Y61" s="11"/>
      <c r="Z61" s="11"/>
      <c r="AA61" s="11"/>
      <c r="AB61" s="11">
        <v>4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2397</v>
      </c>
      <c r="F62" s="8" t="s">
        <v>42</v>
      </c>
      <c r="G62" s="9">
        <v>0.43819444444444444</v>
      </c>
      <c r="H62" s="9">
        <v>0.44027777777777777</v>
      </c>
      <c r="I62" s="10">
        <f t="shared" si="10"/>
        <v>2.0833333333333259E-3</v>
      </c>
      <c r="J62" s="11">
        <v>6</v>
      </c>
      <c r="K62" s="62">
        <v>50.33</v>
      </c>
      <c r="L62" s="16">
        <f t="shared" si="11"/>
        <v>167.76666666666725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3</v>
      </c>
      <c r="X62" s="11"/>
      <c r="Y62" s="11"/>
      <c r="Z62" s="11"/>
      <c r="AA62" s="11"/>
      <c r="AB62" s="11">
        <v>4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2398</v>
      </c>
      <c r="F63" s="8" t="s">
        <v>42</v>
      </c>
      <c r="G63" s="9">
        <v>0.44374999999999998</v>
      </c>
      <c r="H63" s="9">
        <v>0.44583333333333336</v>
      </c>
      <c r="I63" s="10">
        <f t="shared" si="10"/>
        <v>2.0833333333333814E-3</v>
      </c>
      <c r="J63" s="11">
        <v>6</v>
      </c>
      <c r="K63" s="62">
        <v>50.92</v>
      </c>
      <c r="L63" s="16">
        <f t="shared" si="11"/>
        <v>169.73333333332943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3</v>
      </c>
      <c r="X63" s="11"/>
      <c r="Y63" s="11"/>
      <c r="Z63" s="11"/>
      <c r="AA63" s="11"/>
      <c r="AB63" s="11"/>
      <c r="AC63" s="11">
        <v>3</v>
      </c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2399</v>
      </c>
      <c r="F64" s="8" t="s">
        <v>42</v>
      </c>
      <c r="G64" s="9">
        <v>0.45</v>
      </c>
      <c r="H64" s="9">
        <v>0.45277777777777778</v>
      </c>
      <c r="I64" s="10">
        <f t="shared" si="10"/>
        <v>2.7777777777777679E-3</v>
      </c>
      <c r="J64" s="11">
        <v>6</v>
      </c>
      <c r="K64" s="62">
        <v>51.1</v>
      </c>
      <c r="L64" s="16">
        <f t="shared" si="11"/>
        <v>127.75000000000045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3</v>
      </c>
      <c r="W64" s="12"/>
      <c r="X64" s="11"/>
      <c r="Y64" s="11"/>
      <c r="Z64" s="11"/>
      <c r="AA64" s="11"/>
      <c r="AB64" s="11">
        <v>3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2400</v>
      </c>
      <c r="F65" s="8" t="s">
        <v>42</v>
      </c>
      <c r="G65" s="9">
        <v>0.45694444444444443</v>
      </c>
      <c r="H65" s="9">
        <v>0.45902777777777776</v>
      </c>
      <c r="I65" s="10">
        <f t="shared" si="10"/>
        <v>2.0833333333333259E-3</v>
      </c>
      <c r="J65" s="11">
        <v>6</v>
      </c>
      <c r="K65" s="62">
        <v>50.66</v>
      </c>
      <c r="L65" s="16">
        <f t="shared" si="11"/>
        <v>168.86666666666727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3</v>
      </c>
      <c r="X65" s="11"/>
      <c r="Y65" s="11"/>
      <c r="Z65" s="11"/>
      <c r="AA65" s="11"/>
      <c r="AB65" s="11"/>
      <c r="AC65" s="11">
        <v>4</v>
      </c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2401</v>
      </c>
      <c r="F66" s="8" t="s">
        <v>42</v>
      </c>
      <c r="G66" s="9">
        <v>0.46319444444444446</v>
      </c>
      <c r="H66" s="9">
        <v>0.46597222222222223</v>
      </c>
      <c r="I66" s="10">
        <f t="shared" si="10"/>
        <v>2.7777777777777679E-3</v>
      </c>
      <c r="J66" s="11">
        <v>6</v>
      </c>
      <c r="K66" s="62">
        <v>49.64</v>
      </c>
      <c r="L66" s="16">
        <f t="shared" si="11"/>
        <v>124.10000000000043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3</v>
      </c>
      <c r="W66" s="12"/>
      <c r="X66" s="11"/>
      <c r="Y66" s="11"/>
      <c r="Z66" s="11"/>
      <c r="AA66" s="11"/>
      <c r="AB66" s="11">
        <v>3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2402</v>
      </c>
      <c r="F67" s="8" t="s">
        <v>42</v>
      </c>
      <c r="G67" s="9">
        <v>0.46944444444444444</v>
      </c>
      <c r="H67" s="9">
        <v>0.47222222222222221</v>
      </c>
      <c r="I67" s="10">
        <f t="shared" si="10"/>
        <v>2.7777777777777679E-3</v>
      </c>
      <c r="J67" s="11">
        <v>6</v>
      </c>
      <c r="K67" s="62">
        <v>50.52</v>
      </c>
      <c r="L67" s="16">
        <f t="shared" si="11"/>
        <v>126.30000000000045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3</v>
      </c>
      <c r="X67" s="11"/>
      <c r="Y67" s="11"/>
      <c r="Z67" s="11"/>
      <c r="AA67" s="11"/>
      <c r="AB67" s="11"/>
      <c r="AC67" s="11">
        <v>4</v>
      </c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2403</v>
      </c>
      <c r="F68" s="8" t="s">
        <v>42</v>
      </c>
      <c r="G68" s="9">
        <v>0.47430555555555554</v>
      </c>
      <c r="H68" s="9">
        <v>0.47708333333333336</v>
      </c>
      <c r="I68" s="10">
        <f t="shared" si="10"/>
        <v>2.7777777777778234E-3</v>
      </c>
      <c r="J68" s="11">
        <v>6</v>
      </c>
      <c r="K68" s="62">
        <v>50.86</v>
      </c>
      <c r="L68" s="16">
        <f t="shared" si="11"/>
        <v>127.14999999999792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3</v>
      </c>
      <c r="X68" s="11"/>
      <c r="Y68" s="11"/>
      <c r="Z68" s="11"/>
      <c r="AA68" s="11"/>
      <c r="AB68" s="11">
        <v>4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2404</v>
      </c>
      <c r="F69" s="8" t="s">
        <v>42</v>
      </c>
      <c r="G69" s="9">
        <v>0.32083333333333336</v>
      </c>
      <c r="H69" s="9">
        <v>0.32708333333333334</v>
      </c>
      <c r="I69" s="10">
        <f t="shared" si="10"/>
        <v>6.2499999999999778E-3</v>
      </c>
      <c r="J69" s="11">
        <v>3</v>
      </c>
      <c r="K69" s="62">
        <v>21.72</v>
      </c>
      <c r="L69" s="16">
        <f t="shared" si="11"/>
        <v>48.266666666666829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/>
      <c r="AB69" s="11"/>
      <c r="AC69" s="11">
        <v>9</v>
      </c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/>
      <c r="F70" s="8" t="s">
        <v>42</v>
      </c>
      <c r="G70" s="9"/>
      <c r="H70" s="9"/>
      <c r="I70" s="10">
        <f t="shared" si="10"/>
        <v>0</v>
      </c>
      <c r="J70" s="11"/>
      <c r="K70" s="62"/>
      <c r="L70" s="16" t="str">
        <f t="shared" si="11"/>
        <v>0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 t="s">
        <v>2069</v>
      </c>
      <c r="E71" s="19" t="s">
        <v>2087</v>
      </c>
      <c r="F71" s="8" t="s">
        <v>42</v>
      </c>
      <c r="G71" s="9">
        <v>0.62361111111111112</v>
      </c>
      <c r="H71" s="9">
        <v>0.6875</v>
      </c>
      <c r="I71" s="10">
        <f t="shared" si="10"/>
        <v>6.3888888888888884E-2</v>
      </c>
      <c r="J71" s="11">
        <v>4</v>
      </c>
      <c r="K71" s="62">
        <v>90.93</v>
      </c>
      <c r="L71" s="16">
        <f t="shared" si="11"/>
        <v>14.825543478260871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/>
      <c r="AD71" s="11">
        <v>92</v>
      </c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2088</v>
      </c>
      <c r="F72" s="8" t="s">
        <v>42</v>
      </c>
      <c r="G72" s="9">
        <v>0.625</v>
      </c>
      <c r="H72" s="9">
        <v>0.69166666666666665</v>
      </c>
      <c r="I72" s="10">
        <f t="shared" si="10"/>
        <v>6.6666666666666652E-2</v>
      </c>
      <c r="J72" s="11">
        <v>4</v>
      </c>
      <c r="K72" s="62">
        <v>92.24</v>
      </c>
      <c r="L72" s="16">
        <f t="shared" si="11"/>
        <v>14.412500000000001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/>
      <c r="Y72" s="11"/>
      <c r="Z72" s="11"/>
      <c r="AA72" s="11"/>
      <c r="AB72" s="11"/>
      <c r="AC72" s="11"/>
      <c r="AD72" s="11">
        <v>96</v>
      </c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2405</v>
      </c>
      <c r="F73" s="8" t="s">
        <v>42</v>
      </c>
      <c r="G73" s="9">
        <v>0.55069444444444449</v>
      </c>
      <c r="H73" s="9">
        <v>0.5541666666666667</v>
      </c>
      <c r="I73" s="10">
        <f t="shared" si="10"/>
        <v>3.4722222222222099E-3</v>
      </c>
      <c r="J73" s="11">
        <v>3</v>
      </c>
      <c r="K73" s="62">
        <v>62.58</v>
      </c>
      <c r="L73" s="16">
        <f t="shared" si="11"/>
        <v>250.32000000000087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/>
      <c r="Y73" s="11"/>
      <c r="Z73" s="11"/>
      <c r="AA73" s="11"/>
      <c r="AB73" s="11"/>
      <c r="AC73" s="11">
        <v>5</v>
      </c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2406</v>
      </c>
      <c r="F74" s="8" t="s">
        <v>42</v>
      </c>
      <c r="G74" s="9">
        <v>0.57361111111111107</v>
      </c>
      <c r="H74" s="9">
        <v>0.57638888888888884</v>
      </c>
      <c r="I74" s="10">
        <f t="shared" si="10"/>
        <v>2.7777777777777679E-3</v>
      </c>
      <c r="J74" s="11">
        <v>3</v>
      </c>
      <c r="K74" s="62">
        <v>61.87</v>
      </c>
      <c r="L74" s="16">
        <f t="shared" si="11"/>
        <v>309.3500000000011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/>
      <c r="Y74" s="11"/>
      <c r="Z74" s="11"/>
      <c r="AA74" s="11"/>
      <c r="AB74" s="11"/>
      <c r="AC74" s="11">
        <v>4</v>
      </c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2407</v>
      </c>
      <c r="F75" s="8" t="s">
        <v>42</v>
      </c>
      <c r="G75" s="9">
        <v>0.57499999999999996</v>
      </c>
      <c r="H75" s="9">
        <v>0.57777777777777772</v>
      </c>
      <c r="I75" s="10">
        <f t="shared" si="10"/>
        <v>2.7777777777777679E-3</v>
      </c>
      <c r="J75" s="11">
        <v>3</v>
      </c>
      <c r="K75" s="62">
        <v>61.78</v>
      </c>
      <c r="L75" s="16">
        <f t="shared" si="11"/>
        <v>308.90000000000111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/>
      <c r="X75" s="11"/>
      <c r="Y75" s="11"/>
      <c r="Z75" s="11"/>
      <c r="AA75" s="11"/>
      <c r="AB75" s="11">
        <v>4</v>
      </c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2408</v>
      </c>
      <c r="F76" s="8" t="s">
        <v>42</v>
      </c>
      <c r="G76" s="9">
        <v>0.58263888888888893</v>
      </c>
      <c r="H76" s="9">
        <v>0.58958333333333335</v>
      </c>
      <c r="I76" s="10">
        <f t="shared" si="10"/>
        <v>6.9444444444444198E-3</v>
      </c>
      <c r="J76" s="11">
        <v>3</v>
      </c>
      <c r="K76" s="62">
        <v>60.82</v>
      </c>
      <c r="L76" s="16">
        <f t="shared" si="11"/>
        <v>121.64000000000044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/>
      <c r="X76" s="11"/>
      <c r="Y76" s="11"/>
      <c r="Z76" s="11"/>
      <c r="AA76" s="11"/>
      <c r="AB76" s="11">
        <v>10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2409</v>
      </c>
      <c r="F77" s="8" t="s">
        <v>42</v>
      </c>
      <c r="G77" s="9">
        <v>0.58333333333333337</v>
      </c>
      <c r="H77" s="9">
        <v>0.58958333333333335</v>
      </c>
      <c r="I77" s="10">
        <f t="shared" si="10"/>
        <v>6.2499999999999778E-3</v>
      </c>
      <c r="J77" s="11">
        <v>3</v>
      </c>
      <c r="K77" s="62">
        <v>60.09</v>
      </c>
      <c r="L77" s="16">
        <f t="shared" si="11"/>
        <v>133.53333333333381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/>
      <c r="X77" s="11"/>
      <c r="Y77" s="11"/>
      <c r="Z77" s="11"/>
      <c r="AA77" s="11"/>
      <c r="AB77" s="11"/>
      <c r="AC77" s="11">
        <v>9</v>
      </c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2410</v>
      </c>
      <c r="F78" s="8" t="s">
        <v>42</v>
      </c>
      <c r="G78" s="9">
        <v>0.59652777777777777</v>
      </c>
      <c r="H78" s="9">
        <v>0.60069444444444442</v>
      </c>
      <c r="I78" s="10">
        <f t="shared" si="10"/>
        <v>4.1666666666666519E-3</v>
      </c>
      <c r="J78" s="11">
        <v>3</v>
      </c>
      <c r="K78" s="62">
        <v>61.9</v>
      </c>
      <c r="L78" s="16">
        <f t="shared" si="11"/>
        <v>206.33333333333405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/>
      <c r="X78" s="11"/>
      <c r="Y78" s="11"/>
      <c r="Z78" s="11"/>
      <c r="AA78" s="11"/>
      <c r="AB78" s="11"/>
      <c r="AC78" s="11">
        <v>6</v>
      </c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2090</v>
      </c>
      <c r="F79" s="8" t="s">
        <v>42</v>
      </c>
      <c r="G79" s="9">
        <v>0.55694444444444446</v>
      </c>
      <c r="H79" s="9">
        <v>0.55700231481481477</v>
      </c>
      <c r="I79" s="10">
        <f t="shared" si="10"/>
        <v>5.7870370370305402E-5</v>
      </c>
      <c r="J79" s="11">
        <v>1</v>
      </c>
      <c r="K79" s="62">
        <v>1.85</v>
      </c>
      <c r="L79" s="16">
        <f t="shared" si="11"/>
        <v>1332.0000000014954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/>
      <c r="X79" s="11"/>
      <c r="Y79" s="11"/>
      <c r="Z79" s="11"/>
      <c r="AA79" s="11"/>
      <c r="AB79" s="11"/>
      <c r="AC79" s="11"/>
      <c r="AD79" s="11"/>
      <c r="AE79" s="11">
        <v>1</v>
      </c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127" t="s">
        <v>2411</v>
      </c>
      <c r="E80" s="19" t="s">
        <v>2091</v>
      </c>
      <c r="F80" s="8" t="s">
        <v>42</v>
      </c>
      <c r="G80" s="9">
        <v>0.55000000000000004</v>
      </c>
      <c r="H80" s="9">
        <v>0.57777777777777772</v>
      </c>
      <c r="I80" s="10">
        <f t="shared" si="10"/>
        <v>2.7777777777777679E-2</v>
      </c>
      <c r="J80" s="11">
        <v>4</v>
      </c>
      <c r="K80" s="62">
        <f>4.11*20</f>
        <v>82.2</v>
      </c>
      <c r="L80" s="16">
        <f t="shared" si="11"/>
        <v>30.825000000000113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/>
      <c r="X80" s="11">
        <v>40</v>
      </c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2092</v>
      </c>
      <c r="F81" s="8" t="s">
        <v>42</v>
      </c>
      <c r="G81" s="9">
        <v>0.55902777777777779</v>
      </c>
      <c r="H81" s="9">
        <v>0.58680555555555558</v>
      </c>
      <c r="I81" s="10">
        <f t="shared" si="10"/>
        <v>2.777777777777779E-2</v>
      </c>
      <c r="J81" s="11">
        <v>4</v>
      </c>
      <c r="K81" s="62">
        <f t="shared" ref="K81" si="12">4.11*20</f>
        <v>82.2</v>
      </c>
      <c r="L81" s="16">
        <f t="shared" si="11"/>
        <v>30.824999999999989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/>
      <c r="X81" s="11"/>
      <c r="Y81" s="11">
        <v>40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2093</v>
      </c>
      <c r="F82" s="8" t="s">
        <v>42</v>
      </c>
      <c r="G82" s="9">
        <v>0.56666666666666665</v>
      </c>
      <c r="H82" s="9">
        <v>0.59444444444444444</v>
      </c>
      <c r="I82" s="10">
        <f t="shared" si="10"/>
        <v>2.777777777777779E-2</v>
      </c>
      <c r="J82" s="11">
        <v>4</v>
      </c>
      <c r="K82" s="62">
        <f>4.11*2</f>
        <v>8.2200000000000006</v>
      </c>
      <c r="L82" s="16">
        <f t="shared" si="11"/>
        <v>3.0824999999999991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/>
      <c r="X82" s="11"/>
      <c r="Y82" s="11"/>
      <c r="Z82" s="11"/>
      <c r="AA82" s="11">
        <v>40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2094</v>
      </c>
      <c r="F83" s="8" t="s">
        <v>42</v>
      </c>
      <c r="G83" s="9">
        <v>0.56666666666666665</v>
      </c>
      <c r="H83" s="9">
        <v>0.59444444444444444</v>
      </c>
      <c r="I83" s="10">
        <f t="shared" si="10"/>
        <v>2.777777777777779E-2</v>
      </c>
      <c r="J83" s="11">
        <v>4</v>
      </c>
      <c r="K83" s="62">
        <f>4.11*18</f>
        <v>73.98</v>
      </c>
      <c r="L83" s="16">
        <f t="shared" si="11"/>
        <v>27.742499999999989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/>
      <c r="X83" s="11"/>
      <c r="Y83" s="11"/>
      <c r="Z83" s="11"/>
      <c r="AA83" s="11">
        <v>40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2095</v>
      </c>
      <c r="F84" s="8" t="s">
        <v>42</v>
      </c>
      <c r="G84" s="9">
        <v>0.59305555555555556</v>
      </c>
      <c r="H84" s="9">
        <v>0.62083333333333335</v>
      </c>
      <c r="I84" s="10">
        <f t="shared" si="10"/>
        <v>2.777777777777779E-2</v>
      </c>
      <c r="J84" s="11">
        <v>4</v>
      </c>
      <c r="K84" s="62">
        <f>4.11*20</f>
        <v>82.2</v>
      </c>
      <c r="L84" s="16">
        <f t="shared" si="11"/>
        <v>30.824999999999989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>
        <v>40</v>
      </c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2096</v>
      </c>
      <c r="F85" s="8" t="s">
        <v>42</v>
      </c>
      <c r="G85" s="9">
        <v>0.59861111111111109</v>
      </c>
      <c r="H85" s="9">
        <v>0.62638888888888888</v>
      </c>
      <c r="I85" s="10">
        <f t="shared" si="10"/>
        <v>2.777777777777779E-2</v>
      </c>
      <c r="J85" s="11">
        <v>4</v>
      </c>
      <c r="K85" s="62">
        <f>4.11*4</f>
        <v>16.440000000000001</v>
      </c>
      <c r="L85" s="16">
        <f t="shared" si="11"/>
        <v>6.1649999999999983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/>
      <c r="X85" s="11"/>
      <c r="Y85" s="11"/>
      <c r="Z85" s="11"/>
      <c r="AA85" s="11">
        <v>40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2097</v>
      </c>
      <c r="F86" s="8" t="s">
        <v>42</v>
      </c>
      <c r="G86" s="9">
        <v>0.59861111111111109</v>
      </c>
      <c r="H86" s="9">
        <v>0.62638888888888888</v>
      </c>
      <c r="I86" s="10">
        <f t="shared" si="10"/>
        <v>2.777777777777779E-2</v>
      </c>
      <c r="J86" s="11">
        <v>4</v>
      </c>
      <c r="K86" s="62">
        <f>4.11*16</f>
        <v>65.760000000000005</v>
      </c>
      <c r="L86" s="16">
        <f t="shared" si="11"/>
        <v>24.659999999999993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/>
      <c r="X86" s="11"/>
      <c r="Y86" s="11"/>
      <c r="Z86" s="11"/>
      <c r="AA86" s="11">
        <v>40</v>
      </c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2098</v>
      </c>
      <c r="F87" s="8" t="s">
        <v>42</v>
      </c>
      <c r="G87" s="9">
        <v>0.60624999999999996</v>
      </c>
      <c r="H87" s="9">
        <v>0.63402777777777775</v>
      </c>
      <c r="I87" s="10">
        <f t="shared" si="10"/>
        <v>2.777777777777779E-2</v>
      </c>
      <c r="J87" s="11">
        <v>4</v>
      </c>
      <c r="K87" s="62">
        <f>4.11*20</f>
        <v>82.2</v>
      </c>
      <c r="L87" s="16">
        <f t="shared" si="11"/>
        <v>30.824999999999989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/>
      <c r="X87" s="11"/>
      <c r="Y87" s="11">
        <v>40</v>
      </c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2099</v>
      </c>
      <c r="F88" s="8" t="s">
        <v>42</v>
      </c>
      <c r="G88" s="9">
        <v>0.63402777777777775</v>
      </c>
      <c r="H88" s="9">
        <v>0.66180555555555554</v>
      </c>
      <c r="I88" s="10">
        <f t="shared" si="10"/>
        <v>2.777777777777779E-2</v>
      </c>
      <c r="J88" s="11">
        <v>4</v>
      </c>
      <c r="K88" s="62">
        <f>4.11*6</f>
        <v>24.660000000000004</v>
      </c>
      <c r="L88" s="16">
        <f t="shared" si="11"/>
        <v>9.2474999999999969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/>
      <c r="X88" s="11">
        <v>40</v>
      </c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2100</v>
      </c>
      <c r="F89" s="8" t="s">
        <v>42</v>
      </c>
      <c r="G89" s="9">
        <v>0.63402777777777775</v>
      </c>
      <c r="H89" s="9">
        <v>0.66180555555555554</v>
      </c>
      <c r="I89" s="10">
        <f t="shared" si="10"/>
        <v>2.777777777777779E-2</v>
      </c>
      <c r="J89" s="11">
        <v>4</v>
      </c>
      <c r="K89" s="62">
        <f>4.11*14</f>
        <v>57.540000000000006</v>
      </c>
      <c r="L89" s="16">
        <f t="shared" si="11"/>
        <v>21.57749999999999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/>
      <c r="X89" s="11">
        <v>40</v>
      </c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2101</v>
      </c>
      <c r="F90" s="8" t="s">
        <v>42</v>
      </c>
      <c r="G90" s="9">
        <v>0.64027777777777772</v>
      </c>
      <c r="H90" s="9">
        <v>0.66805555555555551</v>
      </c>
      <c r="I90" s="10">
        <f t="shared" si="10"/>
        <v>2.777777777777779E-2</v>
      </c>
      <c r="J90" s="11">
        <v>4</v>
      </c>
      <c r="K90" s="62">
        <f>4.11*20</f>
        <v>82.2</v>
      </c>
      <c r="L90" s="16">
        <f t="shared" si="11"/>
        <v>30.824999999999989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/>
      <c r="X90" s="11"/>
      <c r="Y90" s="11">
        <v>40</v>
      </c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2102</v>
      </c>
      <c r="F91" s="8" t="s">
        <v>42</v>
      </c>
      <c r="G91" s="9">
        <v>0.64652777777777781</v>
      </c>
      <c r="H91" s="9">
        <v>0.6743055555555556</v>
      </c>
      <c r="I91" s="10">
        <f t="shared" si="10"/>
        <v>2.777777777777779E-2</v>
      </c>
      <c r="J91" s="11">
        <v>4</v>
      </c>
      <c r="K91" s="62">
        <f>4.11*8</f>
        <v>32.880000000000003</v>
      </c>
      <c r="L91" s="16">
        <f t="shared" si="11"/>
        <v>12.329999999999997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/>
      <c r="X91" s="11"/>
      <c r="Y91" s="11"/>
      <c r="Z91" s="11"/>
      <c r="AA91" s="11">
        <v>40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2103</v>
      </c>
      <c r="F92" s="8" t="s">
        <v>42</v>
      </c>
      <c r="G92" s="9">
        <v>0.64652777777777781</v>
      </c>
      <c r="H92" s="9">
        <v>0.6743055555555556</v>
      </c>
      <c r="I92" s="10">
        <f t="shared" si="10"/>
        <v>2.777777777777779E-2</v>
      </c>
      <c r="J92" s="11">
        <v>4</v>
      </c>
      <c r="K92" s="62">
        <f>4.11*12</f>
        <v>49.320000000000007</v>
      </c>
      <c r="L92" s="16">
        <f t="shared" si="11"/>
        <v>18.494999999999994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/>
      <c r="X92" s="11"/>
      <c r="Y92" s="11"/>
      <c r="Z92" s="11"/>
      <c r="AA92" s="11">
        <v>40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2104</v>
      </c>
      <c r="F93" s="8" t="s">
        <v>42</v>
      </c>
      <c r="G93" s="9">
        <v>0.6645833333333333</v>
      </c>
      <c r="H93" s="9">
        <v>0.69236111111111109</v>
      </c>
      <c r="I93" s="10">
        <f t="shared" si="10"/>
        <v>2.777777777777779E-2</v>
      </c>
      <c r="J93" s="11">
        <v>4</v>
      </c>
      <c r="K93" s="62">
        <f>4.11*20</f>
        <v>82.2</v>
      </c>
      <c r="L93" s="16">
        <f t="shared" si="11"/>
        <v>30.824999999999989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/>
      <c r="X93" s="11">
        <v>40</v>
      </c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2105</v>
      </c>
      <c r="F94" s="8" t="s">
        <v>42</v>
      </c>
      <c r="G94" s="9">
        <v>0.67083333333333328</v>
      </c>
      <c r="H94" s="9">
        <v>0.69861111111111107</v>
      </c>
      <c r="I94" s="10">
        <f t="shared" si="10"/>
        <v>2.777777777777779E-2</v>
      </c>
      <c r="J94" s="11">
        <v>4</v>
      </c>
      <c r="K94" s="62">
        <f>4.11*10</f>
        <v>41.1</v>
      </c>
      <c r="L94" s="16">
        <f t="shared" si="11"/>
        <v>15.412499999999994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/>
      <c r="X94" s="11"/>
      <c r="Y94" s="11">
        <v>40</v>
      </c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2106</v>
      </c>
      <c r="F95" s="8" t="s">
        <v>42</v>
      </c>
      <c r="G95" s="9">
        <v>0.67083333333333328</v>
      </c>
      <c r="H95" s="9">
        <v>0.69861111111111107</v>
      </c>
      <c r="I95" s="10">
        <f t="shared" si="10"/>
        <v>2.777777777777779E-2</v>
      </c>
      <c r="J95" s="11">
        <v>4</v>
      </c>
      <c r="K95" s="62">
        <f>4.11*10</f>
        <v>41.1</v>
      </c>
      <c r="L95" s="16">
        <f t="shared" si="11"/>
        <v>15.412499999999994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/>
      <c r="X95" s="11"/>
      <c r="Y95" s="11">
        <v>40</v>
      </c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2107</v>
      </c>
      <c r="F96" s="8" t="s">
        <v>42</v>
      </c>
      <c r="G96" s="9">
        <v>0.67777777777777781</v>
      </c>
      <c r="H96" s="9">
        <v>0.7055555555555556</v>
      </c>
      <c r="I96" s="10">
        <f t="shared" si="10"/>
        <v>2.777777777777779E-2</v>
      </c>
      <c r="J96" s="11">
        <v>4</v>
      </c>
      <c r="K96" s="62">
        <f>4.11*20</f>
        <v>82.2</v>
      </c>
      <c r="L96" s="16">
        <f t="shared" si="11"/>
        <v>30.824999999999989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/>
      <c r="X96" s="11"/>
      <c r="Y96" s="11"/>
      <c r="Z96" s="11"/>
      <c r="AA96" s="11">
        <v>40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1:38" ht="25.05" customHeight="1">
      <c r="B97" s="13"/>
      <c r="C97" s="29"/>
      <c r="D97" s="30"/>
      <c r="E97" s="19" t="s">
        <v>2108</v>
      </c>
      <c r="F97" s="8" t="s">
        <v>42</v>
      </c>
      <c r="G97" s="9">
        <v>0.69374999999999998</v>
      </c>
      <c r="H97" s="9">
        <v>0.72152777777777777</v>
      </c>
      <c r="I97" s="10">
        <f t="shared" si="10"/>
        <v>2.777777777777779E-2</v>
      </c>
      <c r="J97" s="11">
        <v>4</v>
      </c>
      <c r="K97" s="62">
        <f>4.11*12</f>
        <v>49.320000000000007</v>
      </c>
      <c r="L97" s="16">
        <f t="shared" si="11"/>
        <v>18.494999999999994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>
        <v>45</v>
      </c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1:38" ht="25.05" customHeight="1">
      <c r="B98" s="13"/>
      <c r="C98" s="29"/>
      <c r="D98" s="30"/>
      <c r="E98" s="19"/>
      <c r="F98" s="8" t="s">
        <v>42</v>
      </c>
      <c r="G98" s="9"/>
      <c r="H98" s="9"/>
      <c r="I98" s="10">
        <f t="shared" si="10"/>
        <v>0</v>
      </c>
      <c r="J98" s="11"/>
      <c r="K98" s="62"/>
      <c r="L98" s="16" t="str">
        <f t="shared" si="11"/>
        <v>0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1:38" ht="25.05" customHeight="1">
      <c r="B99" s="13"/>
      <c r="C99" s="29"/>
      <c r="D99" s="30" t="s">
        <v>1432</v>
      </c>
      <c r="E99" s="17" t="s">
        <v>1591</v>
      </c>
      <c r="F99" s="8" t="s">
        <v>42</v>
      </c>
      <c r="G99" s="9">
        <v>0.53472222222222221</v>
      </c>
      <c r="H99" s="9">
        <v>0.56736111111111109</v>
      </c>
      <c r="I99" s="10">
        <f t="shared" si="10"/>
        <v>3.2638888888888884E-2</v>
      </c>
      <c r="J99" s="11">
        <v>1</v>
      </c>
      <c r="K99" s="62">
        <f>0.03*3100</f>
        <v>93</v>
      </c>
      <c r="L99" s="16">
        <f t="shared" si="11"/>
        <v>118.72340425531917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/>
      <c r="X99" s="11"/>
      <c r="Y99" s="11"/>
      <c r="Z99" s="11">
        <v>47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1:38" ht="25.05" customHeight="1">
      <c r="B100" s="13"/>
      <c r="C100" s="29"/>
      <c r="D100" s="30"/>
      <c r="E100" s="17" t="s">
        <v>1592</v>
      </c>
      <c r="F100" s="8" t="s">
        <v>42</v>
      </c>
      <c r="G100" s="9">
        <v>0.56805555555555554</v>
      </c>
      <c r="H100" s="9">
        <v>0.60138888888888886</v>
      </c>
      <c r="I100" s="10">
        <f t="shared" si="10"/>
        <v>3.3333333333333326E-2</v>
      </c>
      <c r="J100" s="11">
        <v>1</v>
      </c>
      <c r="K100" s="62">
        <f t="shared" ref="K100:K102" si="13">0.03*3100</f>
        <v>93</v>
      </c>
      <c r="L100" s="16">
        <f t="shared" si="11"/>
        <v>116.25000000000001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/>
      <c r="X100" s="11"/>
      <c r="Y100" s="11"/>
      <c r="Z100" s="11">
        <v>48</v>
      </c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1:38" ht="25.05" customHeight="1">
      <c r="B101" s="13"/>
      <c r="C101" s="29"/>
      <c r="D101" s="30"/>
      <c r="E101" s="17" t="s">
        <v>1593</v>
      </c>
      <c r="F101" s="8" t="s">
        <v>42</v>
      </c>
      <c r="G101" s="9">
        <v>0.60277777777777775</v>
      </c>
      <c r="H101" s="9">
        <v>0.6333333333333333</v>
      </c>
      <c r="I101" s="10">
        <f t="shared" ref="I101:I104" si="14">H101-G101</f>
        <v>3.0555555555555558E-2</v>
      </c>
      <c r="J101" s="11">
        <v>1</v>
      </c>
      <c r="K101" s="62">
        <f t="shared" si="13"/>
        <v>93</v>
      </c>
      <c r="L101" s="16">
        <f t="shared" ref="L101:L104" si="15">IFERROR(((K101/(J101*I101)/24)),"0")</f>
        <v>126.81818181818181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/>
      <c r="W101" s="12"/>
      <c r="X101" s="11"/>
      <c r="Y101" s="11"/>
      <c r="Z101" s="11">
        <v>44</v>
      </c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1:38" ht="25.05" customHeight="1">
      <c r="B102" s="13"/>
      <c r="C102" s="29"/>
      <c r="D102" s="30"/>
      <c r="E102" s="17" t="s">
        <v>1594</v>
      </c>
      <c r="F102" s="8" t="s">
        <v>42</v>
      </c>
      <c r="G102" s="9">
        <v>0.63472222222222219</v>
      </c>
      <c r="H102" s="9">
        <v>0.66527777777777775</v>
      </c>
      <c r="I102" s="10">
        <f t="shared" si="14"/>
        <v>3.0555555555555558E-2</v>
      </c>
      <c r="J102" s="11">
        <v>1</v>
      </c>
      <c r="K102" s="62">
        <f t="shared" si="13"/>
        <v>93</v>
      </c>
      <c r="L102" s="16">
        <f t="shared" si="15"/>
        <v>126.81818181818181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/>
      <c r="X102" s="11"/>
      <c r="Y102" s="11"/>
      <c r="Z102" s="11">
        <v>44</v>
      </c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1:38" ht="25.05" customHeight="1">
      <c r="B103" s="13"/>
      <c r="C103" s="29"/>
      <c r="D103" s="30"/>
      <c r="E103" s="17" t="s">
        <v>1595</v>
      </c>
      <c r="F103" s="8" t="s">
        <v>42</v>
      </c>
      <c r="G103" s="9">
        <v>0.66666666666666663</v>
      </c>
      <c r="H103" s="9">
        <v>0.69305555555555554</v>
      </c>
      <c r="I103" s="10">
        <f t="shared" si="14"/>
        <v>2.6388888888888906E-2</v>
      </c>
      <c r="J103" s="11">
        <v>1</v>
      </c>
      <c r="K103" s="62">
        <f>0.03*3687</f>
        <v>110.61</v>
      </c>
      <c r="L103" s="16">
        <f t="shared" si="15"/>
        <v>174.64736842105253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/>
      <c r="X103" s="11"/>
      <c r="Y103" s="11"/>
      <c r="Z103" s="11">
        <v>38</v>
      </c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1:38" ht="25.05" customHeight="1">
      <c r="B104" s="13"/>
      <c r="C104" s="29"/>
      <c r="D104" s="30"/>
      <c r="E104" s="19"/>
      <c r="F104" s="8" t="s">
        <v>42</v>
      </c>
      <c r="G104" s="9"/>
      <c r="H104" s="9"/>
      <c r="I104" s="10">
        <f t="shared" si="14"/>
        <v>0</v>
      </c>
      <c r="J104" s="11"/>
      <c r="K104" s="62"/>
      <c r="L104" s="16" t="str">
        <f t="shared" si="15"/>
        <v>0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1:38" s="28" customFormat="1" ht="25.5" customHeight="1" thickBot="1">
      <c r="A105" s="2"/>
      <c r="B105" s="32"/>
      <c r="C105" s="33"/>
      <c r="D105" s="34"/>
      <c r="E105" s="35"/>
      <c r="F105" s="35"/>
      <c r="G105" s="36"/>
      <c r="H105" s="36"/>
      <c r="I105" s="37"/>
      <c r="J105" s="38"/>
      <c r="K105" s="38">
        <f t="shared" ref="K105:AL105" si="16">SUM(K34:K104)</f>
        <v>3851.3599999999997</v>
      </c>
      <c r="L105" s="39">
        <f t="shared" si="16"/>
        <v>6760.0092557165663</v>
      </c>
      <c r="M105" s="38">
        <f t="shared" si="16"/>
        <v>62</v>
      </c>
      <c r="N105" s="38">
        <f t="shared" si="16"/>
        <v>0</v>
      </c>
      <c r="O105" s="38">
        <f t="shared" si="16"/>
        <v>0</v>
      </c>
      <c r="P105" s="38">
        <f t="shared" si="16"/>
        <v>0</v>
      </c>
      <c r="Q105" s="38">
        <f t="shared" si="16"/>
        <v>0</v>
      </c>
      <c r="R105" s="38">
        <f t="shared" si="16"/>
        <v>0</v>
      </c>
      <c r="S105" s="38">
        <f t="shared" si="16"/>
        <v>0</v>
      </c>
      <c r="T105" s="38">
        <f t="shared" si="16"/>
        <v>0</v>
      </c>
      <c r="U105" s="38">
        <f t="shared" si="16"/>
        <v>0</v>
      </c>
      <c r="V105" s="38">
        <f t="shared" si="16"/>
        <v>15</v>
      </c>
      <c r="W105" s="38">
        <f t="shared" si="16"/>
        <v>18</v>
      </c>
      <c r="X105" s="38">
        <f t="shared" si="16"/>
        <v>245</v>
      </c>
      <c r="Y105" s="38">
        <f t="shared" si="16"/>
        <v>200</v>
      </c>
      <c r="Z105" s="38">
        <f t="shared" si="16"/>
        <v>221</v>
      </c>
      <c r="AA105" s="38">
        <f t="shared" si="16"/>
        <v>280</v>
      </c>
      <c r="AB105" s="38">
        <f t="shared" si="16"/>
        <v>74</v>
      </c>
      <c r="AC105" s="38">
        <f t="shared" si="16"/>
        <v>112</v>
      </c>
      <c r="AD105" s="38">
        <f t="shared" si="16"/>
        <v>248</v>
      </c>
      <c r="AE105" s="38">
        <f t="shared" si="16"/>
        <v>1</v>
      </c>
      <c r="AF105" s="38">
        <f t="shared" si="16"/>
        <v>0</v>
      </c>
      <c r="AG105" s="38">
        <f t="shared" si="16"/>
        <v>32.08</v>
      </c>
      <c r="AH105" s="38">
        <f t="shared" si="16"/>
        <v>32.08</v>
      </c>
      <c r="AI105" s="38">
        <f t="shared" si="16"/>
        <v>32.08</v>
      </c>
      <c r="AJ105" s="38">
        <f t="shared" si="16"/>
        <v>13.75</v>
      </c>
      <c r="AK105" s="38">
        <f t="shared" si="16"/>
        <v>0</v>
      </c>
      <c r="AL105" s="38">
        <f t="shared" si="16"/>
        <v>0</v>
      </c>
    </row>
    <row r="106" spans="1:38" ht="38.1" customHeight="1" thickBot="1">
      <c r="B106" s="40" t="s">
        <v>45</v>
      </c>
      <c r="C106" s="41"/>
      <c r="D106" s="41"/>
      <c r="E106" s="41"/>
      <c r="F106" s="41"/>
      <c r="G106" s="41"/>
      <c r="H106" s="41"/>
      <c r="I106" s="41"/>
      <c r="J106" s="41"/>
      <c r="K106" s="42">
        <f>K26+K33+K105</f>
        <v>6183.2999999999993</v>
      </c>
      <c r="L106" s="42">
        <f>L26+L33+L105</f>
        <v>7758.4484981408095</v>
      </c>
      <c r="M106" s="43">
        <f t="shared" ref="M106:AL106" si="17">(M26+M33+M105)/(480-15-30)</f>
        <v>0.52183908045977012</v>
      </c>
      <c r="N106" s="43">
        <f t="shared" si="17"/>
        <v>0</v>
      </c>
      <c r="O106" s="43">
        <f t="shared" si="17"/>
        <v>0</v>
      </c>
      <c r="P106" s="43">
        <f t="shared" si="17"/>
        <v>0</v>
      </c>
      <c r="Q106" s="43">
        <f t="shared" si="17"/>
        <v>0</v>
      </c>
      <c r="R106" s="43">
        <f t="shared" si="17"/>
        <v>0.37931034482758619</v>
      </c>
      <c r="S106" s="43">
        <f t="shared" si="17"/>
        <v>0.73563218390804597</v>
      </c>
      <c r="T106" s="43">
        <f t="shared" si="17"/>
        <v>0.55172413793103448</v>
      </c>
      <c r="U106" s="43">
        <f t="shared" si="17"/>
        <v>0</v>
      </c>
      <c r="V106" s="43">
        <f t="shared" si="17"/>
        <v>3.4482758620689655E-2</v>
      </c>
      <c r="W106" s="43">
        <f t="shared" si="17"/>
        <v>4.1379310344827586E-2</v>
      </c>
      <c r="X106" s="43">
        <f t="shared" si="17"/>
        <v>0.56321839080459768</v>
      </c>
      <c r="Y106" s="43">
        <f t="shared" si="17"/>
        <v>0.45977011494252873</v>
      </c>
      <c r="Z106" s="43">
        <f t="shared" si="17"/>
        <v>0.50804597701149423</v>
      </c>
      <c r="AA106" s="43">
        <f t="shared" si="17"/>
        <v>0.64367816091954022</v>
      </c>
      <c r="AB106" s="43">
        <f t="shared" si="17"/>
        <v>0.17011494252873563</v>
      </c>
      <c r="AC106" s="43">
        <f t="shared" si="17"/>
        <v>0.25747126436781609</v>
      </c>
      <c r="AD106" s="43">
        <f t="shared" si="17"/>
        <v>0.57011494252873562</v>
      </c>
      <c r="AE106" s="43">
        <f t="shared" si="17"/>
        <v>2.2988505747126436E-3</v>
      </c>
      <c r="AF106" s="43">
        <f t="shared" si="17"/>
        <v>0</v>
      </c>
      <c r="AG106" s="43">
        <f t="shared" si="17"/>
        <v>7.3747126436781607E-2</v>
      </c>
      <c r="AH106" s="43">
        <f t="shared" si="17"/>
        <v>7.3747126436781607E-2</v>
      </c>
      <c r="AI106" s="43">
        <f t="shared" si="17"/>
        <v>7.3747126436781607E-2</v>
      </c>
      <c r="AJ106" s="43">
        <f t="shared" si="17"/>
        <v>3.1609195402298854E-2</v>
      </c>
      <c r="AK106" s="43">
        <f t="shared" si="17"/>
        <v>0</v>
      </c>
      <c r="AL106" s="43">
        <f t="shared" si="17"/>
        <v>0</v>
      </c>
    </row>
    <row r="107" spans="1:38" ht="25.05" customHeight="1">
      <c r="B107" s="44"/>
      <c r="C107" s="44"/>
      <c r="D107" s="44"/>
      <c r="E107" s="45"/>
      <c r="F107" s="45"/>
      <c r="G107" s="45"/>
      <c r="H107" s="45"/>
      <c r="I107" s="46"/>
      <c r="J107" s="46"/>
      <c r="K107" s="45"/>
      <c r="L107" s="47"/>
      <c r="M107" s="47"/>
      <c r="N107" s="47"/>
      <c r="O107" s="47"/>
      <c r="P107" s="47"/>
      <c r="Q107" s="45"/>
      <c r="R107" s="45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  <c r="AI107" s="45"/>
      <c r="AJ107" s="45"/>
    </row>
    <row r="108" spans="1:38" ht="25.05" customHeight="1">
      <c r="B108" s="44"/>
      <c r="C108" s="44"/>
      <c r="D108" s="44"/>
      <c r="E108" s="45"/>
      <c r="F108" s="45"/>
      <c r="G108" s="45"/>
      <c r="H108" s="45"/>
      <c r="I108" s="48" t="s">
        <v>46</v>
      </c>
      <c r="J108" s="46"/>
      <c r="K108" s="45"/>
      <c r="L108" s="47"/>
      <c r="M108" s="47"/>
      <c r="N108" s="47"/>
      <c r="O108" s="47"/>
      <c r="P108" s="47"/>
      <c r="Q108" s="45"/>
      <c r="R108" s="45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  <c r="AI108" s="45"/>
      <c r="AJ108" s="45"/>
    </row>
    <row r="109" spans="1:38" ht="25.05" customHeight="1">
      <c r="B109" s="44"/>
      <c r="C109" s="44"/>
      <c r="D109" s="44"/>
      <c r="E109" s="45"/>
      <c r="F109" s="45"/>
      <c r="G109" s="45"/>
      <c r="H109" s="45"/>
      <c r="I109" s="49" t="s">
        <v>47</v>
      </c>
      <c r="J109" s="9">
        <v>0</v>
      </c>
      <c r="K109" s="11">
        <v>12</v>
      </c>
      <c r="L109" s="11" t="s">
        <v>48</v>
      </c>
      <c r="M109" s="47"/>
      <c r="N109" s="14">
        <v>1</v>
      </c>
      <c r="O109" s="14"/>
      <c r="P109" s="14"/>
      <c r="Q109" s="50" t="s">
        <v>49</v>
      </c>
      <c r="R109" s="51"/>
      <c r="S109" s="45"/>
      <c r="T109" s="45"/>
      <c r="U109" s="45"/>
      <c r="V109" s="45"/>
      <c r="W109" s="45"/>
      <c r="X109" s="45"/>
      <c r="Y109" s="45"/>
      <c r="Z109" s="45"/>
      <c r="AA109" s="45"/>
      <c r="AC109" s="45"/>
      <c r="AD109" s="45"/>
      <c r="AE109" s="45"/>
      <c r="AF109" s="45"/>
      <c r="AG109" s="45"/>
      <c r="AH109" s="45"/>
    </row>
    <row r="110" spans="1:38" ht="25.05" customHeight="1">
      <c r="B110" s="44"/>
      <c r="C110" s="44"/>
      <c r="D110" s="44"/>
      <c r="E110" s="45"/>
      <c r="F110" s="45"/>
      <c r="G110" s="45"/>
      <c r="H110" s="45"/>
      <c r="I110" s="49" t="s">
        <v>50</v>
      </c>
      <c r="J110" s="9">
        <v>0</v>
      </c>
      <c r="K110" s="11">
        <v>2</v>
      </c>
      <c r="L110" s="11" t="s">
        <v>48</v>
      </c>
      <c r="M110" s="47"/>
      <c r="N110" s="14">
        <v>4</v>
      </c>
      <c r="O110" s="14"/>
      <c r="P110" s="14"/>
      <c r="Q110" s="50" t="s">
        <v>51</v>
      </c>
      <c r="R110" s="51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</row>
    <row r="111" spans="1:38" ht="25.05" customHeight="1">
      <c r="B111" s="44"/>
      <c r="C111" s="44"/>
      <c r="D111" s="44"/>
      <c r="E111" s="45"/>
      <c r="F111" s="45"/>
      <c r="G111" s="45"/>
      <c r="H111" s="45"/>
      <c r="I111" s="49" t="s">
        <v>52</v>
      </c>
      <c r="J111" s="9">
        <v>0</v>
      </c>
      <c r="K111" s="11">
        <v>14</v>
      </c>
      <c r="L111" s="11" t="s">
        <v>48</v>
      </c>
      <c r="M111" s="47"/>
      <c r="N111" s="14">
        <v>1</v>
      </c>
      <c r="O111" s="14"/>
      <c r="P111" s="14"/>
      <c r="Q111" s="50" t="s">
        <v>53</v>
      </c>
      <c r="R111" s="51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</row>
    <row r="112" spans="1:38" ht="25.05" customHeight="1">
      <c r="B112" s="44"/>
      <c r="C112" s="44"/>
      <c r="D112" s="44"/>
      <c r="E112" s="45"/>
      <c r="F112" s="45"/>
      <c r="G112" s="45"/>
      <c r="H112" s="45"/>
      <c r="I112" s="52" t="s">
        <v>54</v>
      </c>
      <c r="J112" s="53">
        <v>0</v>
      </c>
      <c r="K112" s="11">
        <v>6</v>
      </c>
      <c r="L112" s="54" t="s">
        <v>48</v>
      </c>
      <c r="M112" s="47"/>
      <c r="N112" s="14">
        <v>2</v>
      </c>
      <c r="O112" s="14"/>
      <c r="P112" s="14"/>
      <c r="Q112" s="50" t="s">
        <v>55</v>
      </c>
      <c r="R112" s="51"/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  <c r="AE112" s="45"/>
      <c r="AF112" s="45"/>
      <c r="AG112" s="45"/>
      <c r="AH112" s="45"/>
    </row>
    <row r="113" spans="2:34" ht="25.05" customHeight="1">
      <c r="B113" s="44"/>
      <c r="C113" s="44"/>
      <c r="D113" s="44"/>
      <c r="E113" s="45"/>
      <c r="F113" s="45"/>
      <c r="G113" s="45"/>
      <c r="H113" s="45"/>
      <c r="I113" s="49" t="s">
        <v>56</v>
      </c>
      <c r="J113" s="9">
        <v>0</v>
      </c>
      <c r="K113" s="11">
        <v>34</v>
      </c>
      <c r="L113" s="11" t="s">
        <v>48</v>
      </c>
      <c r="M113" s="47"/>
      <c r="N113"/>
      <c r="O113"/>
      <c r="P113"/>
      <c r="Q113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</row>
    <row r="114" spans="2:34" ht="25.05" customHeight="1">
      <c r="B114" s="44"/>
      <c r="C114" s="44"/>
      <c r="D114" s="44"/>
      <c r="E114" s="45"/>
      <c r="F114" s="45"/>
      <c r="G114" s="45"/>
      <c r="H114" s="45"/>
      <c r="M114" s="47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</row>
    <row r="115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E5C87-357B-4E0E-84A9-226A3AE27706}">
  <sheetPr>
    <pageSetUpPr fitToPage="1"/>
  </sheetPr>
  <dimension ref="A2:AL96"/>
  <sheetViews>
    <sheetView zoomScale="85" zoomScaleNormal="85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2" spans="2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2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2:38" ht="25.05" customHeight="1">
      <c r="B4" s="13">
        <v>46087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0.8125</v>
      </c>
      <c r="I4" s="10">
        <f t="shared" ref="I4:I37" si="0">H4-G4</f>
        <v>2.083333333333337E-2</v>
      </c>
      <c r="J4" s="11">
        <v>7</v>
      </c>
      <c r="K4" s="11" t="s">
        <v>209</v>
      </c>
      <c r="L4" s="16" t="str">
        <f t="shared" ref="L4:L37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2:38" ht="25.05" customHeight="1">
      <c r="B5" s="13"/>
      <c r="C5" s="14"/>
      <c r="D5" s="30" t="s">
        <v>2412</v>
      </c>
      <c r="E5" s="15" t="s">
        <v>2413</v>
      </c>
      <c r="F5" s="8" t="s">
        <v>42</v>
      </c>
      <c r="G5" s="9">
        <v>0.81597222222222221</v>
      </c>
      <c r="H5" s="9">
        <v>0.83333333333333337</v>
      </c>
      <c r="I5" s="10">
        <f t="shared" si="0"/>
        <v>1.736111111111116E-2</v>
      </c>
      <c r="J5" s="11">
        <v>2</v>
      </c>
      <c r="K5" s="11">
        <v>6</v>
      </c>
      <c r="L5" s="16">
        <f t="shared" si="1"/>
        <v>7.1999999999999789</v>
      </c>
      <c r="M5" s="11"/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ht="25.5" customHeight="1">
      <c r="B6" s="13"/>
      <c r="C6" s="14"/>
      <c r="D6" s="6"/>
      <c r="E6" s="15" t="s">
        <v>2414</v>
      </c>
      <c r="F6" s="55" t="s">
        <v>221</v>
      </c>
      <c r="G6" s="9">
        <v>0.84375</v>
      </c>
      <c r="H6" s="9">
        <v>0.85069444444444442</v>
      </c>
      <c r="I6" s="10">
        <f t="shared" si="0"/>
        <v>6.9444444444444198E-3</v>
      </c>
      <c r="J6" s="11">
        <v>1</v>
      </c>
      <c r="K6" s="11">
        <v>6</v>
      </c>
      <c r="L6" s="16">
        <f t="shared" si="1"/>
        <v>36.000000000000128</v>
      </c>
      <c r="M6" s="11">
        <v>10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2:38" ht="25.5" customHeight="1">
      <c r="B7" s="13"/>
      <c r="C7" s="14"/>
      <c r="D7" s="6"/>
      <c r="E7" s="15" t="s">
        <v>2415</v>
      </c>
      <c r="F7" s="55" t="s">
        <v>59</v>
      </c>
      <c r="G7" s="9">
        <v>0.85416666666666663</v>
      </c>
      <c r="H7" s="9">
        <v>0.86111111111111116</v>
      </c>
      <c r="I7" s="10">
        <f t="shared" si="0"/>
        <v>6.9444444444445308E-3</v>
      </c>
      <c r="J7" s="11">
        <v>1</v>
      </c>
      <c r="K7" s="11">
        <v>3.6</v>
      </c>
      <c r="L7" s="16">
        <f t="shared" si="1"/>
        <v>21.599999999999735</v>
      </c>
      <c r="M7" s="11">
        <v>10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2:38" ht="25.5" customHeight="1">
      <c r="B8" s="13"/>
      <c r="C8" s="14"/>
      <c r="D8" s="6"/>
      <c r="E8" s="15" t="s">
        <v>2416</v>
      </c>
      <c r="F8" s="8" t="s">
        <v>42</v>
      </c>
      <c r="G8" s="9">
        <v>0.85416666666666663</v>
      </c>
      <c r="H8" s="9">
        <v>0.86458333333333337</v>
      </c>
      <c r="I8" s="10">
        <f t="shared" si="0"/>
        <v>1.0416666666666741E-2</v>
      </c>
      <c r="J8" s="11">
        <v>2</v>
      </c>
      <c r="K8" s="11">
        <v>24.9</v>
      </c>
      <c r="L8" s="16">
        <f t="shared" si="1"/>
        <v>49.799999999999642</v>
      </c>
      <c r="M8" s="11"/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2:38" ht="25.05" customHeight="1">
      <c r="B9" s="13"/>
      <c r="C9" s="14"/>
      <c r="D9" s="6" t="s">
        <v>2249</v>
      </c>
      <c r="E9" s="15" t="s">
        <v>2417</v>
      </c>
      <c r="F9" s="55" t="s">
        <v>232</v>
      </c>
      <c r="G9" s="9">
        <v>0.83333333333333337</v>
      </c>
      <c r="H9" s="9">
        <v>0.85416666666666663</v>
      </c>
      <c r="I9" s="10">
        <f t="shared" si="0"/>
        <v>2.0833333333333259E-2</v>
      </c>
      <c r="J9" s="11">
        <v>1</v>
      </c>
      <c r="K9" s="11">
        <v>9.1999999999999993</v>
      </c>
      <c r="L9" s="16">
        <f t="shared" si="1"/>
        <v>18.400000000000066</v>
      </c>
      <c r="M9" s="11"/>
      <c r="N9" s="11"/>
      <c r="O9" s="11"/>
      <c r="P9" s="11"/>
      <c r="Q9" s="11"/>
      <c r="R9" s="12">
        <v>30</v>
      </c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2:38" ht="25.05" customHeight="1">
      <c r="B10" s="13"/>
      <c r="C10" s="14"/>
      <c r="D10" s="6"/>
      <c r="E10" s="15" t="s">
        <v>2418</v>
      </c>
      <c r="F10" s="55" t="s">
        <v>64</v>
      </c>
      <c r="G10" s="9">
        <v>0.86805555555555558</v>
      </c>
      <c r="H10" s="9">
        <v>0.88194444444444442</v>
      </c>
      <c r="I10" s="10">
        <f t="shared" si="0"/>
        <v>1.388888888888884E-2</v>
      </c>
      <c r="J10" s="11">
        <v>1</v>
      </c>
      <c r="K10" s="11">
        <v>3.68</v>
      </c>
      <c r="L10" s="16">
        <f t="shared" si="1"/>
        <v>11.04000000000004</v>
      </c>
      <c r="M10" s="11">
        <v>20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2:38" ht="25.05" customHeight="1">
      <c r="B11" s="13"/>
      <c r="C11" s="14"/>
      <c r="D11" s="6"/>
      <c r="E11" s="15" t="s">
        <v>2334</v>
      </c>
      <c r="F11" s="55" t="s">
        <v>42</v>
      </c>
      <c r="G11" s="9">
        <v>0.85416666666666663</v>
      </c>
      <c r="H11" s="9">
        <v>0.89583333333333337</v>
      </c>
      <c r="I11" s="10">
        <f t="shared" si="0"/>
        <v>4.1666666666666741E-2</v>
      </c>
      <c r="J11" s="11">
        <v>2</v>
      </c>
      <c r="K11" s="11">
        <v>460</v>
      </c>
      <c r="L11" s="16">
        <f t="shared" si="1"/>
        <v>229.99999999999957</v>
      </c>
      <c r="M11" s="11"/>
      <c r="N11" s="11"/>
      <c r="O11" s="11"/>
      <c r="P11" s="11"/>
      <c r="Q11" s="11">
        <v>60</v>
      </c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2:38" ht="25.05" customHeight="1">
      <c r="B12" s="13"/>
      <c r="C12" s="14"/>
      <c r="D12" s="6"/>
      <c r="E12" s="15" t="s">
        <v>2419</v>
      </c>
      <c r="F12" s="57">
        <v>0.75</v>
      </c>
      <c r="G12" s="9">
        <v>0.90625</v>
      </c>
      <c r="H12" s="9">
        <v>0.93055555555555558</v>
      </c>
      <c r="I12" s="10">
        <f t="shared" si="0"/>
        <v>2.430555555555558E-2</v>
      </c>
      <c r="J12" s="11">
        <v>1</v>
      </c>
      <c r="K12" s="11">
        <v>460</v>
      </c>
      <c r="L12" s="16">
        <f t="shared" si="1"/>
        <v>788.57142857142787</v>
      </c>
      <c r="M12" s="11">
        <v>35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2:38" ht="25.05" customHeight="1">
      <c r="B13" s="13"/>
      <c r="C13" s="14"/>
      <c r="D13" s="6"/>
      <c r="E13" s="15" t="s">
        <v>2420</v>
      </c>
      <c r="F13" s="55" t="s">
        <v>2255</v>
      </c>
      <c r="G13" s="9">
        <v>0.9375</v>
      </c>
      <c r="H13" s="9">
        <v>0.97222222222222221</v>
      </c>
      <c r="I13" s="10">
        <f t="shared" si="0"/>
        <v>3.472222222222221E-2</v>
      </c>
      <c r="J13" s="11">
        <v>2</v>
      </c>
      <c r="K13" s="11">
        <v>4.5999999999999996</v>
      </c>
      <c r="L13" s="16">
        <f t="shared" si="1"/>
        <v>2.7600000000000011</v>
      </c>
      <c r="M13" s="11"/>
      <c r="N13" s="11"/>
      <c r="O13" s="11"/>
      <c r="P13" s="11"/>
      <c r="Q13" s="11"/>
      <c r="R13" s="12"/>
      <c r="S13" s="12">
        <v>50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2:38" ht="25.05" customHeight="1">
      <c r="B14" s="13"/>
      <c r="C14" s="14"/>
      <c r="D14" s="6"/>
      <c r="E14" s="15" t="s">
        <v>2421</v>
      </c>
      <c r="F14" s="55" t="s">
        <v>2422</v>
      </c>
      <c r="G14" s="9">
        <v>0.83333333333333337</v>
      </c>
      <c r="H14" s="9">
        <v>0.91666666666666663</v>
      </c>
      <c r="I14" s="10">
        <f t="shared" si="0"/>
        <v>8.3333333333333259E-2</v>
      </c>
      <c r="J14" s="11">
        <v>5</v>
      </c>
      <c r="K14" s="11">
        <v>82.8</v>
      </c>
      <c r="L14" s="16">
        <f t="shared" si="1"/>
        <v>8.2800000000000065</v>
      </c>
      <c r="M14" s="11"/>
      <c r="N14" s="11"/>
      <c r="O14" s="11"/>
      <c r="P14" s="11"/>
      <c r="Q14" s="11"/>
      <c r="R14" s="12"/>
      <c r="S14" s="12">
        <v>120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2:38" ht="25.05" customHeight="1">
      <c r="B15" s="13"/>
      <c r="C15" s="14"/>
      <c r="D15" s="6"/>
      <c r="E15" s="15" t="s">
        <v>2423</v>
      </c>
      <c r="F15" s="55" t="s">
        <v>232</v>
      </c>
      <c r="G15" s="9">
        <v>0.94791666666666663</v>
      </c>
      <c r="H15" s="9">
        <v>0.95486111111111116</v>
      </c>
      <c r="I15" s="10">
        <f t="shared" si="0"/>
        <v>6.9444444444445308E-3</v>
      </c>
      <c r="J15" s="11">
        <v>1</v>
      </c>
      <c r="K15" s="11">
        <v>3.6</v>
      </c>
      <c r="L15" s="16">
        <f t="shared" si="1"/>
        <v>21.599999999999735</v>
      </c>
      <c r="M15" s="11">
        <v>10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2:38" ht="25.05" customHeight="1">
      <c r="B16" s="13"/>
      <c r="C16" s="14"/>
      <c r="D16" s="6"/>
      <c r="E16" s="15" t="s">
        <v>2424</v>
      </c>
      <c r="F16" s="55" t="s">
        <v>232</v>
      </c>
      <c r="G16" s="9">
        <v>0.95833333333333337</v>
      </c>
      <c r="H16" s="9">
        <v>0.96875</v>
      </c>
      <c r="I16" s="10">
        <f t="shared" si="0"/>
        <v>1.041666666666663E-2</v>
      </c>
      <c r="J16" s="11">
        <v>1</v>
      </c>
      <c r="K16" s="11">
        <v>1.4</v>
      </c>
      <c r="L16" s="16">
        <f t="shared" si="1"/>
        <v>5.6000000000000192</v>
      </c>
      <c r="M16" s="11">
        <v>15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2:38" ht="25.05" customHeight="1">
      <c r="B17" s="13"/>
      <c r="C17" s="14"/>
      <c r="D17" s="6" t="s">
        <v>1432</v>
      </c>
      <c r="E17" s="15" t="s">
        <v>2425</v>
      </c>
      <c r="F17" s="55" t="s">
        <v>232</v>
      </c>
      <c r="G17" s="9">
        <v>0.44791666666666669</v>
      </c>
      <c r="H17" s="9">
        <v>0.4548611111111111</v>
      </c>
      <c r="I17" s="10">
        <f t="shared" si="0"/>
        <v>6.9444444444444198E-3</v>
      </c>
      <c r="J17" s="11">
        <v>1</v>
      </c>
      <c r="K17" s="11">
        <v>1</v>
      </c>
      <c r="L17" s="16">
        <f t="shared" si="1"/>
        <v>6.0000000000000213</v>
      </c>
      <c r="M17" s="11">
        <v>10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2:38" ht="25.05" customHeight="1">
      <c r="B18" s="13"/>
      <c r="C18" s="14"/>
      <c r="D18" s="6"/>
      <c r="E18" s="15" t="s">
        <v>2426</v>
      </c>
      <c r="F18" s="55" t="s">
        <v>234</v>
      </c>
      <c r="G18" s="9">
        <v>0.97222222222222221</v>
      </c>
      <c r="H18" s="9">
        <v>0.97916666666666663</v>
      </c>
      <c r="I18" s="10">
        <f t="shared" si="0"/>
        <v>6.9444444444444198E-3</v>
      </c>
      <c r="J18" s="11">
        <v>1</v>
      </c>
      <c r="K18" s="11">
        <v>5</v>
      </c>
      <c r="L18" s="16">
        <f t="shared" si="1"/>
        <v>30.000000000000103</v>
      </c>
      <c r="M18" s="11">
        <v>10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2:38" ht="25.05" customHeight="1">
      <c r="B19" s="13"/>
      <c r="C19" s="14"/>
      <c r="D19" s="6"/>
      <c r="E19" s="15" t="s">
        <v>2341</v>
      </c>
      <c r="F19" s="8" t="s">
        <v>42</v>
      </c>
      <c r="G19" s="9">
        <v>0.90277777777777779</v>
      </c>
      <c r="H19" s="9">
        <v>0.92361111111111116</v>
      </c>
      <c r="I19" s="10">
        <f t="shared" si="0"/>
        <v>2.083333333333337E-2</v>
      </c>
      <c r="J19" s="11">
        <v>2</v>
      </c>
      <c r="K19" s="11">
        <v>26.65</v>
      </c>
      <c r="L19" s="16">
        <f t="shared" si="1"/>
        <v>26.649999999999952</v>
      </c>
      <c r="M19" s="11"/>
      <c r="N19" s="11"/>
      <c r="O19" s="11"/>
      <c r="P19" s="11"/>
      <c r="Q19" s="11">
        <v>30</v>
      </c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2:38" ht="25.05" customHeight="1">
      <c r="B20" s="13"/>
      <c r="C20" s="14"/>
      <c r="D20" s="6"/>
      <c r="E20" s="15" t="s">
        <v>1621</v>
      </c>
      <c r="F20" s="57">
        <v>0.5</v>
      </c>
      <c r="G20" s="9">
        <v>0.98611111111111116</v>
      </c>
      <c r="H20" s="9">
        <v>0.99652777777777779</v>
      </c>
      <c r="I20" s="10">
        <f t="shared" si="0"/>
        <v>1.041666666666663E-2</v>
      </c>
      <c r="J20" s="11">
        <v>1</v>
      </c>
      <c r="K20" s="11">
        <v>26.65</v>
      </c>
      <c r="L20" s="16">
        <f t="shared" si="1"/>
        <v>106.60000000000036</v>
      </c>
      <c r="M20" s="11">
        <v>15</v>
      </c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2:38" ht="25.05" customHeight="1">
      <c r="B21" s="13"/>
      <c r="C21" s="14"/>
      <c r="D21" s="6"/>
      <c r="E21" s="15" t="s">
        <v>1622</v>
      </c>
      <c r="F21" s="55" t="s">
        <v>237</v>
      </c>
      <c r="G21" s="9">
        <v>0</v>
      </c>
      <c r="H21" s="9">
        <v>6.9444444444444441E-3</v>
      </c>
      <c r="I21" s="10">
        <f t="shared" si="0"/>
        <v>6.9444444444444441E-3</v>
      </c>
      <c r="J21" s="11">
        <v>2</v>
      </c>
      <c r="K21" s="11">
        <v>1</v>
      </c>
      <c r="L21" s="16">
        <f t="shared" si="1"/>
        <v>3</v>
      </c>
      <c r="M21" s="11"/>
      <c r="N21" s="11"/>
      <c r="O21" s="11">
        <v>10</v>
      </c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2:38" ht="25.05" customHeight="1">
      <c r="B22" s="13"/>
      <c r="C22" s="14"/>
      <c r="D22" s="6" t="s">
        <v>1760</v>
      </c>
      <c r="E22" s="15" t="s">
        <v>624</v>
      </c>
      <c r="F22" s="8" t="s">
        <v>42</v>
      </c>
      <c r="G22" s="9">
        <v>0.83333333333333337</v>
      </c>
      <c r="H22" s="9">
        <v>0.875</v>
      </c>
      <c r="I22" s="10">
        <f t="shared" si="0"/>
        <v>4.166666666666663E-2</v>
      </c>
      <c r="J22" s="11">
        <v>1</v>
      </c>
      <c r="K22" s="11" t="s">
        <v>209</v>
      </c>
      <c r="L22" s="16" t="str">
        <f t="shared" si="1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2:38" ht="25.05" customHeight="1">
      <c r="B23" s="13"/>
      <c r="C23" s="14"/>
      <c r="D23" s="6"/>
      <c r="E23" s="15" t="s">
        <v>458</v>
      </c>
      <c r="F23" s="55" t="s">
        <v>232</v>
      </c>
      <c r="G23" s="9">
        <v>1.0416666666666666E-2</v>
      </c>
      <c r="H23" s="9">
        <v>1.7361111111111112E-2</v>
      </c>
      <c r="I23" s="10">
        <f t="shared" si="0"/>
        <v>6.9444444444444458E-3</v>
      </c>
      <c r="J23" s="11">
        <v>1</v>
      </c>
      <c r="K23" s="11">
        <v>2.65</v>
      </c>
      <c r="L23" s="16">
        <f t="shared" si="1"/>
        <v>15.899999999999997</v>
      </c>
      <c r="M23" s="11">
        <v>10</v>
      </c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2:38" ht="25.05" customHeight="1">
      <c r="B24" s="13"/>
      <c r="C24" s="14"/>
      <c r="D24" s="6"/>
      <c r="E24" s="15"/>
      <c r="F24" s="8"/>
      <c r="G24" s="9"/>
      <c r="H24" s="9"/>
      <c r="I24" s="10">
        <f t="shared" si="0"/>
        <v>0</v>
      </c>
      <c r="J24" s="11"/>
      <c r="K24" s="11"/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2:38" ht="25.05" customHeight="1">
      <c r="B25" s="13"/>
      <c r="C25" s="14"/>
      <c r="D25" s="6" t="s">
        <v>2069</v>
      </c>
      <c r="E25" s="15" t="s">
        <v>2427</v>
      </c>
      <c r="F25" s="57" t="s">
        <v>59</v>
      </c>
      <c r="G25" s="9">
        <v>0.85416666666666663</v>
      </c>
      <c r="H25" s="9">
        <v>0.86111111111111116</v>
      </c>
      <c r="I25" s="10">
        <f t="shared" si="0"/>
        <v>6.9444444444445308E-3</v>
      </c>
      <c r="J25" s="11">
        <v>1</v>
      </c>
      <c r="K25" s="11">
        <v>5.16</v>
      </c>
      <c r="L25" s="16">
        <f t="shared" si="1"/>
        <v>30.959999999999614</v>
      </c>
      <c r="M25" s="11">
        <v>10</v>
      </c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2:38" ht="25.05" customHeight="1">
      <c r="B26" s="13"/>
      <c r="C26" s="14"/>
      <c r="D26" s="6"/>
      <c r="E26" s="15" t="s">
        <v>2175</v>
      </c>
      <c r="F26" s="55" t="s">
        <v>42</v>
      </c>
      <c r="G26" s="9">
        <v>0.83333333333333337</v>
      </c>
      <c r="H26" s="9">
        <v>0.875</v>
      </c>
      <c r="I26" s="10">
        <f t="shared" si="0"/>
        <v>4.166666666666663E-2</v>
      </c>
      <c r="J26" s="11">
        <v>2</v>
      </c>
      <c r="K26" s="11">
        <v>3.9</v>
      </c>
      <c r="L26" s="16">
        <f t="shared" si="1"/>
        <v>1.9500000000000017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2:38" ht="25.05" customHeight="1">
      <c r="B27" s="13"/>
      <c r="C27" s="14"/>
      <c r="D27" s="6"/>
      <c r="E27" s="15" t="s">
        <v>2428</v>
      </c>
      <c r="F27" s="57">
        <v>1</v>
      </c>
      <c r="G27" s="9">
        <v>2.4305555555555556E-2</v>
      </c>
      <c r="H27" s="9">
        <v>3.8194444444444448E-2</v>
      </c>
      <c r="I27" s="10">
        <f t="shared" si="0"/>
        <v>1.3888888888888892E-2</v>
      </c>
      <c r="J27" s="11">
        <v>1</v>
      </c>
      <c r="K27" s="11">
        <v>54</v>
      </c>
      <c r="L27" s="16">
        <f t="shared" si="1"/>
        <v>161.99999999999997</v>
      </c>
      <c r="M27" s="11">
        <v>20</v>
      </c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2:38" ht="25.05" customHeight="1">
      <c r="B28" s="13"/>
      <c r="C28" s="14"/>
      <c r="D28" s="6"/>
      <c r="E28" s="15" t="s">
        <v>2429</v>
      </c>
      <c r="F28" s="55" t="s">
        <v>42</v>
      </c>
      <c r="G28" s="9">
        <v>0</v>
      </c>
      <c r="H28" s="9">
        <v>2.0833333333333332E-2</v>
      </c>
      <c r="I28" s="10">
        <f t="shared" si="0"/>
        <v>2.0833333333333332E-2</v>
      </c>
      <c r="J28" s="11">
        <v>2</v>
      </c>
      <c r="K28" s="11">
        <v>216</v>
      </c>
      <c r="L28" s="16">
        <f t="shared" si="1"/>
        <v>216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2:38" ht="25.05" customHeight="1">
      <c r="B29" s="13"/>
      <c r="C29" s="14"/>
      <c r="D29" s="6"/>
      <c r="E29" s="15" t="s">
        <v>2430</v>
      </c>
      <c r="F29" s="57">
        <v>1</v>
      </c>
      <c r="G29" s="9">
        <v>4.1666666666666664E-2</v>
      </c>
      <c r="H29" s="9">
        <v>6.25E-2</v>
      </c>
      <c r="I29" s="10">
        <f t="shared" si="0"/>
        <v>2.0833333333333336E-2</v>
      </c>
      <c r="J29" s="11">
        <v>1</v>
      </c>
      <c r="K29" s="11">
        <v>216</v>
      </c>
      <c r="L29" s="16">
        <f t="shared" si="1"/>
        <v>431.99999999999994</v>
      </c>
      <c r="M29" s="11">
        <v>30</v>
      </c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2:38" ht="25.05" customHeight="1">
      <c r="B30" s="13"/>
      <c r="C30" s="14"/>
      <c r="D30" s="6"/>
      <c r="E30" s="15" t="s">
        <v>2179</v>
      </c>
      <c r="F30" s="57">
        <v>1</v>
      </c>
      <c r="G30" s="9">
        <v>6.5972222222222224E-2</v>
      </c>
      <c r="H30" s="9">
        <v>7.9861111111111105E-2</v>
      </c>
      <c r="I30" s="10">
        <f t="shared" si="0"/>
        <v>1.3888888888888881E-2</v>
      </c>
      <c r="J30" s="11">
        <v>1</v>
      </c>
      <c r="K30" s="11">
        <v>18</v>
      </c>
      <c r="L30" s="16">
        <f t="shared" si="1"/>
        <v>54.000000000000028</v>
      </c>
      <c r="M30" s="11">
        <v>20</v>
      </c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2:38" ht="25.05" customHeight="1">
      <c r="B31" s="13"/>
      <c r="C31" s="14"/>
      <c r="D31" s="6"/>
      <c r="E31" s="15" t="s">
        <v>2180</v>
      </c>
      <c r="F31" s="55" t="s">
        <v>42</v>
      </c>
      <c r="G31" s="9">
        <v>0.875</v>
      </c>
      <c r="H31" s="9">
        <v>0.91666666666666663</v>
      </c>
      <c r="I31" s="10">
        <f t="shared" si="0"/>
        <v>4.166666666666663E-2</v>
      </c>
      <c r="J31" s="11">
        <v>2</v>
      </c>
      <c r="K31" s="11">
        <v>253.5</v>
      </c>
      <c r="L31" s="16">
        <f t="shared" si="1"/>
        <v>126.75000000000011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2:38" s="110" customFormat="1" ht="25.5" customHeight="1">
      <c r="B32" s="100"/>
      <c r="C32" s="101"/>
      <c r="D32" s="102"/>
      <c r="E32" s="103" t="s">
        <v>2431</v>
      </c>
      <c r="F32" s="104">
        <v>0.9</v>
      </c>
      <c r="G32" s="105">
        <v>8.3333333333333329E-2</v>
      </c>
      <c r="H32" s="105">
        <v>9.7222222222222224E-2</v>
      </c>
      <c r="I32" s="106">
        <f t="shared" si="0"/>
        <v>1.3888888888888895E-2</v>
      </c>
      <c r="J32" s="107">
        <v>2</v>
      </c>
      <c r="K32" s="107">
        <v>54</v>
      </c>
      <c r="L32" s="108">
        <f t="shared" si="1"/>
        <v>80.999999999999957</v>
      </c>
      <c r="M32" s="107">
        <v>20</v>
      </c>
      <c r="N32" s="107"/>
      <c r="O32" s="107"/>
      <c r="P32" s="107"/>
      <c r="Q32" s="107"/>
      <c r="R32" s="109"/>
      <c r="S32" s="109"/>
      <c r="T32" s="107"/>
      <c r="U32" s="107"/>
      <c r="V32" s="109"/>
      <c r="W32" s="109"/>
      <c r="X32" s="107"/>
      <c r="Y32" s="107"/>
      <c r="Z32" s="107"/>
      <c r="AA32" s="107"/>
      <c r="AB32" s="107"/>
      <c r="AC32" s="107"/>
      <c r="AD32" s="107"/>
      <c r="AE32" s="107"/>
      <c r="AF32" s="107"/>
      <c r="AG32" s="107"/>
      <c r="AH32" s="107"/>
      <c r="AI32" s="107"/>
      <c r="AJ32" s="107"/>
      <c r="AK32" s="107"/>
      <c r="AL32" s="107"/>
    </row>
    <row r="33" spans="1:38" ht="25.5" customHeight="1">
      <c r="B33" s="13"/>
      <c r="C33" s="14"/>
      <c r="D33" s="6"/>
      <c r="E33" s="15" t="s">
        <v>2432</v>
      </c>
      <c r="F33" s="57">
        <v>1</v>
      </c>
      <c r="G33" s="9">
        <v>0.10416666666666667</v>
      </c>
      <c r="H33" s="9">
        <v>0.11805555555555555</v>
      </c>
      <c r="I33" s="10">
        <f t="shared" si="0"/>
        <v>1.3888888888888881E-2</v>
      </c>
      <c r="J33" s="11">
        <v>2</v>
      </c>
      <c r="K33" s="11">
        <v>39.299999999999997</v>
      </c>
      <c r="L33" s="16">
        <f t="shared" si="1"/>
        <v>58.950000000000024</v>
      </c>
      <c r="M33" s="11">
        <v>20</v>
      </c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ht="25.05" customHeight="1">
      <c r="B34" s="13"/>
      <c r="C34" s="14"/>
      <c r="D34" s="6"/>
      <c r="E34" s="15"/>
      <c r="F34" s="55"/>
      <c r="G34" s="9"/>
      <c r="H34" s="9"/>
      <c r="I34" s="10">
        <f t="shared" si="0"/>
        <v>0</v>
      </c>
      <c r="J34" s="11"/>
      <c r="K34" s="11"/>
      <c r="L34" s="16" t="str">
        <f t="shared" si="1"/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</row>
    <row r="35" spans="1:38" s="89" customFormat="1" ht="25.05" customHeight="1">
      <c r="B35" s="90"/>
      <c r="C35" s="91"/>
      <c r="D35" s="92" t="s">
        <v>2412</v>
      </c>
      <c r="E35" s="128" t="s">
        <v>2433</v>
      </c>
      <c r="F35" s="93" t="s">
        <v>209</v>
      </c>
      <c r="G35" s="94">
        <v>6.25E-2</v>
      </c>
      <c r="H35" s="94">
        <v>0.16666666666666666</v>
      </c>
      <c r="I35" s="95">
        <f t="shared" si="0"/>
        <v>0.10416666666666666</v>
      </c>
      <c r="J35" s="96">
        <v>4</v>
      </c>
      <c r="K35" s="96">
        <v>300</v>
      </c>
      <c r="L35" s="16">
        <f t="shared" si="1"/>
        <v>30.000000000000004</v>
      </c>
      <c r="M35" s="96"/>
      <c r="N35" s="96"/>
      <c r="O35" s="96"/>
      <c r="P35" s="96"/>
      <c r="Q35" s="96"/>
      <c r="R35" s="97"/>
      <c r="S35" s="97"/>
      <c r="T35" s="96"/>
      <c r="U35" s="96"/>
      <c r="V35" s="97"/>
      <c r="W35" s="97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</row>
    <row r="36" spans="1:38" s="89" customFormat="1" ht="25.05" customHeight="1">
      <c r="B36" s="90"/>
      <c r="C36" s="91"/>
      <c r="D36" s="92"/>
      <c r="E36" s="128" t="s">
        <v>2434</v>
      </c>
      <c r="F36" s="93" t="s">
        <v>209</v>
      </c>
      <c r="G36" s="94">
        <v>6.25E-2</v>
      </c>
      <c r="H36" s="94">
        <v>0.25</v>
      </c>
      <c r="I36" s="95">
        <f t="shared" si="0"/>
        <v>0.1875</v>
      </c>
      <c r="J36" s="96">
        <v>2</v>
      </c>
      <c r="K36" s="96">
        <v>100</v>
      </c>
      <c r="L36" s="16">
        <f t="shared" si="1"/>
        <v>11.111111111111112</v>
      </c>
      <c r="M36" s="96"/>
      <c r="N36" s="96"/>
      <c r="O36" s="96"/>
      <c r="P36" s="96"/>
      <c r="Q36" s="96"/>
      <c r="R36" s="97"/>
      <c r="S36" s="97"/>
      <c r="T36" s="96"/>
      <c r="U36" s="96"/>
      <c r="V36" s="97"/>
      <c r="W36" s="97"/>
      <c r="X36" s="96"/>
      <c r="Y36" s="96"/>
      <c r="Z36" s="96"/>
      <c r="AA36" s="96"/>
      <c r="AB36" s="96"/>
      <c r="AC36" s="96"/>
      <c r="AD36" s="96"/>
      <c r="AE36" s="96"/>
      <c r="AF36" s="96"/>
      <c r="AG36" s="96"/>
      <c r="AH36" s="96"/>
      <c r="AI36" s="96"/>
      <c r="AJ36" s="96"/>
      <c r="AK36" s="96"/>
      <c r="AL36" s="96"/>
    </row>
    <row r="37" spans="1:38" s="89" customFormat="1" ht="25.05" customHeight="1">
      <c r="B37" s="90"/>
      <c r="C37" s="91"/>
      <c r="D37" s="92"/>
      <c r="E37" s="128" t="s">
        <v>2435</v>
      </c>
      <c r="F37" s="93" t="s">
        <v>1676</v>
      </c>
      <c r="G37" s="94">
        <v>0.1875</v>
      </c>
      <c r="H37" s="94">
        <v>0.2361111111111111</v>
      </c>
      <c r="I37" s="95">
        <f t="shared" si="0"/>
        <v>4.8611111111111105E-2</v>
      </c>
      <c r="J37" s="96">
        <v>1</v>
      </c>
      <c r="K37" s="96">
        <v>50</v>
      </c>
      <c r="L37" s="16">
        <f t="shared" si="1"/>
        <v>42.857142857142861</v>
      </c>
      <c r="M37" s="96"/>
      <c r="N37" s="96"/>
      <c r="O37" s="96">
        <v>70</v>
      </c>
      <c r="P37" s="96"/>
      <c r="Q37" s="96"/>
      <c r="R37" s="97"/>
      <c r="S37" s="97"/>
      <c r="T37" s="96"/>
      <c r="U37" s="96"/>
      <c r="V37" s="97"/>
      <c r="W37" s="97"/>
      <c r="X37" s="96"/>
      <c r="Y37" s="96"/>
      <c r="Z37" s="96"/>
      <c r="AA37" s="96"/>
      <c r="AB37" s="96"/>
      <c r="AC37" s="96"/>
      <c r="AD37" s="96"/>
      <c r="AE37" s="96"/>
      <c r="AF37" s="96"/>
      <c r="AG37" s="96"/>
      <c r="AH37" s="96"/>
      <c r="AI37" s="96"/>
      <c r="AJ37" s="96"/>
      <c r="AK37" s="96"/>
      <c r="AL37" s="96"/>
    </row>
    <row r="38" spans="1:38" s="28" customFormat="1" ht="25.05" customHeight="1">
      <c r="A38" s="2"/>
      <c r="B38" s="21"/>
      <c r="C38" s="22"/>
      <c r="D38" s="23"/>
      <c r="E38" s="24"/>
      <c r="F38" s="24"/>
      <c r="G38" s="25"/>
      <c r="H38" s="25"/>
      <c r="I38" s="26"/>
      <c r="J38" s="27"/>
      <c r="K38" s="27">
        <f t="shared" ref="K38:AL38" si="2">SUM(K4:K35)</f>
        <v>2288.59</v>
      </c>
      <c r="L38" s="39">
        <f t="shared" si="2"/>
        <v>2582.6114285714261</v>
      </c>
      <c r="M38" s="27">
        <f t="shared" si="2"/>
        <v>265</v>
      </c>
      <c r="N38" s="27">
        <f t="shared" si="2"/>
        <v>0</v>
      </c>
      <c r="O38" s="27">
        <f t="shared" si="2"/>
        <v>10</v>
      </c>
      <c r="P38" s="27">
        <f t="shared" si="2"/>
        <v>0</v>
      </c>
      <c r="Q38" s="27">
        <f t="shared" si="2"/>
        <v>90</v>
      </c>
      <c r="R38" s="27">
        <f t="shared" si="2"/>
        <v>30</v>
      </c>
      <c r="S38" s="27">
        <f t="shared" si="2"/>
        <v>170</v>
      </c>
      <c r="T38" s="27">
        <f t="shared" si="2"/>
        <v>0</v>
      </c>
      <c r="U38" s="27">
        <f t="shared" si="2"/>
        <v>0</v>
      </c>
      <c r="V38" s="27">
        <f t="shared" si="2"/>
        <v>0</v>
      </c>
      <c r="W38" s="27">
        <f t="shared" si="2"/>
        <v>0</v>
      </c>
      <c r="X38" s="27">
        <f t="shared" si="2"/>
        <v>0</v>
      </c>
      <c r="Y38" s="27">
        <f t="shared" si="2"/>
        <v>0</v>
      </c>
      <c r="Z38" s="27">
        <f t="shared" si="2"/>
        <v>0</v>
      </c>
      <c r="AA38" s="27">
        <f t="shared" si="2"/>
        <v>0</v>
      </c>
      <c r="AB38" s="27">
        <f t="shared" si="2"/>
        <v>0</v>
      </c>
      <c r="AC38" s="27">
        <f t="shared" si="2"/>
        <v>0</v>
      </c>
      <c r="AD38" s="27">
        <f t="shared" si="2"/>
        <v>0</v>
      </c>
      <c r="AE38" s="27">
        <f t="shared" si="2"/>
        <v>0</v>
      </c>
      <c r="AF38" s="27">
        <f t="shared" si="2"/>
        <v>0</v>
      </c>
      <c r="AG38" s="27">
        <f t="shared" si="2"/>
        <v>0</v>
      </c>
      <c r="AH38" s="27">
        <f t="shared" si="2"/>
        <v>0</v>
      </c>
      <c r="AI38" s="27">
        <f t="shared" si="2"/>
        <v>0</v>
      </c>
      <c r="AJ38" s="27">
        <f t="shared" si="2"/>
        <v>0</v>
      </c>
      <c r="AK38" s="27">
        <f t="shared" si="2"/>
        <v>0</v>
      </c>
      <c r="AL38" s="27">
        <f t="shared" si="2"/>
        <v>0</v>
      </c>
    </row>
    <row r="39" spans="1:38" ht="25.05" customHeight="1">
      <c r="B39" s="13"/>
      <c r="C39" s="14" t="s">
        <v>43</v>
      </c>
      <c r="D39" s="6"/>
      <c r="E39" s="7" t="s">
        <v>41</v>
      </c>
      <c r="F39" s="8" t="s">
        <v>42</v>
      </c>
      <c r="G39" s="9"/>
      <c r="H39" s="9"/>
      <c r="I39" s="10">
        <f>H39-G39</f>
        <v>0</v>
      </c>
      <c r="J39" s="11"/>
      <c r="K39" s="11"/>
      <c r="L39" s="16" t="str">
        <f>IFERROR(((K39/(J39*I39)/24)),"0")</f>
        <v>0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</row>
    <row r="40" spans="1:38" ht="25.05" customHeight="1">
      <c r="B40" s="13"/>
      <c r="C40" s="14"/>
      <c r="D40" s="18"/>
      <c r="E40" s="6"/>
      <c r="F40" s="14"/>
      <c r="G40" s="9"/>
      <c r="H40" s="9"/>
      <c r="I40" s="10"/>
      <c r="J40" s="11"/>
      <c r="K40" s="11"/>
      <c r="L40" s="16"/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</row>
    <row r="41" spans="1:38" s="28" customFormat="1" ht="25.05" customHeight="1">
      <c r="A41" s="2"/>
      <c r="B41" s="21"/>
      <c r="C41" s="22"/>
      <c r="D41" s="23"/>
      <c r="E41" s="24"/>
      <c r="F41" s="22"/>
      <c r="G41" s="25"/>
      <c r="H41" s="25"/>
      <c r="I41" s="26"/>
      <c r="J41" s="27"/>
      <c r="K41" s="27">
        <f t="shared" ref="K41:AI41" si="3">SUM(K39:K40)</f>
        <v>0</v>
      </c>
      <c r="L41" s="27">
        <f t="shared" si="3"/>
        <v>0</v>
      </c>
      <c r="M41" s="27">
        <f t="shared" si="3"/>
        <v>0</v>
      </c>
      <c r="N41" s="27">
        <f t="shared" si="3"/>
        <v>0</v>
      </c>
      <c r="O41" s="27">
        <f t="shared" si="3"/>
        <v>0</v>
      </c>
      <c r="P41" s="27">
        <f t="shared" si="3"/>
        <v>0</v>
      </c>
      <c r="Q41" s="27">
        <f t="shared" si="3"/>
        <v>0</v>
      </c>
      <c r="R41" s="27">
        <f t="shared" si="3"/>
        <v>0</v>
      </c>
      <c r="S41" s="27">
        <f t="shared" si="3"/>
        <v>0</v>
      </c>
      <c r="T41" s="27">
        <f t="shared" si="3"/>
        <v>0</v>
      </c>
      <c r="U41" s="27">
        <f t="shared" si="3"/>
        <v>0</v>
      </c>
      <c r="V41" s="27">
        <f t="shared" si="3"/>
        <v>0</v>
      </c>
      <c r="W41" s="27">
        <f t="shared" si="3"/>
        <v>0</v>
      </c>
      <c r="X41" s="27">
        <f t="shared" si="3"/>
        <v>0</v>
      </c>
      <c r="Y41" s="27">
        <f t="shared" si="3"/>
        <v>0</v>
      </c>
      <c r="Z41" s="27">
        <f t="shared" si="3"/>
        <v>0</v>
      </c>
      <c r="AA41" s="27">
        <f t="shared" si="3"/>
        <v>0</v>
      </c>
      <c r="AB41" s="27">
        <f t="shared" si="3"/>
        <v>0</v>
      </c>
      <c r="AC41" s="27">
        <f t="shared" si="3"/>
        <v>0</v>
      </c>
      <c r="AD41" s="27">
        <f t="shared" si="3"/>
        <v>0</v>
      </c>
      <c r="AE41" s="27">
        <f t="shared" si="3"/>
        <v>0</v>
      </c>
      <c r="AF41" s="27">
        <f t="shared" si="3"/>
        <v>0</v>
      </c>
      <c r="AG41" s="27">
        <f t="shared" si="3"/>
        <v>0</v>
      </c>
      <c r="AH41" s="27">
        <f t="shared" si="3"/>
        <v>0</v>
      </c>
      <c r="AI41" s="27">
        <f t="shared" si="3"/>
        <v>0</v>
      </c>
      <c r="AJ41" s="27">
        <f>SUM(AJ39:AJ40)</f>
        <v>0</v>
      </c>
      <c r="AK41" s="27">
        <f>SUM(AK39:AK40)</f>
        <v>0</v>
      </c>
      <c r="AL41" s="27">
        <f>SUM(AL39:AL40)</f>
        <v>0</v>
      </c>
    </row>
    <row r="42" spans="1:38" ht="25.05" customHeight="1">
      <c r="B42" s="5"/>
      <c r="C42" s="29" t="s">
        <v>44</v>
      </c>
      <c r="D42" s="30"/>
      <c r="E42" s="7" t="s">
        <v>41</v>
      </c>
      <c r="F42" s="8" t="s">
        <v>42</v>
      </c>
      <c r="G42" s="9">
        <v>0.29166666666666669</v>
      </c>
      <c r="H42" s="9">
        <v>0.33333333333333331</v>
      </c>
      <c r="I42" s="10">
        <f t="shared" ref="I42:I79" si="4">H42-G42</f>
        <v>4.166666666666663E-2</v>
      </c>
      <c r="J42" s="11">
        <v>4</v>
      </c>
      <c r="K42" s="11" t="s">
        <v>209</v>
      </c>
      <c r="L42" s="16" t="str">
        <f t="shared" ref="L42:L79" si="5">IFERROR(((K42/(J42*I42)/24)),"0")</f>
        <v>0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 t="s">
        <v>2412</v>
      </c>
      <c r="E43" s="19" t="s">
        <v>2436</v>
      </c>
      <c r="F43" s="8" t="s">
        <v>42</v>
      </c>
      <c r="G43" s="9">
        <v>0.85486111111111107</v>
      </c>
      <c r="H43" s="9">
        <v>0.86944444444444446</v>
      </c>
      <c r="I43" s="10">
        <f t="shared" si="4"/>
        <v>1.4583333333333393E-2</v>
      </c>
      <c r="J43" s="11">
        <v>4</v>
      </c>
      <c r="K43" s="12">
        <v>90.2</v>
      </c>
      <c r="L43" s="16">
        <f t="shared" si="5"/>
        <v>64.428571428571175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>
        <v>21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2437</v>
      </c>
      <c r="F44" s="8" t="s">
        <v>42</v>
      </c>
      <c r="G44" s="9">
        <v>0.92013888888888884</v>
      </c>
      <c r="H44" s="9">
        <v>0.98819444444444449</v>
      </c>
      <c r="I44" s="10">
        <f t="shared" si="4"/>
        <v>6.8055555555555647E-2</v>
      </c>
      <c r="J44" s="11">
        <v>4</v>
      </c>
      <c r="K44" s="11">
        <v>181.31</v>
      </c>
      <c r="L44" s="16">
        <f t="shared" si="5"/>
        <v>27.75153061224486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>
        <v>98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2438</v>
      </c>
      <c r="F45" s="8" t="s">
        <v>42</v>
      </c>
      <c r="G45" s="9">
        <v>0.95486111111111116</v>
      </c>
      <c r="H45" s="9">
        <v>0.98750000000000004</v>
      </c>
      <c r="I45" s="10">
        <f t="shared" si="4"/>
        <v>3.2638888888888884E-2</v>
      </c>
      <c r="J45" s="11">
        <v>4</v>
      </c>
      <c r="K45" s="11">
        <v>124.26</v>
      </c>
      <c r="L45" s="16">
        <f t="shared" si="5"/>
        <v>39.657446808510649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5</v>
      </c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>
        <f>47/4</f>
        <v>11.75</v>
      </c>
      <c r="AH45" s="11">
        <f t="shared" ref="AH45:AJ45" si="6">47/4</f>
        <v>11.75</v>
      </c>
      <c r="AI45" s="11">
        <f t="shared" si="6"/>
        <v>11.75</v>
      </c>
      <c r="AJ45" s="11">
        <f t="shared" si="6"/>
        <v>11.75</v>
      </c>
      <c r="AK45" s="11"/>
      <c r="AL45" s="14"/>
    </row>
    <row r="46" spans="1:38" ht="25.05" customHeight="1">
      <c r="B46" s="13"/>
      <c r="C46" s="29"/>
      <c r="D46" s="30"/>
      <c r="E46" s="19" t="s">
        <v>2439</v>
      </c>
      <c r="F46" s="8" t="s">
        <v>42</v>
      </c>
      <c r="G46" s="9">
        <v>5.6250000000000001E-2</v>
      </c>
      <c r="H46" s="9">
        <v>8.6805555555555552E-2</v>
      </c>
      <c r="I46" s="10">
        <f t="shared" si="4"/>
        <v>3.0555555555555551E-2</v>
      </c>
      <c r="J46" s="11">
        <v>4</v>
      </c>
      <c r="K46" s="11">
        <v>120.59</v>
      </c>
      <c r="L46" s="16">
        <f t="shared" si="5"/>
        <v>41.110227272727279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5</v>
      </c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1">
        <v>11</v>
      </c>
      <c r="AH46" s="11">
        <v>11</v>
      </c>
      <c r="AI46" s="11">
        <v>11</v>
      </c>
      <c r="AJ46" s="11">
        <v>11</v>
      </c>
      <c r="AK46" s="11"/>
      <c r="AL46" s="14"/>
    </row>
    <row r="47" spans="1:38" ht="25.05" customHeight="1">
      <c r="B47" s="13"/>
      <c r="C47" s="29"/>
      <c r="D47" s="30"/>
      <c r="E47" s="19" t="s">
        <v>2440</v>
      </c>
      <c r="F47" s="8" t="s">
        <v>42</v>
      </c>
      <c r="G47" s="9">
        <v>9.4444444444444442E-2</v>
      </c>
      <c r="H47" s="9">
        <v>0.12222222222222222</v>
      </c>
      <c r="I47" s="10">
        <f t="shared" si="4"/>
        <v>2.7777777777777776E-2</v>
      </c>
      <c r="J47" s="11">
        <v>4</v>
      </c>
      <c r="K47" s="11">
        <v>118.48</v>
      </c>
      <c r="L47" s="16">
        <f t="shared" si="5"/>
        <v>44.430000000000007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5</v>
      </c>
      <c r="W47" s="12"/>
      <c r="X47" s="11"/>
      <c r="Y47" s="11"/>
      <c r="Z47" s="11"/>
      <c r="AA47" s="11"/>
      <c r="AB47" s="11"/>
      <c r="AC47" s="11"/>
      <c r="AD47" s="11"/>
      <c r="AE47" s="11"/>
      <c r="AF47" s="11"/>
      <c r="AG47" s="11">
        <v>10</v>
      </c>
      <c r="AH47" s="11">
        <v>10</v>
      </c>
      <c r="AI47" s="11">
        <v>10</v>
      </c>
      <c r="AJ47" s="11">
        <v>10</v>
      </c>
      <c r="AK47" s="11"/>
      <c r="AL47" s="14"/>
    </row>
    <row r="48" spans="1:38" ht="25.05" customHeight="1">
      <c r="B48" s="13"/>
      <c r="C48" s="29"/>
      <c r="D48" s="30"/>
      <c r="E48" s="19" t="s">
        <v>2441</v>
      </c>
      <c r="F48" s="8" t="s">
        <v>42</v>
      </c>
      <c r="G48" s="9">
        <v>0.15347222222222223</v>
      </c>
      <c r="H48" s="9">
        <v>0.18124999999999999</v>
      </c>
      <c r="I48" s="10">
        <f t="shared" si="4"/>
        <v>2.7777777777777762E-2</v>
      </c>
      <c r="J48" s="11">
        <v>4</v>
      </c>
      <c r="K48" s="12">
        <v>119.6</v>
      </c>
      <c r="L48" s="16">
        <f t="shared" si="5"/>
        <v>44.850000000000023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5</v>
      </c>
      <c r="W48" s="12"/>
      <c r="X48" s="11"/>
      <c r="Y48" s="11"/>
      <c r="Z48" s="11"/>
      <c r="AA48" s="11"/>
      <c r="AB48" s="11"/>
      <c r="AC48" s="11"/>
      <c r="AD48" s="11"/>
      <c r="AE48" s="11"/>
      <c r="AF48" s="11"/>
      <c r="AG48" s="11">
        <v>10</v>
      </c>
      <c r="AH48" s="11">
        <v>10</v>
      </c>
      <c r="AI48" s="11">
        <v>10</v>
      </c>
      <c r="AJ48" s="11">
        <v>10</v>
      </c>
      <c r="AK48" s="11"/>
      <c r="AL48" s="14"/>
    </row>
    <row r="49" spans="2:38" ht="25.05" customHeight="1">
      <c r="B49" s="13"/>
      <c r="C49" s="29"/>
      <c r="D49" s="30"/>
      <c r="E49" s="19" t="s">
        <v>2442</v>
      </c>
      <c r="F49" s="8" t="s">
        <v>42</v>
      </c>
      <c r="G49" s="9">
        <v>0.18263888888888888</v>
      </c>
      <c r="H49" s="9">
        <v>0.20972222222222223</v>
      </c>
      <c r="I49" s="10">
        <f>H49-G49</f>
        <v>2.7083333333333348E-2</v>
      </c>
      <c r="J49" s="11">
        <v>4</v>
      </c>
      <c r="K49" s="11">
        <v>130.66999999999999</v>
      </c>
      <c r="L49" s="16">
        <f>IFERROR(((K49/(J49*I49)/24)),"0")</f>
        <v>50.257692307692274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5</v>
      </c>
      <c r="W49" s="12"/>
      <c r="X49" s="11"/>
      <c r="Y49" s="11"/>
      <c r="Z49" s="11"/>
      <c r="AA49" s="11"/>
      <c r="AB49" s="11"/>
      <c r="AC49" s="11"/>
      <c r="AD49" s="11"/>
      <c r="AE49" s="11"/>
      <c r="AF49" s="11"/>
      <c r="AG49" s="11">
        <v>9.75</v>
      </c>
      <c r="AH49" s="11">
        <v>9.75</v>
      </c>
      <c r="AI49" s="11">
        <v>9.75</v>
      </c>
      <c r="AJ49" s="11">
        <v>9.75</v>
      </c>
      <c r="AK49" s="11"/>
      <c r="AL49" s="14"/>
    </row>
    <row r="50" spans="2:38" ht="25.05" customHeight="1">
      <c r="B50" s="13"/>
      <c r="C50" s="29"/>
      <c r="D50" s="30"/>
      <c r="E50" s="19"/>
      <c r="F50" s="8"/>
      <c r="G50" s="9"/>
      <c r="H50" s="9"/>
      <c r="I50" s="10">
        <f t="shared" si="4"/>
        <v>0</v>
      </c>
      <c r="J50" s="11"/>
      <c r="K50" s="11"/>
      <c r="L50" s="16" t="str">
        <f t="shared" si="5"/>
        <v>0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 t="s">
        <v>2219</v>
      </c>
      <c r="E51" s="19" t="s">
        <v>2266</v>
      </c>
      <c r="F51" s="8" t="s">
        <v>42</v>
      </c>
      <c r="G51" s="9">
        <v>0.84236111111111112</v>
      </c>
      <c r="H51" s="9">
        <v>0.86458333333333337</v>
      </c>
      <c r="I51" s="10">
        <f t="shared" si="4"/>
        <v>2.2222222222222254E-2</v>
      </c>
      <c r="J51" s="11">
        <v>4</v>
      </c>
      <c r="K51" s="11">
        <v>33.96</v>
      </c>
      <c r="L51" s="16">
        <f t="shared" si="5"/>
        <v>15.918749999999976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/>
      <c r="AA51" s="11"/>
      <c r="AB51" s="11"/>
      <c r="AC51" s="11"/>
      <c r="AD51" s="11"/>
      <c r="AE51" s="11"/>
      <c r="AF51" s="11"/>
      <c r="AG51" s="12">
        <f>32/4</f>
        <v>8</v>
      </c>
      <c r="AH51" s="12">
        <f t="shared" ref="AH51:AJ51" si="7">32/4</f>
        <v>8</v>
      </c>
      <c r="AI51" s="12">
        <f t="shared" si="7"/>
        <v>8</v>
      </c>
      <c r="AJ51" s="12">
        <f t="shared" si="7"/>
        <v>8</v>
      </c>
      <c r="AK51" s="11"/>
      <c r="AL51" s="14"/>
    </row>
    <row r="52" spans="2:38" ht="25.05" customHeight="1">
      <c r="B52" s="13"/>
      <c r="C52" s="29"/>
      <c r="D52" s="30"/>
      <c r="E52" s="19" t="s">
        <v>2267</v>
      </c>
      <c r="F52" s="8" t="s">
        <v>42</v>
      </c>
      <c r="G52" s="9">
        <v>0.86458333333333337</v>
      </c>
      <c r="H52" s="9">
        <v>0.88194444444444442</v>
      </c>
      <c r="I52" s="10">
        <f t="shared" si="4"/>
        <v>1.7361111111111049E-2</v>
      </c>
      <c r="J52" s="11">
        <v>4</v>
      </c>
      <c r="K52" s="12">
        <v>34.799999999999997</v>
      </c>
      <c r="L52" s="16">
        <f t="shared" si="5"/>
        <v>20.880000000000074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2</v>
      </c>
      <c r="X52" s="11"/>
      <c r="Y52" s="11"/>
      <c r="Z52" s="11"/>
      <c r="AA52" s="11"/>
      <c r="AB52" s="11"/>
      <c r="AC52" s="11"/>
      <c r="AD52" s="11"/>
      <c r="AE52" s="11"/>
      <c r="AF52" s="11"/>
      <c r="AG52" s="11">
        <f>25/4</f>
        <v>6.25</v>
      </c>
      <c r="AH52" s="11">
        <f t="shared" ref="AH52:AJ53" si="8">25/4</f>
        <v>6.25</v>
      </c>
      <c r="AI52" s="11">
        <f t="shared" si="8"/>
        <v>6.25</v>
      </c>
      <c r="AJ52" s="11">
        <f t="shared" si="8"/>
        <v>6.25</v>
      </c>
      <c r="AK52" s="11"/>
      <c r="AL52" s="14"/>
    </row>
    <row r="53" spans="2:38" ht="25.05" customHeight="1">
      <c r="B53" s="13"/>
      <c r="C53" s="29"/>
      <c r="D53" s="30"/>
      <c r="E53" s="19" t="s">
        <v>2268</v>
      </c>
      <c r="F53" s="8" t="s">
        <v>42</v>
      </c>
      <c r="G53" s="9">
        <v>0.88402777777777775</v>
      </c>
      <c r="H53" s="9">
        <v>0.90138888888888891</v>
      </c>
      <c r="I53" s="10">
        <f t="shared" si="4"/>
        <v>1.736111111111116E-2</v>
      </c>
      <c r="J53" s="11">
        <v>4</v>
      </c>
      <c r="K53" s="11">
        <v>35.020000000000003</v>
      </c>
      <c r="L53" s="16">
        <f t="shared" si="5"/>
        <v>21.01199999999994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/>
      <c r="AB53" s="11"/>
      <c r="AC53" s="11"/>
      <c r="AD53" s="11"/>
      <c r="AE53" s="11"/>
      <c r="AF53" s="11"/>
      <c r="AG53" s="11">
        <f>25/4</f>
        <v>6.25</v>
      </c>
      <c r="AH53" s="11">
        <f t="shared" si="8"/>
        <v>6.25</v>
      </c>
      <c r="AI53" s="11">
        <f t="shared" si="8"/>
        <v>6.25</v>
      </c>
      <c r="AJ53" s="11">
        <f t="shared" si="8"/>
        <v>6.25</v>
      </c>
      <c r="AK53" s="11"/>
      <c r="AL53" s="14"/>
    </row>
    <row r="54" spans="2:38" ht="25.05" customHeight="1">
      <c r="B54" s="13"/>
      <c r="C54" s="29"/>
      <c r="D54" s="30"/>
      <c r="E54" s="19" t="s">
        <v>2269</v>
      </c>
      <c r="F54" s="8" t="s">
        <v>42</v>
      </c>
      <c r="G54" s="9">
        <v>0.90277777777777779</v>
      </c>
      <c r="H54" s="9">
        <v>0.92152777777777772</v>
      </c>
      <c r="I54" s="10">
        <f t="shared" si="4"/>
        <v>1.8749999999999933E-2</v>
      </c>
      <c r="J54" s="11">
        <v>4</v>
      </c>
      <c r="K54" s="11">
        <v>37.880000000000003</v>
      </c>
      <c r="L54" s="16">
        <f t="shared" si="5"/>
        <v>21.044444444444519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2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>
        <f>27/4</f>
        <v>6.75</v>
      </c>
      <c r="AH54" s="11">
        <f t="shared" ref="AH54:AJ54" si="9">27/4</f>
        <v>6.75</v>
      </c>
      <c r="AI54" s="11">
        <f t="shared" si="9"/>
        <v>6.75</v>
      </c>
      <c r="AJ54" s="11">
        <f t="shared" si="9"/>
        <v>6.75</v>
      </c>
      <c r="AK54" s="11"/>
      <c r="AL54" s="14"/>
    </row>
    <row r="55" spans="2:38" ht="25.05" customHeight="1">
      <c r="B55" s="13"/>
      <c r="C55" s="29"/>
      <c r="D55" s="30"/>
      <c r="E55" s="19" t="s">
        <v>2443</v>
      </c>
      <c r="F55" s="8" t="s">
        <v>42</v>
      </c>
      <c r="G55" s="9">
        <v>0.85069444444444442</v>
      </c>
      <c r="H55" s="9">
        <v>0.86111111111111116</v>
      </c>
      <c r="I55" s="10">
        <f t="shared" si="4"/>
        <v>1.0416666666666741E-2</v>
      </c>
      <c r="J55" s="11">
        <v>4</v>
      </c>
      <c r="K55" s="11">
        <f>0.15*4</f>
        <v>0.6</v>
      </c>
      <c r="L55" s="16">
        <f t="shared" si="5"/>
        <v>0.59999999999999576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2444</v>
      </c>
      <c r="F56" s="8" t="s">
        <v>42</v>
      </c>
      <c r="G56" s="9">
        <v>0.95277777777777772</v>
      </c>
      <c r="H56" s="9">
        <v>0.96180555555555558</v>
      </c>
      <c r="I56" s="10">
        <f t="shared" si="4"/>
        <v>9.0277777777778567E-3</v>
      </c>
      <c r="J56" s="11">
        <v>4</v>
      </c>
      <c r="K56" s="11">
        <v>64.209999999999994</v>
      </c>
      <c r="L56" s="16">
        <f t="shared" si="5"/>
        <v>74.088461538460891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/>
      <c r="AA56" s="11"/>
      <c r="AB56" s="11"/>
      <c r="AC56" s="11"/>
      <c r="AD56" s="11">
        <v>13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2445</v>
      </c>
      <c r="F57" s="8" t="s">
        <v>42</v>
      </c>
      <c r="G57" s="9">
        <v>0.97916666666666663</v>
      </c>
      <c r="H57" s="9">
        <v>0.98611111111111116</v>
      </c>
      <c r="I57" s="10">
        <f t="shared" si="4"/>
        <v>6.9444444444445308E-3</v>
      </c>
      <c r="J57" s="11">
        <v>4</v>
      </c>
      <c r="K57" s="11">
        <v>66.349999999999994</v>
      </c>
      <c r="L57" s="16">
        <f t="shared" si="5"/>
        <v>99.524999999998741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2</v>
      </c>
      <c r="W57" s="12"/>
      <c r="X57" s="11"/>
      <c r="Y57" s="11"/>
      <c r="Z57" s="11"/>
      <c r="AA57" s="11"/>
      <c r="AB57" s="11"/>
      <c r="AC57" s="11"/>
      <c r="AD57" s="11">
        <v>10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2277</v>
      </c>
      <c r="F58" s="8" t="s">
        <v>42</v>
      </c>
      <c r="G58" s="9">
        <v>0.8930555555555556</v>
      </c>
      <c r="H58" s="9">
        <v>0.91319444444444442</v>
      </c>
      <c r="I58" s="10">
        <f t="shared" si="4"/>
        <v>2.0138888888888817E-2</v>
      </c>
      <c r="J58" s="11">
        <v>4</v>
      </c>
      <c r="K58" s="11">
        <v>149.08000000000001</v>
      </c>
      <c r="L58" s="16">
        <f t="shared" si="5"/>
        <v>77.110344827586488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/>
      <c r="AA58" s="11"/>
      <c r="AB58" s="11"/>
      <c r="AC58" s="11"/>
      <c r="AD58" s="11">
        <v>29</v>
      </c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2278</v>
      </c>
      <c r="F59" s="8" t="s">
        <v>42</v>
      </c>
      <c r="G59" s="9">
        <v>0.89444444444444449</v>
      </c>
      <c r="H59" s="9">
        <v>0.91666666666666663</v>
      </c>
      <c r="I59" s="10">
        <f>H59-G59</f>
        <v>2.2222222222222143E-2</v>
      </c>
      <c r="J59" s="11">
        <v>4</v>
      </c>
      <c r="K59" s="11">
        <v>151.24</v>
      </c>
      <c r="L59" s="16">
        <f>IFERROR(((K59/(J59*I59)/24)),"0")</f>
        <v>70.893750000000253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/>
      <c r="AB59" s="11">
        <v>32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2279</v>
      </c>
      <c r="F60" s="8" t="s">
        <v>42</v>
      </c>
      <c r="G60" s="9">
        <v>0.92083333333333328</v>
      </c>
      <c r="H60" s="9">
        <v>0.93819444444444444</v>
      </c>
      <c r="I60" s="10">
        <f>H60-G60</f>
        <v>1.736111111111116E-2</v>
      </c>
      <c r="J60" s="11">
        <v>4</v>
      </c>
      <c r="K60" s="11">
        <v>151.02000000000001</v>
      </c>
      <c r="L60" s="16">
        <f>IFERROR(((K60/(J60*I60)/24)),"0")</f>
        <v>90.611999999999753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/>
      <c r="AC60" s="11"/>
      <c r="AD60" s="11">
        <v>25</v>
      </c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2280</v>
      </c>
      <c r="F61" s="8" t="s">
        <v>42</v>
      </c>
      <c r="G61" s="9">
        <v>0.92847222222222225</v>
      </c>
      <c r="H61" s="9">
        <v>0.9458333333333333</v>
      </c>
      <c r="I61" s="10">
        <f>H61-G61</f>
        <v>1.7361111111111049E-2</v>
      </c>
      <c r="J61" s="11">
        <v>4</v>
      </c>
      <c r="K61" s="11">
        <v>151.03</v>
      </c>
      <c r="L61" s="16">
        <f>IFERROR(((K61/(J61*I61)/24)),"0")</f>
        <v>90.618000000000322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/>
      <c r="Y61" s="11"/>
      <c r="Z61" s="11"/>
      <c r="AA61" s="11"/>
      <c r="AB61" s="11">
        <v>25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/>
      <c r="F62" s="8"/>
      <c r="G62" s="9"/>
      <c r="H62" s="9"/>
      <c r="I62" s="10"/>
      <c r="J62" s="11"/>
      <c r="K62" s="11"/>
      <c r="L62" s="16"/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 t="s">
        <v>2446</v>
      </c>
      <c r="E63" s="19" t="s">
        <v>2447</v>
      </c>
      <c r="F63" s="8" t="s">
        <v>42</v>
      </c>
      <c r="G63" s="9">
        <v>7.013888888888889E-2</v>
      </c>
      <c r="H63" s="9">
        <v>0.12361111111111112</v>
      </c>
      <c r="I63" s="10">
        <f t="shared" si="4"/>
        <v>5.3472222222222227E-2</v>
      </c>
      <c r="J63" s="11">
        <v>4</v>
      </c>
      <c r="K63" s="11">
        <v>109.16</v>
      </c>
      <c r="L63" s="16">
        <f t="shared" si="5"/>
        <v>21.264935064935063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>
        <v>77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2448</v>
      </c>
      <c r="F64" s="8" t="s">
        <v>42</v>
      </c>
      <c r="G64" s="9">
        <v>7.1527777777777773E-2</v>
      </c>
      <c r="H64" s="9">
        <v>0.12361111111111112</v>
      </c>
      <c r="I64" s="10">
        <f t="shared" si="4"/>
        <v>5.2083333333333343E-2</v>
      </c>
      <c r="J64" s="11">
        <v>4</v>
      </c>
      <c r="K64" s="11">
        <v>108.03</v>
      </c>
      <c r="L64" s="16">
        <f t="shared" si="5"/>
        <v>21.605999999999995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2</v>
      </c>
      <c r="X64" s="11"/>
      <c r="Y64" s="11"/>
      <c r="Z64" s="11"/>
      <c r="AA64" s="11"/>
      <c r="AB64" s="11"/>
      <c r="AC64" s="11">
        <v>75</v>
      </c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2449</v>
      </c>
      <c r="F65" s="8" t="s">
        <v>42</v>
      </c>
      <c r="G65" s="9">
        <v>8.3333333333333329E-2</v>
      </c>
      <c r="H65" s="9">
        <v>0.12847222222222221</v>
      </c>
      <c r="I65" s="10">
        <f t="shared" si="4"/>
        <v>4.5138888888888881E-2</v>
      </c>
      <c r="J65" s="11">
        <v>4</v>
      </c>
      <c r="K65" s="11">
        <v>108.03</v>
      </c>
      <c r="L65" s="16">
        <f t="shared" si="5"/>
        <v>24.930000000000007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/>
      <c r="AC65" s="11"/>
      <c r="AD65" s="11">
        <v>65</v>
      </c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2450</v>
      </c>
      <c r="F66" s="8" t="s">
        <v>42</v>
      </c>
      <c r="G66" s="9">
        <v>0.13055555555555556</v>
      </c>
      <c r="H66" s="9">
        <v>0.17708333333333334</v>
      </c>
      <c r="I66" s="10">
        <f t="shared" si="4"/>
        <v>4.6527777777777779E-2</v>
      </c>
      <c r="J66" s="11">
        <v>4</v>
      </c>
      <c r="K66" s="11">
        <v>108.03</v>
      </c>
      <c r="L66" s="16">
        <f t="shared" si="5"/>
        <v>24.185820895522387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2</v>
      </c>
      <c r="X66" s="11"/>
      <c r="Y66" s="11"/>
      <c r="Z66" s="11"/>
      <c r="AA66" s="11"/>
      <c r="AB66" s="11">
        <v>67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2451</v>
      </c>
      <c r="F67" s="8" t="s">
        <v>42</v>
      </c>
      <c r="G67" s="9">
        <v>0.13194444444444445</v>
      </c>
      <c r="H67" s="9">
        <v>0.17777777777777778</v>
      </c>
      <c r="I67" s="10">
        <f t="shared" si="4"/>
        <v>4.5833333333333337E-2</v>
      </c>
      <c r="J67" s="11">
        <v>4</v>
      </c>
      <c r="K67" s="11">
        <v>108.01</v>
      </c>
      <c r="L67" s="16">
        <f t="shared" si="5"/>
        <v>24.547727272727272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/>
      <c r="AC67" s="11">
        <v>66</v>
      </c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2452</v>
      </c>
      <c r="F68" s="8" t="s">
        <v>42</v>
      </c>
      <c r="G68" s="9">
        <v>0.13402777777777777</v>
      </c>
      <c r="H68" s="9">
        <v>0.18055555555555555</v>
      </c>
      <c r="I68" s="10">
        <f t="shared" si="4"/>
        <v>4.6527777777777779E-2</v>
      </c>
      <c r="J68" s="11">
        <v>4</v>
      </c>
      <c r="K68" s="11">
        <v>107.04</v>
      </c>
      <c r="L68" s="16">
        <f t="shared" si="5"/>
        <v>23.964179104477612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2</v>
      </c>
      <c r="X68" s="11"/>
      <c r="Y68" s="11"/>
      <c r="Z68" s="11"/>
      <c r="AA68" s="11"/>
      <c r="AB68" s="11"/>
      <c r="AC68" s="11"/>
      <c r="AD68" s="11">
        <v>67</v>
      </c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2453</v>
      </c>
      <c r="F69" s="8" t="s">
        <v>42</v>
      </c>
      <c r="G69" s="9">
        <v>0.18124999999999999</v>
      </c>
      <c r="H69" s="9">
        <v>0.18680555555555556</v>
      </c>
      <c r="I69" s="10">
        <f t="shared" si="4"/>
        <v>5.5555555555555636E-3</v>
      </c>
      <c r="J69" s="11">
        <v>4</v>
      </c>
      <c r="K69" s="11" t="s">
        <v>209</v>
      </c>
      <c r="L69" s="16" t="str">
        <f t="shared" si="5"/>
        <v>0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/>
      <c r="AB69" s="11"/>
      <c r="AC69" s="11"/>
      <c r="AD69" s="11">
        <v>8</v>
      </c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2454</v>
      </c>
      <c r="F70" s="8" t="s">
        <v>42</v>
      </c>
      <c r="G70" s="9">
        <v>0.18124999999999999</v>
      </c>
      <c r="H70" s="9">
        <v>0.18680555555555556</v>
      </c>
      <c r="I70" s="10">
        <f t="shared" si="4"/>
        <v>5.5555555555555636E-3</v>
      </c>
      <c r="J70" s="11">
        <v>4</v>
      </c>
      <c r="K70" s="11" t="s">
        <v>209</v>
      </c>
      <c r="L70" s="16" t="str">
        <f t="shared" si="5"/>
        <v>0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>
        <v>8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2455</v>
      </c>
      <c r="F71" s="8" t="s">
        <v>42</v>
      </c>
      <c r="G71" s="9">
        <v>0.18194444444444444</v>
      </c>
      <c r="H71" s="9">
        <v>0.1875</v>
      </c>
      <c r="I71" s="10">
        <f t="shared" si="4"/>
        <v>5.5555555555555636E-3</v>
      </c>
      <c r="J71" s="11">
        <v>4</v>
      </c>
      <c r="K71" s="11" t="s">
        <v>209</v>
      </c>
      <c r="L71" s="16" t="str">
        <f t="shared" si="5"/>
        <v>0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>
        <v>8</v>
      </c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2456</v>
      </c>
      <c r="F72" s="8" t="s">
        <v>42</v>
      </c>
      <c r="G72" s="9">
        <v>0.19583333333333333</v>
      </c>
      <c r="H72" s="9">
        <v>0.2013888888888889</v>
      </c>
      <c r="I72" s="10">
        <f t="shared" si="4"/>
        <v>5.5555555555555636E-3</v>
      </c>
      <c r="J72" s="11">
        <v>4</v>
      </c>
      <c r="K72" s="11" t="s">
        <v>209</v>
      </c>
      <c r="L72" s="16" t="str">
        <f t="shared" si="5"/>
        <v>0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/>
      <c r="X72" s="11"/>
      <c r="Y72" s="11"/>
      <c r="Z72" s="11"/>
      <c r="AA72" s="11"/>
      <c r="AB72" s="11"/>
      <c r="AC72" s="11"/>
      <c r="AD72" s="11">
        <v>8</v>
      </c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2457</v>
      </c>
      <c r="F73" s="8" t="s">
        <v>42</v>
      </c>
      <c r="G73" s="9">
        <v>0.19722222222222222</v>
      </c>
      <c r="H73" s="9">
        <v>0.20277777777777778</v>
      </c>
      <c r="I73" s="10">
        <f t="shared" si="4"/>
        <v>5.5555555555555636E-3</v>
      </c>
      <c r="J73" s="11">
        <v>4</v>
      </c>
      <c r="K73" s="11" t="s">
        <v>209</v>
      </c>
      <c r="L73" s="16" t="str">
        <f t="shared" si="5"/>
        <v>0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/>
      <c r="X73" s="11"/>
      <c r="Y73" s="11"/>
      <c r="Z73" s="11"/>
      <c r="AA73" s="11"/>
      <c r="AB73" s="11">
        <v>8</v>
      </c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2458</v>
      </c>
      <c r="F74" s="8" t="s">
        <v>42</v>
      </c>
      <c r="G74" s="9">
        <v>0.19791666666666666</v>
      </c>
      <c r="H74" s="9">
        <v>0.20347222222222222</v>
      </c>
      <c r="I74" s="10">
        <f t="shared" si="4"/>
        <v>5.5555555555555636E-3</v>
      </c>
      <c r="J74" s="11">
        <v>4</v>
      </c>
      <c r="K74" s="11" t="s">
        <v>209</v>
      </c>
      <c r="L74" s="16" t="str">
        <f t="shared" si="5"/>
        <v>0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/>
      <c r="X74" s="11"/>
      <c r="Y74" s="11"/>
      <c r="Z74" s="11"/>
      <c r="AA74" s="11"/>
      <c r="AB74" s="11"/>
      <c r="AC74" s="11">
        <v>8</v>
      </c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1127</v>
      </c>
      <c r="F75" s="8" t="s">
        <v>42</v>
      </c>
      <c r="G75" s="9">
        <v>0.19305555555555556</v>
      </c>
      <c r="H75" s="9">
        <v>0.2048611111111111</v>
      </c>
      <c r="I75" s="10">
        <f t="shared" si="4"/>
        <v>1.1805555555555541E-2</v>
      </c>
      <c r="J75" s="11">
        <v>4</v>
      </c>
      <c r="K75" s="12">
        <v>121.9</v>
      </c>
      <c r="L75" s="16">
        <f t="shared" si="5"/>
        <v>107.5588235294119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2</v>
      </c>
      <c r="W75" s="12"/>
      <c r="X75" s="11">
        <f>17/2</f>
        <v>8.5</v>
      </c>
      <c r="Y75" s="11">
        <f>17/2</f>
        <v>8.5</v>
      </c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1128</v>
      </c>
      <c r="F76" s="8" t="s">
        <v>42</v>
      </c>
      <c r="G76" s="9">
        <v>0.19444444444444445</v>
      </c>
      <c r="H76" s="9">
        <v>0.20624999999999999</v>
      </c>
      <c r="I76" s="10">
        <f t="shared" si="4"/>
        <v>1.1805555555555541E-2</v>
      </c>
      <c r="J76" s="11">
        <v>4</v>
      </c>
      <c r="K76" s="12">
        <v>113.1</v>
      </c>
      <c r="L76" s="16">
        <f t="shared" si="5"/>
        <v>99.79411764705894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>
        <f>17/2</f>
        <v>8.5</v>
      </c>
      <c r="AA76" s="11">
        <f>17/2</f>
        <v>8.5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1129</v>
      </c>
      <c r="F77" s="8" t="s">
        <v>42</v>
      </c>
      <c r="G77" s="9">
        <v>0.2076388888888889</v>
      </c>
      <c r="H77" s="9">
        <v>0.21944444444444444</v>
      </c>
      <c r="I77" s="10">
        <f t="shared" si="4"/>
        <v>1.1805555555555541E-2</v>
      </c>
      <c r="J77" s="11">
        <v>4</v>
      </c>
      <c r="K77" s="11">
        <v>120.74</v>
      </c>
      <c r="L77" s="16">
        <f t="shared" si="5"/>
        <v>106.53529411764718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2</v>
      </c>
      <c r="W77" s="12"/>
      <c r="X77" s="11">
        <f>17/2</f>
        <v>8.5</v>
      </c>
      <c r="Y77" s="11">
        <f>17/2</f>
        <v>8.5</v>
      </c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1130</v>
      </c>
      <c r="F78" s="8" t="s">
        <v>42</v>
      </c>
      <c r="G78" s="9">
        <v>0.21458333333333332</v>
      </c>
      <c r="H78" s="9">
        <v>0.22638888888888889</v>
      </c>
      <c r="I78" s="10">
        <f t="shared" si="4"/>
        <v>1.1805555555555569E-2</v>
      </c>
      <c r="J78" s="11">
        <v>4</v>
      </c>
      <c r="K78" s="11">
        <v>121.78</v>
      </c>
      <c r="L78" s="16">
        <f t="shared" si="5"/>
        <v>107.45294117647046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/>
      <c r="Z78" s="11">
        <f>17/2</f>
        <v>8.5</v>
      </c>
      <c r="AA78" s="11">
        <f>17/2</f>
        <v>8.5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1131</v>
      </c>
      <c r="F79" s="8" t="s">
        <v>42</v>
      </c>
      <c r="G79" s="9">
        <v>0.22152777777777777</v>
      </c>
      <c r="H79" s="9">
        <v>0.2326388888888889</v>
      </c>
      <c r="I79" s="10">
        <f t="shared" si="4"/>
        <v>1.1111111111111127E-2</v>
      </c>
      <c r="J79" s="11">
        <v>4</v>
      </c>
      <c r="K79" s="12">
        <v>119.6</v>
      </c>
      <c r="L79" s="16">
        <f t="shared" si="5"/>
        <v>112.12499999999983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2</v>
      </c>
      <c r="W79" s="12"/>
      <c r="X79" s="98">
        <f>16/2</f>
        <v>8</v>
      </c>
      <c r="Y79" s="98">
        <f>16/2</f>
        <v>8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1132</v>
      </c>
      <c r="F80" s="8" t="s">
        <v>42</v>
      </c>
      <c r="G80" s="9">
        <v>0.22708333333333333</v>
      </c>
      <c r="H80" s="9">
        <v>0.23819444444444443</v>
      </c>
      <c r="I80" s="10">
        <f t="shared" ref="I80:I85" si="10">H80-G80</f>
        <v>1.1111111111111099E-2</v>
      </c>
      <c r="J80" s="11">
        <v>4</v>
      </c>
      <c r="K80" s="11">
        <v>120.53</v>
      </c>
      <c r="L80" s="16">
        <f t="shared" ref="L80:L85" si="11">IFERROR(((K80/(J80*I80)/24)),"0")</f>
        <v>112.99687500000012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/>
      <c r="Y80" s="11"/>
      <c r="Z80" s="98">
        <f>16/2</f>
        <v>8</v>
      </c>
      <c r="AA80" s="98">
        <f>16/2</f>
        <v>8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1:38" ht="25.05" customHeight="1">
      <c r="B81" s="13"/>
      <c r="C81" s="29"/>
      <c r="D81" s="30"/>
      <c r="E81" s="19" t="s">
        <v>2459</v>
      </c>
      <c r="F81" s="8" t="s">
        <v>42</v>
      </c>
      <c r="G81" s="9">
        <v>0.2361111111111111</v>
      </c>
      <c r="H81" s="9">
        <v>0.24444444444444444</v>
      </c>
      <c r="I81" s="10">
        <f>H81-G81</f>
        <v>8.3333333333333315E-3</v>
      </c>
      <c r="J81" s="11">
        <v>4</v>
      </c>
      <c r="K81" s="11">
        <v>62.51</v>
      </c>
      <c r="L81" s="16">
        <f>IFERROR(((K81/(J81*I81)/24)),"0")</f>
        <v>78.137500000000017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98">
        <f>12/2</f>
        <v>6</v>
      </c>
      <c r="Y81" s="98">
        <f>12/2</f>
        <v>6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1:38" ht="25.05" customHeight="1">
      <c r="B82" s="13"/>
      <c r="C82" s="29"/>
      <c r="D82" s="30"/>
      <c r="E82" s="19" t="s">
        <v>2460</v>
      </c>
      <c r="F82" s="8" t="s">
        <v>42</v>
      </c>
      <c r="G82" s="9">
        <v>0.86388888888888893</v>
      </c>
      <c r="H82" s="9">
        <v>0.87291666666666667</v>
      </c>
      <c r="I82" s="10">
        <f t="shared" si="10"/>
        <v>9.0277777777777457E-3</v>
      </c>
      <c r="J82" s="11">
        <v>4</v>
      </c>
      <c r="K82" s="12">
        <v>35.4</v>
      </c>
      <c r="L82" s="16">
        <f t="shared" si="11"/>
        <v>40.846153846153989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/>
      <c r="AB82" s="11">
        <v>13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1:38" ht="25.05" customHeight="1">
      <c r="B83" s="13"/>
      <c r="C83" s="29"/>
      <c r="D83" s="30"/>
      <c r="E83" s="19"/>
      <c r="F83" s="8" t="s">
        <v>42</v>
      </c>
      <c r="G83" s="9"/>
      <c r="H83" s="9"/>
      <c r="I83" s="10"/>
      <c r="J83" s="11"/>
      <c r="K83" s="11"/>
      <c r="L83" s="16"/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1:38" ht="25.05" customHeight="1">
      <c r="B84" s="13"/>
      <c r="C84" s="29"/>
      <c r="D84" s="30" t="s">
        <v>2461</v>
      </c>
      <c r="E84" s="19" t="s">
        <v>1667</v>
      </c>
      <c r="F84" s="8" t="s">
        <v>42</v>
      </c>
      <c r="G84" s="9">
        <v>7.013888888888889E-2</v>
      </c>
      <c r="H84" s="9">
        <v>7.7777777777777779E-2</v>
      </c>
      <c r="I84" s="10">
        <f t="shared" si="10"/>
        <v>7.6388888888888895E-3</v>
      </c>
      <c r="J84" s="11">
        <v>4</v>
      </c>
      <c r="K84" s="11">
        <v>37.76</v>
      </c>
      <c r="L84" s="16">
        <f t="shared" si="11"/>
        <v>51.490909090909078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1:38" ht="25.05" customHeight="1">
      <c r="B85" s="74"/>
      <c r="C85" s="75"/>
      <c r="D85" s="76"/>
      <c r="E85" s="7" t="s">
        <v>96</v>
      </c>
      <c r="F85" s="78" t="s">
        <v>209</v>
      </c>
      <c r="G85" s="53">
        <v>0.24305555555555555</v>
      </c>
      <c r="H85" s="53">
        <v>0.25</v>
      </c>
      <c r="I85" s="10">
        <f t="shared" si="10"/>
        <v>6.9444444444444475E-3</v>
      </c>
      <c r="J85" s="54">
        <v>14</v>
      </c>
      <c r="K85" s="54" t="s">
        <v>209</v>
      </c>
      <c r="L85" s="16" t="str">
        <f t="shared" si="11"/>
        <v>0</v>
      </c>
      <c r="M85" s="54"/>
      <c r="N85" s="54"/>
      <c r="O85" s="54"/>
      <c r="P85" s="54"/>
      <c r="Q85" s="54"/>
      <c r="R85" s="80"/>
      <c r="S85" s="80"/>
      <c r="T85" s="54"/>
      <c r="U85" s="54"/>
      <c r="V85" s="80"/>
      <c r="W85" s="80"/>
      <c r="X85" s="54"/>
      <c r="Y85" s="54"/>
      <c r="Z85" s="54"/>
      <c r="AA85" s="54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81"/>
    </row>
    <row r="86" spans="1:38" s="28" customFormat="1" ht="25.5" customHeight="1">
      <c r="A86" s="2"/>
      <c r="B86" s="32"/>
      <c r="C86" s="33"/>
      <c r="D86" s="34"/>
      <c r="E86" s="35"/>
      <c r="F86" s="35"/>
      <c r="G86" s="36"/>
      <c r="H86" s="36"/>
      <c r="I86" s="37"/>
      <c r="J86" s="38"/>
      <c r="K86" s="38">
        <f>SUM(K42:K84)</f>
        <v>3261.920000000001</v>
      </c>
      <c r="L86" s="39">
        <f t="shared" ref="L86:AL86" si="12">SUM(L42:L84)</f>
        <v>1852.2244959855511</v>
      </c>
      <c r="M86" s="38">
        <f t="shared" si="12"/>
        <v>0</v>
      </c>
      <c r="N86" s="38">
        <f t="shared" si="12"/>
        <v>0</v>
      </c>
      <c r="O86" s="38">
        <f t="shared" si="12"/>
        <v>0</v>
      </c>
      <c r="P86" s="38">
        <f t="shared" si="12"/>
        <v>0</v>
      </c>
      <c r="Q86" s="38">
        <f t="shared" si="12"/>
        <v>0</v>
      </c>
      <c r="R86" s="38">
        <f t="shared" si="12"/>
        <v>0</v>
      </c>
      <c r="S86" s="38">
        <f t="shared" si="12"/>
        <v>0</v>
      </c>
      <c r="T86" s="38">
        <f t="shared" si="12"/>
        <v>0</v>
      </c>
      <c r="U86" s="38">
        <f t="shared" si="12"/>
        <v>0</v>
      </c>
      <c r="V86" s="38">
        <f t="shared" si="12"/>
        <v>55</v>
      </c>
      <c r="W86" s="38">
        <f t="shared" si="12"/>
        <v>24</v>
      </c>
      <c r="X86" s="38">
        <f t="shared" si="12"/>
        <v>31</v>
      </c>
      <c r="Y86" s="38">
        <f t="shared" si="12"/>
        <v>31</v>
      </c>
      <c r="Z86" s="38">
        <f t="shared" si="12"/>
        <v>25</v>
      </c>
      <c r="AA86" s="38">
        <f t="shared" si="12"/>
        <v>25</v>
      </c>
      <c r="AB86" s="38">
        <f t="shared" si="12"/>
        <v>349</v>
      </c>
      <c r="AC86" s="38">
        <f t="shared" si="12"/>
        <v>157</v>
      </c>
      <c r="AD86" s="38">
        <f t="shared" si="12"/>
        <v>225</v>
      </c>
      <c r="AE86" s="38">
        <f t="shared" si="12"/>
        <v>0</v>
      </c>
      <c r="AF86" s="38">
        <f t="shared" si="12"/>
        <v>0</v>
      </c>
      <c r="AG86" s="38">
        <f t="shared" si="12"/>
        <v>79.75</v>
      </c>
      <c r="AH86" s="38">
        <f t="shared" si="12"/>
        <v>79.75</v>
      </c>
      <c r="AI86" s="38">
        <f t="shared" si="12"/>
        <v>79.75</v>
      </c>
      <c r="AJ86" s="38">
        <f t="shared" si="12"/>
        <v>79.75</v>
      </c>
      <c r="AK86" s="38">
        <f t="shared" si="12"/>
        <v>0</v>
      </c>
      <c r="AL86" s="38">
        <f t="shared" si="12"/>
        <v>0</v>
      </c>
    </row>
    <row r="87" spans="1:38" ht="38.1" customHeight="1">
      <c r="B87" s="40" t="s">
        <v>45</v>
      </c>
      <c r="C87" s="41"/>
      <c r="D87" s="41"/>
      <c r="E87" s="41"/>
      <c r="F87" s="41"/>
      <c r="G87" s="41"/>
      <c r="H87" s="41"/>
      <c r="I87" s="41"/>
      <c r="J87" s="41"/>
      <c r="K87" s="42">
        <f>K38+K41+K86</f>
        <v>5550.5100000000011</v>
      </c>
      <c r="L87" s="42">
        <f>L38+L41+L86</f>
        <v>4434.8359245569773</v>
      </c>
      <c r="M87" s="43">
        <f t="shared" ref="M87:AL87" si="13">(M38+M41+M86)/(480-15-30)</f>
        <v>0.60919540229885061</v>
      </c>
      <c r="N87" s="43">
        <f t="shared" si="13"/>
        <v>0</v>
      </c>
      <c r="O87" s="43">
        <f t="shared" si="13"/>
        <v>2.2988505747126436E-2</v>
      </c>
      <c r="P87" s="43">
        <f t="shared" si="13"/>
        <v>0</v>
      </c>
      <c r="Q87" s="43">
        <f t="shared" si="13"/>
        <v>0.20689655172413793</v>
      </c>
      <c r="R87" s="43">
        <f t="shared" si="13"/>
        <v>6.8965517241379309E-2</v>
      </c>
      <c r="S87" s="43">
        <f t="shared" si="13"/>
        <v>0.39080459770114945</v>
      </c>
      <c r="T87" s="43">
        <f t="shared" si="13"/>
        <v>0</v>
      </c>
      <c r="U87" s="43">
        <f t="shared" si="13"/>
        <v>0</v>
      </c>
      <c r="V87" s="43">
        <f t="shared" si="13"/>
        <v>0.12643678160919541</v>
      </c>
      <c r="W87" s="43">
        <f t="shared" si="13"/>
        <v>5.5172413793103448E-2</v>
      </c>
      <c r="X87" s="43">
        <f t="shared" si="13"/>
        <v>7.1264367816091953E-2</v>
      </c>
      <c r="Y87" s="43">
        <f t="shared" si="13"/>
        <v>7.1264367816091953E-2</v>
      </c>
      <c r="Z87" s="43">
        <f t="shared" si="13"/>
        <v>5.7471264367816091E-2</v>
      </c>
      <c r="AA87" s="43">
        <f t="shared" si="13"/>
        <v>5.7471264367816091E-2</v>
      </c>
      <c r="AB87" s="43">
        <f t="shared" si="13"/>
        <v>0.80229885057471262</v>
      </c>
      <c r="AC87" s="43">
        <f t="shared" si="13"/>
        <v>0.36091954022988504</v>
      </c>
      <c r="AD87" s="43">
        <f t="shared" si="13"/>
        <v>0.51724137931034486</v>
      </c>
      <c r="AE87" s="43">
        <f t="shared" si="13"/>
        <v>0</v>
      </c>
      <c r="AF87" s="43">
        <f t="shared" si="13"/>
        <v>0</v>
      </c>
      <c r="AG87" s="43">
        <f t="shared" si="13"/>
        <v>0.18333333333333332</v>
      </c>
      <c r="AH87" s="43">
        <f t="shared" si="13"/>
        <v>0.18333333333333332</v>
      </c>
      <c r="AI87" s="43">
        <f t="shared" si="13"/>
        <v>0.18333333333333332</v>
      </c>
      <c r="AJ87" s="43">
        <f t="shared" si="13"/>
        <v>0.18333333333333332</v>
      </c>
      <c r="AK87" s="43">
        <f t="shared" si="13"/>
        <v>0</v>
      </c>
      <c r="AL87" s="43">
        <f t="shared" si="13"/>
        <v>0</v>
      </c>
    </row>
    <row r="88" spans="1:38" ht="25.05" customHeight="1">
      <c r="B88" s="44"/>
      <c r="C88" s="44"/>
      <c r="D88" s="44"/>
      <c r="E88" s="45"/>
      <c r="F88" s="45"/>
      <c r="G88" s="45"/>
      <c r="H88" s="45"/>
      <c r="I88" s="46"/>
      <c r="J88" s="46"/>
      <c r="K88" s="45"/>
      <c r="L88" s="47"/>
      <c r="M88" s="47"/>
      <c r="N88" s="47"/>
      <c r="O88" s="47"/>
      <c r="P88" s="47"/>
      <c r="Q88" s="45"/>
      <c r="R88" s="45"/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  <c r="AE88" s="45"/>
      <c r="AF88" s="45"/>
      <c r="AG88" s="45"/>
      <c r="AH88" s="45"/>
      <c r="AI88" s="45"/>
      <c r="AJ88" s="45"/>
    </row>
    <row r="89" spans="1:38" ht="25.05" customHeight="1">
      <c r="B89" s="44"/>
      <c r="C89" s="44"/>
      <c r="D89" s="44"/>
      <c r="E89" s="45"/>
      <c r="F89" s="45"/>
      <c r="G89" s="45"/>
      <c r="H89" s="45"/>
      <c r="I89" s="48" t="s">
        <v>46</v>
      </c>
      <c r="J89" s="46"/>
      <c r="K89" s="45"/>
      <c r="L89" s="47"/>
      <c r="M89" s="47"/>
      <c r="N89" s="47"/>
      <c r="O89" s="47"/>
      <c r="P89" s="47"/>
      <c r="Q89" s="45"/>
      <c r="R89" s="45"/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  <c r="AE89" s="45"/>
      <c r="AF89" s="45"/>
      <c r="AG89" s="45"/>
      <c r="AH89" s="45"/>
      <c r="AI89" s="45"/>
      <c r="AJ89" s="45"/>
    </row>
    <row r="90" spans="1:38" ht="25.05" customHeight="1">
      <c r="B90" s="44"/>
      <c r="C90" s="44"/>
      <c r="D90" s="44"/>
      <c r="E90" s="45"/>
      <c r="F90" s="45"/>
      <c r="G90" s="45"/>
      <c r="H90" s="45"/>
      <c r="I90" s="49" t="s">
        <v>47</v>
      </c>
      <c r="J90" s="9">
        <v>0</v>
      </c>
      <c r="K90" s="11">
        <v>7</v>
      </c>
      <c r="L90" s="11" t="s">
        <v>48</v>
      </c>
      <c r="M90" s="47"/>
      <c r="N90" s="14">
        <v>2</v>
      </c>
      <c r="O90" s="14"/>
      <c r="P90" s="14"/>
      <c r="Q90" s="50" t="s">
        <v>49</v>
      </c>
      <c r="R90" s="51"/>
      <c r="S90" s="45"/>
      <c r="T90" s="45"/>
      <c r="U90" s="45"/>
      <c r="V90" s="45"/>
      <c r="W90" s="45"/>
      <c r="X90" s="45"/>
      <c r="Y90" s="45"/>
      <c r="Z90" s="45"/>
      <c r="AA90" s="45"/>
      <c r="AC90" s="45"/>
      <c r="AD90" s="45"/>
      <c r="AE90" s="45"/>
      <c r="AF90" s="45"/>
      <c r="AG90" s="45"/>
      <c r="AH90" s="45"/>
    </row>
    <row r="91" spans="1:38" ht="25.05" customHeight="1">
      <c r="B91" s="44"/>
      <c r="C91" s="44"/>
      <c r="D91" s="44"/>
      <c r="E91" s="45"/>
      <c r="F91" s="45"/>
      <c r="G91" s="45"/>
      <c r="H91" s="45"/>
      <c r="I91" s="49" t="s">
        <v>50</v>
      </c>
      <c r="J91" s="9">
        <v>0</v>
      </c>
      <c r="K91" s="11">
        <v>0</v>
      </c>
      <c r="L91" s="11" t="s">
        <v>48</v>
      </c>
      <c r="M91" s="47"/>
      <c r="N91" s="14">
        <v>0</v>
      </c>
      <c r="O91" s="14"/>
      <c r="P91" s="14"/>
      <c r="Q91" s="50" t="s">
        <v>51</v>
      </c>
      <c r="R91" s="51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</row>
    <row r="92" spans="1:38" ht="25.05" customHeight="1">
      <c r="B92" s="44"/>
      <c r="C92" s="44"/>
      <c r="D92" s="44"/>
      <c r="E92" s="45"/>
      <c r="F92" s="45"/>
      <c r="G92" s="45"/>
      <c r="H92" s="45"/>
      <c r="I92" s="49" t="s">
        <v>52</v>
      </c>
      <c r="J92" s="9">
        <v>0</v>
      </c>
      <c r="K92" s="11">
        <v>17</v>
      </c>
      <c r="L92" s="11" t="s">
        <v>48</v>
      </c>
      <c r="M92" s="47"/>
      <c r="N92" s="14">
        <v>1</v>
      </c>
      <c r="O92" s="14"/>
      <c r="P92" s="14"/>
      <c r="Q92" s="50" t="s">
        <v>53</v>
      </c>
      <c r="R92" s="51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</row>
    <row r="93" spans="1:38" ht="25.05" customHeight="1">
      <c r="B93" s="44"/>
      <c r="C93" s="44"/>
      <c r="D93" s="44"/>
      <c r="E93" s="45"/>
      <c r="F93" s="45"/>
      <c r="G93" s="45"/>
      <c r="H93" s="45"/>
      <c r="I93" s="52" t="s">
        <v>54</v>
      </c>
      <c r="J93" s="53">
        <v>0</v>
      </c>
      <c r="K93" s="11">
        <v>2</v>
      </c>
      <c r="L93" s="54" t="s">
        <v>48</v>
      </c>
      <c r="M93" s="47"/>
      <c r="N93" s="14">
        <v>4</v>
      </c>
      <c r="O93" s="14"/>
      <c r="P93" s="14"/>
      <c r="Q93" s="50" t="s">
        <v>55</v>
      </c>
      <c r="R93" s="51"/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  <c r="AE93" s="45"/>
      <c r="AF93" s="45"/>
      <c r="AG93" s="45"/>
      <c r="AH93" s="45"/>
    </row>
    <row r="94" spans="1:38" ht="25.05" customHeight="1">
      <c r="B94" s="44"/>
      <c r="C94" s="44"/>
      <c r="D94" s="44"/>
      <c r="E94" s="45"/>
      <c r="F94" s="45"/>
      <c r="G94" s="45"/>
      <c r="H94" s="45"/>
      <c r="I94" s="49" t="s">
        <v>56</v>
      </c>
      <c r="J94" s="9">
        <v>0</v>
      </c>
      <c r="K94" s="11">
        <f>SUM(K90:K93)</f>
        <v>26</v>
      </c>
      <c r="L94" s="11" t="s">
        <v>48</v>
      </c>
      <c r="M94" s="47"/>
      <c r="N94"/>
      <c r="O94"/>
      <c r="P94"/>
      <c r="Q94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</row>
    <row r="95" spans="1:38" ht="25.05" customHeight="1">
      <c r="B95" s="44"/>
      <c r="C95" s="44"/>
      <c r="D95" s="44"/>
      <c r="E95" s="45"/>
      <c r="F95" s="45"/>
      <c r="G95" s="45"/>
      <c r="H95" s="45"/>
      <c r="M95" s="47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</row>
    <row r="96" spans="1:38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409C-283E-4F37-B3F3-73DD4C97110B}">
  <sheetPr>
    <pageSetUpPr fitToPage="1"/>
  </sheetPr>
  <dimension ref="A1:AL143"/>
  <sheetViews>
    <sheetView zoomScale="80" zoomScaleNormal="8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73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2462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0" si="0">H4-G4</f>
        <v>2.0833333333333315E-2</v>
      </c>
      <c r="J4" s="11">
        <v>1</v>
      </c>
      <c r="K4" s="11" t="s">
        <v>42</v>
      </c>
      <c r="L4" s="16" t="str">
        <f t="shared" ref="L4:L20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hidden="1" customHeight="1">
      <c r="B5" s="13"/>
      <c r="C5" s="14"/>
      <c r="D5" s="6" t="s">
        <v>2219</v>
      </c>
      <c r="E5" s="15" t="s">
        <v>2463</v>
      </c>
      <c r="F5" s="55" t="s">
        <v>87</v>
      </c>
      <c r="G5" s="9">
        <v>0.27430555555555558</v>
      </c>
      <c r="H5" s="9">
        <v>0.28125</v>
      </c>
      <c r="I5" s="10">
        <f t="shared" si="0"/>
        <v>6.9444444444444198E-3</v>
      </c>
      <c r="J5" s="11">
        <v>1</v>
      </c>
      <c r="K5" s="27">
        <v>1.5</v>
      </c>
      <c r="L5" s="16">
        <f t="shared" si="1"/>
        <v>9.000000000000032</v>
      </c>
      <c r="M5" s="11">
        <v>10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hidden="1" customHeight="1">
      <c r="B6" s="13"/>
      <c r="C6" s="14"/>
      <c r="D6" s="6" t="s">
        <v>2360</v>
      </c>
      <c r="E6" s="17" t="s">
        <v>2362</v>
      </c>
      <c r="F6" s="55" t="s">
        <v>87</v>
      </c>
      <c r="G6" s="9">
        <v>0.28472222222222221</v>
      </c>
      <c r="H6" s="9">
        <v>0.30208333333333331</v>
      </c>
      <c r="I6" s="10">
        <f t="shared" si="0"/>
        <v>1.7361111111111105E-2</v>
      </c>
      <c r="J6" s="11">
        <v>1</v>
      </c>
      <c r="K6" s="27">
        <v>17</v>
      </c>
      <c r="L6" s="16">
        <f t="shared" si="1"/>
        <v>40.800000000000018</v>
      </c>
      <c r="M6" s="11">
        <v>25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hidden="1" customHeight="1">
      <c r="B7" s="13"/>
      <c r="C7" s="14"/>
      <c r="D7" s="6"/>
      <c r="E7" s="15" t="s">
        <v>2416</v>
      </c>
      <c r="F7" s="8" t="s">
        <v>42</v>
      </c>
      <c r="G7" s="9">
        <v>0.29166666666666669</v>
      </c>
      <c r="H7" s="9">
        <v>0.3263888888888889</v>
      </c>
      <c r="I7" s="10">
        <f t="shared" si="0"/>
        <v>3.472222222222221E-2</v>
      </c>
      <c r="J7" s="11">
        <v>1</v>
      </c>
      <c r="K7" s="27">
        <v>71</v>
      </c>
      <c r="L7" s="16">
        <f t="shared" si="1"/>
        <v>85.200000000000031</v>
      </c>
      <c r="M7" s="11"/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 t="s">
        <v>2464</v>
      </c>
      <c r="E8" s="17" t="s">
        <v>2465</v>
      </c>
      <c r="F8" s="55" t="s">
        <v>310</v>
      </c>
      <c r="G8" s="9">
        <v>0.29166666666666669</v>
      </c>
      <c r="H8" s="9">
        <v>0.375</v>
      </c>
      <c r="I8" s="10">
        <f t="shared" si="0"/>
        <v>8.3333333333333315E-2</v>
      </c>
      <c r="J8" s="11">
        <v>4</v>
      </c>
      <c r="K8" s="27">
        <v>136.5</v>
      </c>
      <c r="L8" s="16">
        <f t="shared" si="1"/>
        <v>17.062500000000004</v>
      </c>
      <c r="M8" s="11"/>
      <c r="N8" s="11"/>
      <c r="O8" s="11"/>
      <c r="P8" s="11"/>
      <c r="Q8" s="11"/>
      <c r="R8" s="12"/>
      <c r="S8" s="12">
        <v>120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96</v>
      </c>
      <c r="F9" s="8" t="s">
        <v>42</v>
      </c>
      <c r="G9" s="9">
        <v>0.375</v>
      </c>
      <c r="H9" s="9">
        <v>0.3888888888888889</v>
      </c>
      <c r="I9" s="10">
        <f t="shared" si="0"/>
        <v>1.3888888888888895E-2</v>
      </c>
      <c r="J9" s="11">
        <v>6</v>
      </c>
      <c r="K9" s="27" t="s">
        <v>42</v>
      </c>
      <c r="L9" s="16" t="str">
        <f t="shared" si="1"/>
        <v>0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94</v>
      </c>
      <c r="F10" s="8" t="s">
        <v>42</v>
      </c>
      <c r="G10" s="9">
        <v>0.3888888888888889</v>
      </c>
      <c r="H10" s="9">
        <v>0.41666666666666669</v>
      </c>
      <c r="I10" s="10">
        <f t="shared" si="0"/>
        <v>2.777777777777779E-2</v>
      </c>
      <c r="J10" s="11">
        <v>4</v>
      </c>
      <c r="K10" s="27" t="s">
        <v>42</v>
      </c>
      <c r="L10" s="16" t="str">
        <f t="shared" si="1"/>
        <v>0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104</v>
      </c>
      <c r="F11" s="8" t="s">
        <v>42</v>
      </c>
      <c r="G11" s="9">
        <v>0.41666666666666669</v>
      </c>
      <c r="H11" s="9">
        <v>0.45833333333333331</v>
      </c>
      <c r="I11" s="10">
        <f t="shared" si="0"/>
        <v>4.166666666666663E-2</v>
      </c>
      <c r="J11" s="11">
        <v>6</v>
      </c>
      <c r="K11" s="27" t="s">
        <v>42</v>
      </c>
      <c r="L11" s="16" t="str">
        <f t="shared" si="1"/>
        <v>0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100</v>
      </c>
      <c r="F12" s="8" t="s">
        <v>42</v>
      </c>
      <c r="G12" s="9">
        <v>0.46180555555555558</v>
      </c>
      <c r="H12" s="9">
        <v>0.49305555555555558</v>
      </c>
      <c r="I12" s="10">
        <f t="shared" si="0"/>
        <v>3.125E-2</v>
      </c>
      <c r="J12" s="11">
        <v>6</v>
      </c>
      <c r="K12" s="27">
        <v>148</v>
      </c>
      <c r="L12" s="16">
        <f t="shared" si="1"/>
        <v>32.888888888888893</v>
      </c>
      <c r="M12" s="11"/>
      <c r="N12" s="11"/>
      <c r="O12" s="11"/>
      <c r="P12" s="11"/>
      <c r="Q12" s="11"/>
      <c r="R12" s="12"/>
      <c r="S12" s="12">
        <v>45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4.75" hidden="1" customHeight="1">
      <c r="B13" s="13"/>
      <c r="C13" s="14"/>
      <c r="D13" s="30" t="s">
        <v>2069</v>
      </c>
      <c r="E13" s="15" t="s">
        <v>1318</v>
      </c>
      <c r="F13" s="8" t="s">
        <v>42</v>
      </c>
      <c r="G13" s="9">
        <v>0.49652777777777779</v>
      </c>
      <c r="H13" s="9">
        <v>0.51944444444444449</v>
      </c>
      <c r="I13" s="10">
        <f t="shared" si="0"/>
        <v>2.2916666666666696E-2</v>
      </c>
      <c r="J13" s="11">
        <v>1</v>
      </c>
      <c r="K13" s="27">
        <v>13</v>
      </c>
      <c r="L13" s="16">
        <f t="shared" si="1"/>
        <v>23.636363636363608</v>
      </c>
      <c r="M13" s="11"/>
      <c r="N13" s="11"/>
      <c r="O13" s="11"/>
      <c r="P13" s="11"/>
      <c r="Q13" s="11"/>
      <c r="R13" s="12"/>
      <c r="S13" s="12">
        <v>33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4.75" hidden="1" customHeight="1">
      <c r="B14" s="13"/>
      <c r="C14" s="14"/>
      <c r="D14" s="6"/>
      <c r="E14" s="15" t="s">
        <v>2227</v>
      </c>
      <c r="F14" s="8" t="s">
        <v>42</v>
      </c>
      <c r="G14" s="9">
        <v>0.5</v>
      </c>
      <c r="H14" s="9">
        <v>0.56944444444444442</v>
      </c>
      <c r="I14" s="10">
        <f t="shared" ref="I14:I17" si="2">H14-G14</f>
        <v>6.944444444444442E-2</v>
      </c>
      <c r="J14" s="11">
        <v>4</v>
      </c>
      <c r="K14" s="27">
        <v>4.5</v>
      </c>
      <c r="L14" s="16">
        <f t="shared" ref="L14:L17" si="3">IFERROR(((K14/(J14*I14)/24)),"0")</f>
        <v>0.67500000000000027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4.75" hidden="1" customHeight="1">
      <c r="B15" s="13"/>
      <c r="C15" s="14"/>
      <c r="D15" s="6" t="s">
        <v>2360</v>
      </c>
      <c r="E15" s="15" t="s">
        <v>631</v>
      </c>
      <c r="F15" s="8" t="s">
        <v>42</v>
      </c>
      <c r="G15" s="9">
        <v>0.50694444444444442</v>
      </c>
      <c r="H15" s="9">
        <v>0.55555555555555558</v>
      </c>
      <c r="I15" s="10">
        <f t="shared" si="2"/>
        <v>4.861111111111116E-2</v>
      </c>
      <c r="J15" s="11">
        <v>2</v>
      </c>
      <c r="K15" s="27">
        <v>950</v>
      </c>
      <c r="L15" s="16">
        <f t="shared" si="3"/>
        <v>407.14285714285671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4.75" hidden="1" customHeight="1">
      <c r="B16" s="13"/>
      <c r="C16" s="14"/>
      <c r="D16" s="30" t="s">
        <v>2069</v>
      </c>
      <c r="E16" s="15" t="s">
        <v>2466</v>
      </c>
      <c r="F16" s="8" t="s">
        <v>42</v>
      </c>
      <c r="G16" s="9">
        <v>0.52083333333333337</v>
      </c>
      <c r="H16" s="9">
        <v>0.52430555555555558</v>
      </c>
      <c r="I16" s="10">
        <f t="shared" si="2"/>
        <v>3.4722222222222099E-3</v>
      </c>
      <c r="J16" s="11">
        <v>1</v>
      </c>
      <c r="K16" s="27">
        <v>22</v>
      </c>
      <c r="L16" s="16">
        <f t="shared" si="3"/>
        <v>264.00000000000097</v>
      </c>
      <c r="M16" s="11"/>
      <c r="N16" s="11"/>
      <c r="O16" s="11"/>
      <c r="P16" s="11"/>
      <c r="Q16" s="11"/>
      <c r="R16" s="12"/>
      <c r="S16" s="12">
        <v>5</v>
      </c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4.75" hidden="1" customHeight="1">
      <c r="B17" s="13"/>
      <c r="C17" s="14"/>
      <c r="D17" s="6" t="s">
        <v>2219</v>
      </c>
      <c r="E17" s="15" t="s">
        <v>2467</v>
      </c>
      <c r="F17" s="8" t="s">
        <v>42</v>
      </c>
      <c r="G17" s="9">
        <v>0.57291666666666663</v>
      </c>
      <c r="H17" s="9">
        <v>0.72222222222222221</v>
      </c>
      <c r="I17" s="10">
        <f t="shared" si="2"/>
        <v>0.14930555555555558</v>
      </c>
      <c r="J17" s="11">
        <v>4</v>
      </c>
      <c r="K17" s="27">
        <v>160</v>
      </c>
      <c r="L17" s="16">
        <f t="shared" si="3"/>
        <v>11.162790697674417</v>
      </c>
      <c r="M17" s="11"/>
      <c r="N17" s="11"/>
      <c r="O17" s="11"/>
      <c r="P17" s="11"/>
      <c r="Q17" s="11"/>
      <c r="R17" s="12"/>
      <c r="S17" s="12">
        <v>215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 t="s">
        <v>2464</v>
      </c>
      <c r="E18" s="17" t="s">
        <v>2465</v>
      </c>
      <c r="F18" s="55" t="s">
        <v>310</v>
      </c>
      <c r="G18" s="9">
        <v>0.61111111111111116</v>
      </c>
      <c r="H18" s="9">
        <v>0.72569444444444442</v>
      </c>
      <c r="I18" s="10">
        <f t="shared" si="0"/>
        <v>0.11458333333333326</v>
      </c>
      <c r="J18" s="11">
        <v>8</v>
      </c>
      <c r="K18" s="27">
        <v>544</v>
      </c>
      <c r="L18" s="16">
        <f t="shared" si="1"/>
        <v>24.727272727272744</v>
      </c>
      <c r="M18" s="11"/>
      <c r="N18" s="11"/>
      <c r="O18" s="11"/>
      <c r="P18" s="11"/>
      <c r="Q18" s="11"/>
      <c r="R18" s="12"/>
      <c r="S18" s="12">
        <v>165</v>
      </c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6"/>
      <c r="E19" s="15" t="s">
        <v>96</v>
      </c>
      <c r="F19" s="55" t="s">
        <v>42</v>
      </c>
      <c r="G19" s="9">
        <v>0.72916666666666663</v>
      </c>
      <c r="H19" s="9">
        <v>0.75</v>
      </c>
      <c r="I19" s="10">
        <f t="shared" si="0"/>
        <v>2.083333333333337E-2</v>
      </c>
      <c r="J19" s="11">
        <v>11</v>
      </c>
      <c r="K19" s="27" t="s">
        <v>42</v>
      </c>
      <c r="L19" s="16" t="str">
        <f t="shared" si="1"/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/>
      <c r="F20" s="55"/>
      <c r="G20" s="9"/>
      <c r="H20" s="9"/>
      <c r="I20" s="10">
        <f t="shared" si="0"/>
        <v>0</v>
      </c>
      <c r="J20" s="11"/>
      <c r="K20" s="11"/>
      <c r="L20" s="16" t="str">
        <f t="shared" si="1"/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s="28" customFormat="1" ht="25.05" customHeight="1">
      <c r="A21" s="2"/>
      <c r="B21" s="21"/>
      <c r="C21" s="22"/>
      <c r="D21" s="23"/>
      <c r="E21" s="24"/>
      <c r="F21" s="24"/>
      <c r="G21" s="25"/>
      <c r="H21" s="25"/>
      <c r="I21" s="26"/>
      <c r="J21" s="27"/>
      <c r="K21" s="27">
        <f t="shared" ref="K21:AL21" si="4">SUM(K4:K19)</f>
        <v>2067.5</v>
      </c>
      <c r="L21" s="39">
        <f t="shared" si="4"/>
        <v>916.2956730930573</v>
      </c>
      <c r="M21" s="27">
        <f t="shared" si="4"/>
        <v>35</v>
      </c>
      <c r="N21" s="27">
        <f t="shared" si="4"/>
        <v>0</v>
      </c>
      <c r="O21" s="27">
        <f t="shared" si="4"/>
        <v>0</v>
      </c>
      <c r="P21" s="27">
        <f t="shared" si="4"/>
        <v>0</v>
      </c>
      <c r="Q21" s="27">
        <f t="shared" si="4"/>
        <v>0</v>
      </c>
      <c r="R21" s="27">
        <f t="shared" si="4"/>
        <v>0</v>
      </c>
      <c r="S21" s="27">
        <f t="shared" si="4"/>
        <v>583</v>
      </c>
      <c r="T21" s="27">
        <f t="shared" si="4"/>
        <v>0</v>
      </c>
      <c r="U21" s="27">
        <f t="shared" si="4"/>
        <v>0</v>
      </c>
      <c r="V21" s="27">
        <f t="shared" si="4"/>
        <v>0</v>
      </c>
      <c r="W21" s="27">
        <f t="shared" si="4"/>
        <v>0</v>
      </c>
      <c r="X21" s="27">
        <f t="shared" si="4"/>
        <v>0</v>
      </c>
      <c r="Y21" s="27">
        <f t="shared" si="4"/>
        <v>0</v>
      </c>
      <c r="Z21" s="27">
        <f t="shared" si="4"/>
        <v>0</v>
      </c>
      <c r="AA21" s="27">
        <f t="shared" si="4"/>
        <v>0</v>
      </c>
      <c r="AB21" s="27">
        <f t="shared" si="4"/>
        <v>0</v>
      </c>
      <c r="AC21" s="27">
        <f t="shared" si="4"/>
        <v>0</v>
      </c>
      <c r="AD21" s="27">
        <f t="shared" si="4"/>
        <v>0</v>
      </c>
      <c r="AE21" s="27">
        <f t="shared" si="4"/>
        <v>0</v>
      </c>
      <c r="AF21" s="27">
        <f t="shared" si="4"/>
        <v>0</v>
      </c>
      <c r="AG21" s="27">
        <f t="shared" si="4"/>
        <v>0</v>
      </c>
      <c r="AH21" s="27">
        <f t="shared" si="4"/>
        <v>0</v>
      </c>
      <c r="AI21" s="27">
        <f t="shared" si="4"/>
        <v>0</v>
      </c>
      <c r="AJ21" s="27">
        <f t="shared" si="4"/>
        <v>0</v>
      </c>
      <c r="AK21" s="27">
        <f t="shared" si="4"/>
        <v>0</v>
      </c>
      <c r="AL21" s="27">
        <f t="shared" si="4"/>
        <v>0</v>
      </c>
    </row>
    <row r="22" spans="1:38" ht="25.05" customHeight="1">
      <c r="B22" s="5" t="s">
        <v>2462</v>
      </c>
      <c r="C22" s="14" t="s">
        <v>43</v>
      </c>
      <c r="D22" s="6"/>
      <c r="E22" s="7" t="s">
        <v>41</v>
      </c>
      <c r="F22" s="8" t="s">
        <v>42</v>
      </c>
      <c r="G22" s="9">
        <v>0.29166666666666669</v>
      </c>
      <c r="H22" s="9">
        <v>0.33333333333333331</v>
      </c>
      <c r="I22" s="10">
        <f>H22-G22</f>
        <v>4.166666666666663E-2</v>
      </c>
      <c r="J22" s="11">
        <v>2</v>
      </c>
      <c r="K22" s="11" t="s">
        <v>42</v>
      </c>
      <c r="L22" s="16" t="str">
        <f>IFERROR(((K22/(J22*I22)/24)),"0")</f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 t="s">
        <v>1432</v>
      </c>
      <c r="E23" s="19" t="s">
        <v>1537</v>
      </c>
      <c r="F23" s="8"/>
      <c r="G23" s="9">
        <v>0.33333333333333331</v>
      </c>
      <c r="H23" s="9">
        <v>0.38194444444444442</v>
      </c>
      <c r="I23" s="10">
        <f t="shared" ref="I23:I27" si="5">H23-G23</f>
        <v>4.8611111111111105E-2</v>
      </c>
      <c r="J23" s="11">
        <v>12</v>
      </c>
      <c r="K23" s="11">
        <f>88*4</f>
        <v>352</v>
      </c>
      <c r="L23" s="16">
        <f t="shared" ref="L23:L27" si="6">IFERROR(((K23/(J23*I23)/24)),"0")</f>
        <v>25.142857142857149</v>
      </c>
      <c r="M23" s="11"/>
      <c r="N23" s="11"/>
      <c r="O23" s="11"/>
      <c r="P23" s="11"/>
      <c r="Q23" s="11"/>
      <c r="R23" s="12"/>
      <c r="S23" s="12"/>
      <c r="T23" s="11">
        <v>70</v>
      </c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 t="s">
        <v>2219</v>
      </c>
      <c r="E24" s="19" t="s">
        <v>105</v>
      </c>
      <c r="F24" s="8"/>
      <c r="G24" s="9">
        <v>0.38194444444444442</v>
      </c>
      <c r="H24" s="9">
        <v>0.52777777777777779</v>
      </c>
      <c r="I24" s="10">
        <f t="shared" si="5"/>
        <v>0.14583333333333337</v>
      </c>
      <c r="J24" s="11">
        <v>12</v>
      </c>
      <c r="K24" s="11">
        <f>225*4</f>
        <v>900</v>
      </c>
      <c r="L24" s="16">
        <f t="shared" si="6"/>
        <v>21.42857142857142</v>
      </c>
      <c r="M24" s="11"/>
      <c r="N24" s="11"/>
      <c r="O24" s="11"/>
      <c r="P24" s="11"/>
      <c r="Q24" s="11"/>
      <c r="R24" s="12"/>
      <c r="S24" s="12">
        <v>210</v>
      </c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24"/>
      <c r="D25" s="6"/>
      <c r="E25" s="15" t="s">
        <v>104</v>
      </c>
      <c r="F25" s="8"/>
      <c r="G25" s="9">
        <v>0.52777777777777779</v>
      </c>
      <c r="H25" s="9">
        <v>0.56944444444444442</v>
      </c>
      <c r="I25" s="10">
        <f t="shared" si="5"/>
        <v>4.166666666666663E-2</v>
      </c>
      <c r="J25" s="11">
        <v>12</v>
      </c>
      <c r="K25" s="11" t="s">
        <v>42</v>
      </c>
      <c r="L25" s="16" t="str">
        <f t="shared" si="6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25"/>
      <c r="D26" s="6" t="s">
        <v>2219</v>
      </c>
      <c r="E26" s="19" t="s">
        <v>312</v>
      </c>
      <c r="F26" s="8"/>
      <c r="G26" s="9">
        <v>0.56944444444444442</v>
      </c>
      <c r="H26" s="9">
        <v>0.74305555555555558</v>
      </c>
      <c r="I26" s="10">
        <f t="shared" si="5"/>
        <v>0.17361111111111116</v>
      </c>
      <c r="J26" s="11">
        <v>12</v>
      </c>
      <c r="K26" s="11">
        <f>225*5</f>
        <v>1125</v>
      </c>
      <c r="L26" s="16">
        <f t="shared" si="6"/>
        <v>22.499999999999996</v>
      </c>
      <c r="M26" s="11"/>
      <c r="N26" s="11"/>
      <c r="O26" s="11"/>
      <c r="P26" s="11"/>
      <c r="Q26" s="11"/>
      <c r="R26" s="12"/>
      <c r="S26" s="12">
        <v>250</v>
      </c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26"/>
      <c r="D27" s="18"/>
      <c r="E27" s="15" t="s">
        <v>96</v>
      </c>
      <c r="F27" s="8"/>
      <c r="G27" s="9">
        <v>0.74305555555555558</v>
      </c>
      <c r="H27" s="9">
        <v>0.76388888888888884</v>
      </c>
      <c r="I27" s="10">
        <f t="shared" si="5"/>
        <v>2.0833333333333259E-2</v>
      </c>
      <c r="J27" s="11">
        <v>12</v>
      </c>
      <c r="K27" s="11"/>
      <c r="L27" s="16">
        <f t="shared" si="6"/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s="28" customFormat="1" ht="25.05" customHeight="1">
      <c r="A28" s="2"/>
      <c r="B28" s="21"/>
      <c r="C28" s="22"/>
      <c r="D28" s="23"/>
      <c r="E28" s="24"/>
      <c r="F28" s="22"/>
      <c r="G28" s="25"/>
      <c r="H28" s="25"/>
      <c r="I28" s="26"/>
      <c r="J28" s="27"/>
      <c r="K28" s="27">
        <f t="shared" ref="K28:AL28" si="7">SUM(K22:K27)</f>
        <v>2377</v>
      </c>
      <c r="L28" s="27">
        <f t="shared" si="7"/>
        <v>69.071428571428569</v>
      </c>
      <c r="M28" s="27">
        <f t="shared" si="7"/>
        <v>0</v>
      </c>
      <c r="N28" s="27">
        <f t="shared" si="7"/>
        <v>0</v>
      </c>
      <c r="O28" s="27">
        <f t="shared" si="7"/>
        <v>0</v>
      </c>
      <c r="P28" s="27">
        <f t="shared" si="7"/>
        <v>0</v>
      </c>
      <c r="Q28" s="27">
        <f t="shared" si="7"/>
        <v>0</v>
      </c>
      <c r="R28" s="27">
        <f t="shared" si="7"/>
        <v>0</v>
      </c>
      <c r="S28" s="27">
        <f t="shared" si="7"/>
        <v>460</v>
      </c>
      <c r="T28" s="27">
        <f t="shared" si="7"/>
        <v>70</v>
      </c>
      <c r="U28" s="27">
        <f t="shared" si="7"/>
        <v>0</v>
      </c>
      <c r="V28" s="27">
        <f t="shared" si="7"/>
        <v>0</v>
      </c>
      <c r="W28" s="27">
        <f t="shared" si="7"/>
        <v>0</v>
      </c>
      <c r="X28" s="27">
        <f t="shared" si="7"/>
        <v>0</v>
      </c>
      <c r="Y28" s="27">
        <f t="shared" si="7"/>
        <v>0</v>
      </c>
      <c r="Z28" s="27">
        <f t="shared" si="7"/>
        <v>0</v>
      </c>
      <c r="AA28" s="27">
        <f t="shared" si="7"/>
        <v>0</v>
      </c>
      <c r="AB28" s="27">
        <f t="shared" si="7"/>
        <v>0</v>
      </c>
      <c r="AC28" s="27">
        <f t="shared" si="7"/>
        <v>0</v>
      </c>
      <c r="AD28" s="27">
        <f t="shared" si="7"/>
        <v>0</v>
      </c>
      <c r="AE28" s="27">
        <f t="shared" si="7"/>
        <v>0</v>
      </c>
      <c r="AF28" s="27">
        <f t="shared" si="7"/>
        <v>0</v>
      </c>
      <c r="AG28" s="27">
        <f t="shared" si="7"/>
        <v>0</v>
      </c>
      <c r="AH28" s="27">
        <f t="shared" si="7"/>
        <v>0</v>
      </c>
      <c r="AI28" s="27">
        <f t="shared" si="7"/>
        <v>0</v>
      </c>
      <c r="AJ28" s="27">
        <f t="shared" si="7"/>
        <v>0</v>
      </c>
      <c r="AK28" s="27">
        <f t="shared" si="7"/>
        <v>0</v>
      </c>
      <c r="AL28" s="27">
        <f t="shared" si="7"/>
        <v>0</v>
      </c>
    </row>
    <row r="29" spans="1:38" ht="25.05" customHeight="1">
      <c r="B29" s="5" t="s">
        <v>2462</v>
      </c>
      <c r="C29" s="29" t="s">
        <v>44</v>
      </c>
      <c r="D29" s="30"/>
      <c r="E29" s="7" t="s">
        <v>41</v>
      </c>
      <c r="F29" s="8" t="s">
        <v>42</v>
      </c>
      <c r="G29" s="9">
        <v>0.29166666666666669</v>
      </c>
      <c r="H29" s="9">
        <v>0.3</v>
      </c>
      <c r="I29" s="10">
        <f t="shared" ref="I29:I64" si="8">H29-G29</f>
        <v>8.3333333333333037E-3</v>
      </c>
      <c r="J29" s="11">
        <v>5</v>
      </c>
      <c r="K29" s="62" t="s">
        <v>42</v>
      </c>
      <c r="L29" s="64" t="s">
        <v>42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6" t="s">
        <v>2360</v>
      </c>
      <c r="E30" s="19" t="s">
        <v>2468</v>
      </c>
      <c r="F30" s="8" t="s">
        <v>42</v>
      </c>
      <c r="G30" s="9">
        <v>0.33055555555555555</v>
      </c>
      <c r="H30" s="9">
        <v>0.33055555555555555</v>
      </c>
      <c r="I30" s="10">
        <f t="shared" si="8"/>
        <v>0</v>
      </c>
      <c r="J30" s="11">
        <v>4</v>
      </c>
      <c r="K30" s="62" t="s">
        <v>42</v>
      </c>
      <c r="L30" s="64" t="s">
        <v>42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>
        <v>1</v>
      </c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2469</v>
      </c>
      <c r="F31" s="8" t="s">
        <v>42</v>
      </c>
      <c r="G31" s="9">
        <v>0.33263888888888887</v>
      </c>
      <c r="H31" s="9">
        <v>0.33263888888888887</v>
      </c>
      <c r="I31" s="10">
        <f t="shared" si="8"/>
        <v>0</v>
      </c>
      <c r="J31" s="11">
        <v>4</v>
      </c>
      <c r="K31" s="62" t="s">
        <v>42</v>
      </c>
      <c r="L31" s="64" t="s">
        <v>42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>
        <v>1</v>
      </c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2470</v>
      </c>
      <c r="F32" s="8" t="s">
        <v>42</v>
      </c>
      <c r="G32" s="9">
        <v>0.33611111111111114</v>
      </c>
      <c r="H32" s="9">
        <v>0.33611111111111114</v>
      </c>
      <c r="I32" s="10">
        <f t="shared" si="8"/>
        <v>0</v>
      </c>
      <c r="J32" s="11">
        <v>4</v>
      </c>
      <c r="K32" s="62" t="s">
        <v>42</v>
      </c>
      <c r="L32" s="64" t="s">
        <v>42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>
        <v>1</v>
      </c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2376</v>
      </c>
      <c r="F33" s="8" t="s">
        <v>42</v>
      </c>
      <c r="G33" s="9">
        <v>0.34513888888888888</v>
      </c>
      <c r="H33" s="9">
        <v>0.34513888888888888</v>
      </c>
      <c r="I33" s="10">
        <f t="shared" si="8"/>
        <v>0</v>
      </c>
      <c r="J33" s="11">
        <v>4</v>
      </c>
      <c r="K33" s="62" t="s">
        <v>42</v>
      </c>
      <c r="L33" s="64" t="s">
        <v>42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>
        <v>1</v>
      </c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2377</v>
      </c>
      <c r="F34" s="8" t="s">
        <v>42</v>
      </c>
      <c r="G34" s="9">
        <v>0.34722222222222221</v>
      </c>
      <c r="H34" s="9">
        <v>0.34722222222222221</v>
      </c>
      <c r="I34" s="10">
        <f t="shared" si="8"/>
        <v>0</v>
      </c>
      <c r="J34" s="11">
        <v>4</v>
      </c>
      <c r="K34" s="62" t="s">
        <v>42</v>
      </c>
      <c r="L34" s="64" t="s">
        <v>42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>
        <v>1</v>
      </c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2378</v>
      </c>
      <c r="F35" s="8" t="s">
        <v>42</v>
      </c>
      <c r="G35" s="9">
        <v>0.3527777777777778</v>
      </c>
      <c r="H35" s="9">
        <v>0.3527777777777778</v>
      </c>
      <c r="I35" s="10">
        <f t="shared" si="8"/>
        <v>0</v>
      </c>
      <c r="J35" s="11">
        <v>4</v>
      </c>
      <c r="K35" s="62" t="s">
        <v>42</v>
      </c>
      <c r="L35" s="64" t="s">
        <v>42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>
        <v>1</v>
      </c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2379</v>
      </c>
      <c r="F36" s="8" t="s">
        <v>42</v>
      </c>
      <c r="G36" s="9">
        <v>0.45833333333333331</v>
      </c>
      <c r="H36" s="9">
        <v>0.45833333333333331</v>
      </c>
      <c r="I36" s="10">
        <f t="shared" si="8"/>
        <v>0</v>
      </c>
      <c r="J36" s="11">
        <v>4</v>
      </c>
      <c r="K36" s="62" t="s">
        <v>42</v>
      </c>
      <c r="L36" s="64" t="s">
        <v>42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/>
      <c r="X36" s="11"/>
      <c r="Y36" s="11"/>
      <c r="Z36" s="11"/>
      <c r="AA36" s="11"/>
      <c r="AB36" s="11"/>
      <c r="AC36" s="11"/>
      <c r="AD36" s="11">
        <v>1</v>
      </c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2380</v>
      </c>
      <c r="F37" s="8" t="s">
        <v>42</v>
      </c>
      <c r="G37" s="9">
        <v>0.46180555555555558</v>
      </c>
      <c r="H37" s="9">
        <v>0.46180555555555558</v>
      </c>
      <c r="I37" s="10">
        <f t="shared" si="8"/>
        <v>0</v>
      </c>
      <c r="J37" s="11">
        <v>4</v>
      </c>
      <c r="K37" s="62" t="s">
        <v>42</v>
      </c>
      <c r="L37" s="64" t="s">
        <v>42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/>
      <c r="X37" s="11"/>
      <c r="Y37" s="11"/>
      <c r="Z37" s="11"/>
      <c r="AA37" s="11"/>
      <c r="AB37" s="11"/>
      <c r="AC37" s="11"/>
      <c r="AD37" s="11">
        <v>1</v>
      </c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2471</v>
      </c>
      <c r="F38" s="8" t="s">
        <v>42</v>
      </c>
      <c r="G38" s="9">
        <v>0.46805555555555556</v>
      </c>
      <c r="H38" s="9">
        <v>0.46805555555555556</v>
      </c>
      <c r="I38" s="10">
        <f t="shared" si="8"/>
        <v>0</v>
      </c>
      <c r="J38" s="11">
        <v>4</v>
      </c>
      <c r="K38" s="62" t="s">
        <v>42</v>
      </c>
      <c r="L38" s="64" t="s">
        <v>42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/>
      <c r="X38" s="11"/>
      <c r="Y38" s="11"/>
      <c r="Z38" s="11"/>
      <c r="AA38" s="11"/>
      <c r="AB38" s="11"/>
      <c r="AC38" s="11"/>
      <c r="AD38" s="11">
        <v>1</v>
      </c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2385</v>
      </c>
      <c r="F39" s="8" t="s">
        <v>42</v>
      </c>
      <c r="G39" s="9">
        <v>0.32916666666666666</v>
      </c>
      <c r="H39" s="9">
        <v>0.33888888888888891</v>
      </c>
      <c r="I39" s="10">
        <f t="shared" si="8"/>
        <v>9.7222222222222432E-3</v>
      </c>
      <c r="J39" s="11">
        <v>3</v>
      </c>
      <c r="K39" s="11">
        <v>60.42</v>
      </c>
      <c r="L39" s="16">
        <f t="shared" ref="L39:L64" si="9">IFERROR(((K39/(J39*I39)/24)),"0")</f>
        <v>86.314285714285532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2</v>
      </c>
      <c r="X39" s="11"/>
      <c r="Y39" s="11"/>
      <c r="Z39" s="11"/>
      <c r="AA39" s="11"/>
      <c r="AB39" s="11"/>
      <c r="AC39" s="11">
        <v>14</v>
      </c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2386</v>
      </c>
      <c r="F40" s="8" t="s">
        <v>42</v>
      </c>
      <c r="G40" s="9">
        <v>0.34791666666666665</v>
      </c>
      <c r="H40" s="9">
        <v>0.35625000000000001</v>
      </c>
      <c r="I40" s="10">
        <f t="shared" si="8"/>
        <v>8.3333333333333592E-3</v>
      </c>
      <c r="J40" s="11">
        <v>3</v>
      </c>
      <c r="K40" s="11">
        <v>60.32</v>
      </c>
      <c r="L40" s="16">
        <f t="shared" si="9"/>
        <v>100.53333333333302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>
        <v>12</v>
      </c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2387</v>
      </c>
      <c r="F41" s="8" t="s">
        <v>42</v>
      </c>
      <c r="G41" s="9">
        <v>0.36458333333333331</v>
      </c>
      <c r="H41" s="9">
        <v>0.37361111111111112</v>
      </c>
      <c r="I41" s="10">
        <f t="shared" si="8"/>
        <v>9.0277777777778012E-3</v>
      </c>
      <c r="J41" s="11">
        <v>3</v>
      </c>
      <c r="K41" s="11">
        <v>64.56</v>
      </c>
      <c r="L41" s="16">
        <f t="shared" si="9"/>
        <v>99.32307692307667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>
        <v>13</v>
      </c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2388</v>
      </c>
      <c r="F42" s="8" t="s">
        <v>42</v>
      </c>
      <c r="G42" s="9">
        <v>0.37916666666666665</v>
      </c>
      <c r="H42" s="9">
        <v>0.38680555555555557</v>
      </c>
      <c r="I42" s="10">
        <f t="shared" si="8"/>
        <v>7.6388888888889173E-3</v>
      </c>
      <c r="J42" s="11">
        <v>3</v>
      </c>
      <c r="K42" s="11">
        <v>64.45</v>
      </c>
      <c r="L42" s="16">
        <f t="shared" si="9"/>
        <v>117.18181818181775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/>
      <c r="Z42" s="11"/>
      <c r="AA42" s="11"/>
      <c r="AB42" s="11"/>
      <c r="AC42" s="11">
        <v>11</v>
      </c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2389</v>
      </c>
      <c r="F43" s="8" t="s">
        <v>42</v>
      </c>
      <c r="G43" s="9">
        <v>0.39444444444444443</v>
      </c>
      <c r="H43" s="9">
        <v>0.40347222222222223</v>
      </c>
      <c r="I43" s="10">
        <f t="shared" si="8"/>
        <v>9.0277777777778012E-3</v>
      </c>
      <c r="J43" s="11">
        <v>3</v>
      </c>
      <c r="K43" s="11">
        <v>63.69</v>
      </c>
      <c r="L43" s="16">
        <f t="shared" si="9"/>
        <v>97.98461538461514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>
        <v>13</v>
      </c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2390</v>
      </c>
      <c r="F44" s="8" t="s">
        <v>42</v>
      </c>
      <c r="G44" s="9">
        <v>0.42708333333333331</v>
      </c>
      <c r="H44" s="9">
        <v>0.43541666666666667</v>
      </c>
      <c r="I44" s="10">
        <f t="shared" si="8"/>
        <v>8.3333333333333592E-3</v>
      </c>
      <c r="J44" s="11">
        <v>3</v>
      </c>
      <c r="K44" s="11">
        <v>61.79</v>
      </c>
      <c r="L44" s="16">
        <f t="shared" si="9"/>
        <v>102.98333333333301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/>
      <c r="AC44" s="11">
        <v>12</v>
      </c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2391</v>
      </c>
      <c r="F45" s="8" t="s">
        <v>42</v>
      </c>
      <c r="G45" s="9">
        <v>0.44236111111111109</v>
      </c>
      <c r="H45" s="9">
        <v>0.4513888888888889</v>
      </c>
      <c r="I45" s="10">
        <f t="shared" si="8"/>
        <v>9.0277777777778012E-3</v>
      </c>
      <c r="J45" s="11">
        <v>3</v>
      </c>
      <c r="K45" s="11">
        <v>65.23</v>
      </c>
      <c r="L45" s="16">
        <f t="shared" si="9"/>
        <v>100.35384615384589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/>
      <c r="Y45" s="11"/>
      <c r="Z45" s="11"/>
      <c r="AA45" s="11"/>
      <c r="AB45" s="11"/>
      <c r="AC45" s="11">
        <v>13</v>
      </c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2472</v>
      </c>
      <c r="F46" s="8" t="s">
        <v>42</v>
      </c>
      <c r="G46" s="9">
        <v>0.46041666666666664</v>
      </c>
      <c r="H46" s="9">
        <v>0.46875</v>
      </c>
      <c r="I46" s="10">
        <f t="shared" si="8"/>
        <v>8.3333333333333592E-3</v>
      </c>
      <c r="J46" s="11">
        <v>3</v>
      </c>
      <c r="K46" s="11">
        <v>96.02</v>
      </c>
      <c r="L46" s="16">
        <f t="shared" si="9"/>
        <v>160.03333333333282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/>
      <c r="AA46" s="11"/>
      <c r="AB46" s="11"/>
      <c r="AC46" s="11">
        <v>12</v>
      </c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2473</v>
      </c>
      <c r="F47" s="8" t="s">
        <v>42</v>
      </c>
      <c r="G47" s="9">
        <v>0.37222222222222223</v>
      </c>
      <c r="H47" s="9">
        <v>0.38750000000000001</v>
      </c>
      <c r="I47" s="10">
        <f t="shared" si="8"/>
        <v>1.5277777777777779E-2</v>
      </c>
      <c r="J47" s="11">
        <v>4</v>
      </c>
      <c r="K47" s="11">
        <v>178.78</v>
      </c>
      <c r="L47" s="16">
        <f t="shared" si="9"/>
        <v>121.89545454545454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/>
      <c r="AA47" s="11"/>
      <c r="AB47" s="11"/>
      <c r="AC47" s="11"/>
      <c r="AD47" s="11">
        <v>22</v>
      </c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2373</v>
      </c>
      <c r="F48" s="8" t="s">
        <v>42</v>
      </c>
      <c r="G48" s="9">
        <v>0.4152777777777778</v>
      </c>
      <c r="H48" s="9">
        <v>0.43611111111111112</v>
      </c>
      <c r="I48" s="10">
        <f t="shared" si="8"/>
        <v>2.0833333333333315E-2</v>
      </c>
      <c r="J48" s="11">
        <v>4</v>
      </c>
      <c r="K48" s="11">
        <v>181.06</v>
      </c>
      <c r="L48" s="16">
        <f t="shared" si="9"/>
        <v>90.530000000000086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>
        <v>30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2474</v>
      </c>
      <c r="F49" s="8" t="s">
        <v>42</v>
      </c>
      <c r="G49" s="9">
        <v>0.47847222222222224</v>
      </c>
      <c r="H49" s="9">
        <v>0.49791666666666667</v>
      </c>
      <c r="I49" s="10">
        <f t="shared" si="8"/>
        <v>1.9444444444444431E-2</v>
      </c>
      <c r="J49" s="11">
        <v>4</v>
      </c>
      <c r="K49" s="11">
        <v>151</v>
      </c>
      <c r="L49" s="16">
        <f t="shared" si="9"/>
        <v>80.892857142857196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2</v>
      </c>
      <c r="W49" s="12"/>
      <c r="X49" s="11"/>
      <c r="Y49" s="11"/>
      <c r="Z49" s="11"/>
      <c r="AA49" s="11"/>
      <c r="AB49" s="11"/>
      <c r="AC49" s="11"/>
      <c r="AD49" s="11">
        <v>28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2475</v>
      </c>
      <c r="F50" s="8" t="s">
        <v>42</v>
      </c>
      <c r="G50" s="9">
        <v>0.34444444444444444</v>
      </c>
      <c r="H50" s="9">
        <v>0.36249999999999999</v>
      </c>
      <c r="I50" s="10">
        <f t="shared" si="8"/>
        <v>1.8055555555555547E-2</v>
      </c>
      <c r="J50" s="11">
        <v>1</v>
      </c>
      <c r="K50" s="62" t="s">
        <v>42</v>
      </c>
      <c r="L50" s="16" t="str">
        <f t="shared" si="9"/>
        <v>0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2383</v>
      </c>
      <c r="F51" s="8" t="s">
        <v>42</v>
      </c>
      <c r="G51" s="9">
        <v>0.37361111111111112</v>
      </c>
      <c r="H51" s="9">
        <v>0.39097222222222222</v>
      </c>
      <c r="I51" s="10">
        <f t="shared" si="8"/>
        <v>1.7361111111111105E-2</v>
      </c>
      <c r="J51" s="11">
        <v>1</v>
      </c>
      <c r="K51" s="62" t="s">
        <v>42</v>
      </c>
      <c r="L51" s="16" t="str">
        <f t="shared" si="9"/>
        <v>0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2476</v>
      </c>
      <c r="F52" s="8" t="s">
        <v>42</v>
      </c>
      <c r="G52" s="9">
        <v>0.47013888888888888</v>
      </c>
      <c r="H52" s="9">
        <v>0.4861111111111111</v>
      </c>
      <c r="I52" s="10">
        <f t="shared" si="8"/>
        <v>1.5972222222222221E-2</v>
      </c>
      <c r="J52" s="11">
        <v>1</v>
      </c>
      <c r="K52" s="62" t="s">
        <v>42</v>
      </c>
      <c r="L52" s="16" t="str">
        <f t="shared" si="9"/>
        <v>0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1943</v>
      </c>
      <c r="F53" s="8" t="s">
        <v>42</v>
      </c>
      <c r="G53" s="9">
        <v>0.32708333333333334</v>
      </c>
      <c r="H53" s="9">
        <v>0.3576388888888889</v>
      </c>
      <c r="I53" s="10">
        <f t="shared" si="8"/>
        <v>3.0555555555555558E-2</v>
      </c>
      <c r="J53" s="11">
        <v>4</v>
      </c>
      <c r="K53" s="11">
        <v>120.32</v>
      </c>
      <c r="L53" s="16">
        <f t="shared" si="9"/>
        <v>41.018181818181809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3</v>
      </c>
      <c r="W53" s="12"/>
      <c r="X53" s="11"/>
      <c r="Y53" s="11"/>
      <c r="Z53" s="11"/>
      <c r="AA53" s="11"/>
      <c r="AB53" s="11"/>
      <c r="AC53" s="11"/>
      <c r="AD53" s="11"/>
      <c r="AE53" s="11"/>
      <c r="AF53" s="11"/>
      <c r="AG53" s="11">
        <v>11</v>
      </c>
      <c r="AH53" s="11">
        <v>11</v>
      </c>
      <c r="AI53" s="11">
        <v>11</v>
      </c>
      <c r="AJ53" s="11">
        <v>11</v>
      </c>
      <c r="AK53" s="11"/>
      <c r="AL53" s="14"/>
    </row>
    <row r="54" spans="2:38" ht="25.05" customHeight="1">
      <c r="B54" s="13"/>
      <c r="C54" s="29"/>
      <c r="D54" s="30"/>
      <c r="E54" s="19" t="s">
        <v>2477</v>
      </c>
      <c r="F54" s="8" t="s">
        <v>42</v>
      </c>
      <c r="G54" s="9">
        <v>0.36805555555555558</v>
      </c>
      <c r="H54" s="9">
        <v>0.38611111111111113</v>
      </c>
      <c r="I54" s="10">
        <f t="shared" si="8"/>
        <v>1.8055555555555547E-2</v>
      </c>
      <c r="J54" s="11">
        <v>4</v>
      </c>
      <c r="K54" s="11">
        <v>64.88</v>
      </c>
      <c r="L54" s="16">
        <f t="shared" si="9"/>
        <v>37.430769230769251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3</v>
      </c>
      <c r="X54" s="11"/>
      <c r="Y54" s="11"/>
      <c r="Z54" s="11"/>
      <c r="AA54" s="11"/>
      <c r="AB54" s="11"/>
      <c r="AC54" s="11"/>
      <c r="AD54" s="11"/>
      <c r="AE54" s="11"/>
      <c r="AF54" s="11"/>
      <c r="AG54" s="11">
        <v>6.5</v>
      </c>
      <c r="AH54" s="11">
        <v>6.5</v>
      </c>
      <c r="AI54" s="11">
        <v>6.5</v>
      </c>
      <c r="AJ54" s="11">
        <v>6.5</v>
      </c>
      <c r="AK54" s="11"/>
      <c r="AL54" s="14"/>
    </row>
    <row r="55" spans="2:38" ht="25.05" customHeight="1">
      <c r="B55" s="13"/>
      <c r="C55" s="29"/>
      <c r="D55" s="30"/>
      <c r="E55" s="19" t="s">
        <v>2478</v>
      </c>
      <c r="F55" s="8" t="s">
        <v>42</v>
      </c>
      <c r="G55" s="9">
        <v>0.60416666666666663</v>
      </c>
      <c r="H55" s="9">
        <v>0.64583333333333337</v>
      </c>
      <c r="I55" s="10">
        <f t="shared" si="8"/>
        <v>4.1666666666666741E-2</v>
      </c>
      <c r="J55" s="11">
        <v>4</v>
      </c>
      <c r="K55" s="11">
        <v>125.8</v>
      </c>
      <c r="L55" s="16">
        <f t="shared" si="9"/>
        <v>31.449999999999942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3</v>
      </c>
      <c r="X55" s="11"/>
      <c r="Y55" s="11"/>
      <c r="Z55" s="11"/>
      <c r="AA55" s="11"/>
      <c r="AB55" s="11"/>
      <c r="AC55" s="11"/>
      <c r="AD55" s="11"/>
      <c r="AE55" s="11"/>
      <c r="AF55" s="11"/>
      <c r="AG55" s="11">
        <v>15</v>
      </c>
      <c r="AH55" s="11">
        <v>15</v>
      </c>
      <c r="AI55" s="11">
        <v>15</v>
      </c>
      <c r="AJ55" s="11">
        <v>15</v>
      </c>
      <c r="AK55" s="11"/>
      <c r="AL55" s="14"/>
    </row>
    <row r="56" spans="2:38" ht="25.05" customHeight="1">
      <c r="B56" s="13"/>
      <c r="C56" s="29"/>
      <c r="D56" s="30"/>
      <c r="E56" s="19" t="s">
        <v>2479</v>
      </c>
      <c r="F56" s="8" t="s">
        <v>42</v>
      </c>
      <c r="G56" s="9">
        <v>0.625</v>
      </c>
      <c r="H56" s="9">
        <v>0.67013888888888884</v>
      </c>
      <c r="I56" s="10">
        <f t="shared" si="8"/>
        <v>4.513888888888884E-2</v>
      </c>
      <c r="J56" s="11">
        <v>4</v>
      </c>
      <c r="K56" s="11">
        <v>111.97</v>
      </c>
      <c r="L56" s="16">
        <f t="shared" si="9"/>
        <v>25.839230769230795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3</v>
      </c>
      <c r="X56" s="11"/>
      <c r="Y56" s="11"/>
      <c r="Z56" s="11"/>
      <c r="AA56" s="11"/>
      <c r="AB56" s="11"/>
      <c r="AC56" s="11"/>
      <c r="AD56" s="11"/>
      <c r="AE56" s="11"/>
      <c r="AF56" s="11"/>
      <c r="AG56" s="11">
        <v>16.25</v>
      </c>
      <c r="AH56" s="11">
        <v>16.25</v>
      </c>
      <c r="AI56" s="11">
        <v>16.25</v>
      </c>
      <c r="AJ56" s="11">
        <v>16.25</v>
      </c>
      <c r="AK56" s="11"/>
      <c r="AL56" s="14"/>
    </row>
    <row r="57" spans="2:38" ht="25.05" customHeight="1">
      <c r="B57" s="13"/>
      <c r="C57" s="29"/>
      <c r="D57" s="30"/>
      <c r="E57" s="19"/>
      <c r="F57" s="19"/>
      <c r="G57" s="19"/>
      <c r="H57" s="19"/>
      <c r="I57" s="19"/>
      <c r="J57" s="19"/>
      <c r="K57" s="19"/>
      <c r="L57" s="19"/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 t="s">
        <v>2464</v>
      </c>
      <c r="E58" s="19" t="s">
        <v>2480</v>
      </c>
      <c r="F58" s="8" t="s">
        <v>42</v>
      </c>
      <c r="G58" s="9">
        <v>0.36527777777777776</v>
      </c>
      <c r="H58" s="9">
        <v>0.39652777777777776</v>
      </c>
      <c r="I58" s="10">
        <f t="shared" si="8"/>
        <v>3.125E-2</v>
      </c>
      <c r="J58" s="11">
        <v>3</v>
      </c>
      <c r="K58" s="11">
        <f>3.806*20</f>
        <v>76.12</v>
      </c>
      <c r="L58" s="16">
        <f t="shared" si="9"/>
        <v>33.831111111111113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>
        <v>45</v>
      </c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2481</v>
      </c>
      <c r="F59" s="8" t="s">
        <v>42</v>
      </c>
      <c r="G59" s="9">
        <v>0.37152777777777779</v>
      </c>
      <c r="H59" s="9">
        <v>0.40277777777777779</v>
      </c>
      <c r="I59" s="10">
        <f t="shared" si="8"/>
        <v>3.125E-2</v>
      </c>
      <c r="J59" s="11">
        <v>3</v>
      </c>
      <c r="K59" s="11">
        <f t="shared" ref="K59:K93" si="10">3.806*20</f>
        <v>76.12</v>
      </c>
      <c r="L59" s="16">
        <f t="shared" si="9"/>
        <v>33.831111111111113</v>
      </c>
      <c r="M59" s="11"/>
      <c r="N59" s="11"/>
      <c r="O59" s="11"/>
      <c r="P59" s="11"/>
      <c r="Q59" s="11"/>
      <c r="R59" s="12"/>
      <c r="S59" s="12"/>
      <c r="T59" s="11"/>
      <c r="U59" s="11"/>
      <c r="V59" s="12">
        <v>2</v>
      </c>
      <c r="W59" s="12"/>
      <c r="X59" s="11"/>
      <c r="Y59" s="11">
        <v>45</v>
      </c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2482</v>
      </c>
      <c r="F60" s="8" t="s">
        <v>42</v>
      </c>
      <c r="G60" s="9">
        <v>0.375</v>
      </c>
      <c r="H60" s="9">
        <v>0.40625</v>
      </c>
      <c r="I60" s="10">
        <f t="shared" si="8"/>
        <v>3.125E-2</v>
      </c>
      <c r="J60" s="11">
        <v>3</v>
      </c>
      <c r="K60" s="11">
        <f>3.806*5</f>
        <v>19.03</v>
      </c>
      <c r="L60" s="16">
        <f t="shared" si="9"/>
        <v>8.4577777777777783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/>
      <c r="Y60" s="11"/>
      <c r="Z60" s="11">
        <v>45</v>
      </c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2483</v>
      </c>
      <c r="F61" s="8" t="s">
        <v>42</v>
      </c>
      <c r="G61" s="9">
        <v>0.375</v>
      </c>
      <c r="H61" s="9">
        <v>0.40625</v>
      </c>
      <c r="I61" s="10">
        <f t="shared" si="8"/>
        <v>3.125E-2</v>
      </c>
      <c r="J61" s="11">
        <v>3</v>
      </c>
      <c r="K61" s="11">
        <f>3.806*15</f>
        <v>57.09</v>
      </c>
      <c r="L61" s="16">
        <f t="shared" si="9"/>
        <v>25.373333333333335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/>
      <c r="Y61" s="11"/>
      <c r="Z61" s="11">
        <v>45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2484</v>
      </c>
      <c r="F62" s="8" t="s">
        <v>42</v>
      </c>
      <c r="G62" s="9">
        <v>0.38124999999999998</v>
      </c>
      <c r="H62" s="9">
        <v>0.41249999999999998</v>
      </c>
      <c r="I62" s="10">
        <f t="shared" si="8"/>
        <v>3.125E-2</v>
      </c>
      <c r="J62" s="11">
        <v>3</v>
      </c>
      <c r="K62" s="11">
        <f t="shared" si="10"/>
        <v>76.12</v>
      </c>
      <c r="L62" s="16">
        <f t="shared" si="9"/>
        <v>33.831111111111113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/>
      <c r="AA62" s="11">
        <v>45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2485</v>
      </c>
      <c r="F63" s="8" t="s">
        <v>42</v>
      </c>
      <c r="G63" s="9">
        <v>0.41597222222222224</v>
      </c>
      <c r="H63" s="9">
        <v>0.44722222222222224</v>
      </c>
      <c r="I63" s="10">
        <f t="shared" si="8"/>
        <v>3.125E-2</v>
      </c>
      <c r="J63" s="11">
        <v>3</v>
      </c>
      <c r="K63" s="11">
        <f>3.806*10</f>
        <v>38.06</v>
      </c>
      <c r="L63" s="16">
        <f t="shared" si="9"/>
        <v>16.915555555555557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>
        <v>45</v>
      </c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2486</v>
      </c>
      <c r="F64" s="8" t="s">
        <v>42</v>
      </c>
      <c r="G64" s="9">
        <v>0.41597222222222224</v>
      </c>
      <c r="H64" s="9">
        <v>0.44722222222222224</v>
      </c>
      <c r="I64" s="10">
        <f t="shared" si="8"/>
        <v>3.125E-2</v>
      </c>
      <c r="J64" s="11">
        <v>3</v>
      </c>
      <c r="K64" s="11">
        <f>3.806*10</f>
        <v>38.06</v>
      </c>
      <c r="L64" s="16">
        <f t="shared" si="9"/>
        <v>16.915555555555557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>
        <v>45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2487</v>
      </c>
      <c r="F65" s="8" t="s">
        <v>42</v>
      </c>
      <c r="G65" s="9">
        <v>0.42083333333333334</v>
      </c>
      <c r="H65" s="9">
        <v>0.45208333333333334</v>
      </c>
      <c r="I65" s="10">
        <f t="shared" ref="I65:I121" si="11">H65-G65</f>
        <v>3.125E-2</v>
      </c>
      <c r="J65" s="11">
        <v>3</v>
      </c>
      <c r="K65" s="11">
        <f t="shared" si="10"/>
        <v>76.12</v>
      </c>
      <c r="L65" s="16">
        <f t="shared" ref="L65:L121" si="12">IFERROR(((K65/(J65*I65)/24)),"0")</f>
        <v>33.831111111111113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/>
      <c r="Y65" s="11"/>
      <c r="Z65" s="11">
        <v>45</v>
      </c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2488</v>
      </c>
      <c r="F66" s="8" t="s">
        <v>42</v>
      </c>
      <c r="G66" s="9">
        <v>0.42638888888888887</v>
      </c>
      <c r="H66" s="9">
        <v>0.45763888888888887</v>
      </c>
      <c r="I66" s="10">
        <f t="shared" si="11"/>
        <v>3.125E-2</v>
      </c>
      <c r="J66" s="11">
        <v>3</v>
      </c>
      <c r="K66" s="11">
        <f>3.806*15</f>
        <v>57.09</v>
      </c>
      <c r="L66" s="16">
        <f t="shared" si="12"/>
        <v>25.373333333333335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2</v>
      </c>
      <c r="X66" s="11"/>
      <c r="Y66" s="11"/>
      <c r="Z66" s="11"/>
      <c r="AA66" s="11">
        <v>45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2489</v>
      </c>
      <c r="F67" s="8" t="s">
        <v>42</v>
      </c>
      <c r="G67" s="9">
        <v>0.42638888888888887</v>
      </c>
      <c r="H67" s="9">
        <v>0.45763888888888887</v>
      </c>
      <c r="I67" s="10">
        <f t="shared" si="11"/>
        <v>3.125E-2</v>
      </c>
      <c r="J67" s="11">
        <v>3</v>
      </c>
      <c r="K67" s="11">
        <f>3.806*5</f>
        <v>19.03</v>
      </c>
      <c r="L67" s="16">
        <f t="shared" si="12"/>
        <v>8.4577777777777783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2</v>
      </c>
      <c r="X67" s="11"/>
      <c r="Y67" s="11"/>
      <c r="Z67" s="11"/>
      <c r="AA67" s="11">
        <v>45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2490</v>
      </c>
      <c r="F68" s="8" t="s">
        <v>42</v>
      </c>
      <c r="G68" s="9">
        <v>0.43194444444444446</v>
      </c>
      <c r="H68" s="9">
        <v>0.46319444444444446</v>
      </c>
      <c r="I68" s="10">
        <f t="shared" si="11"/>
        <v>3.125E-2</v>
      </c>
      <c r="J68" s="11">
        <v>3</v>
      </c>
      <c r="K68" s="11">
        <f>3.806*20</f>
        <v>76.12</v>
      </c>
      <c r="L68" s="16">
        <f t="shared" si="12"/>
        <v>33.831111111111113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>
        <v>45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2491</v>
      </c>
      <c r="F69" s="8" t="s">
        <v>42</v>
      </c>
      <c r="G69" s="9">
        <v>0.46250000000000002</v>
      </c>
      <c r="H69" s="9">
        <v>0.49375000000000002</v>
      </c>
      <c r="I69" s="10">
        <f t="shared" si="11"/>
        <v>3.125E-2</v>
      </c>
      <c r="J69" s="11">
        <v>3</v>
      </c>
      <c r="K69" s="11">
        <f t="shared" si="10"/>
        <v>76.12</v>
      </c>
      <c r="L69" s="16">
        <f t="shared" si="12"/>
        <v>33.831111111111113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>
        <v>45</v>
      </c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2492</v>
      </c>
      <c r="F70" s="8" t="s">
        <v>42</v>
      </c>
      <c r="G70" s="9">
        <v>0.46805555555555556</v>
      </c>
      <c r="H70" s="9">
        <v>0.49930555555555556</v>
      </c>
      <c r="I70" s="10">
        <f t="shared" si="11"/>
        <v>3.125E-2</v>
      </c>
      <c r="J70" s="11">
        <v>3</v>
      </c>
      <c r="K70" s="11">
        <f t="shared" si="10"/>
        <v>76.12</v>
      </c>
      <c r="L70" s="16">
        <f t="shared" si="12"/>
        <v>33.831111111111113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2</v>
      </c>
      <c r="X70" s="11"/>
      <c r="Y70" s="11">
        <v>45</v>
      </c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2493</v>
      </c>
      <c r="F71" s="8" t="s">
        <v>42</v>
      </c>
      <c r="G71" s="9">
        <v>0.47291666666666665</v>
      </c>
      <c r="H71" s="9">
        <v>0.50416666666666665</v>
      </c>
      <c r="I71" s="10">
        <f t="shared" si="11"/>
        <v>3.125E-2</v>
      </c>
      <c r="J71" s="11">
        <v>3</v>
      </c>
      <c r="K71" s="11">
        <f t="shared" si="10"/>
        <v>76.12</v>
      </c>
      <c r="L71" s="16">
        <f t="shared" si="12"/>
        <v>33.831111111111113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>
        <v>45</v>
      </c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2494</v>
      </c>
      <c r="F72" s="8" t="s">
        <v>42</v>
      </c>
      <c r="G72" s="9">
        <v>0.47430555555555554</v>
      </c>
      <c r="H72" s="9">
        <v>0.50555555555555554</v>
      </c>
      <c r="I72" s="10">
        <f t="shared" si="11"/>
        <v>3.125E-2</v>
      </c>
      <c r="J72" s="11">
        <v>3</v>
      </c>
      <c r="K72" s="11">
        <f>3.806*5</f>
        <v>19.03</v>
      </c>
      <c r="L72" s="16">
        <f t="shared" si="12"/>
        <v>8.4577777777777783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/>
      <c r="Z72" s="11">
        <v>45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2495</v>
      </c>
      <c r="F73" s="8" t="s">
        <v>42</v>
      </c>
      <c r="G73" s="9">
        <v>0.47430555555555554</v>
      </c>
      <c r="H73" s="9">
        <v>0.50555555555555554</v>
      </c>
      <c r="I73" s="10">
        <f t="shared" si="11"/>
        <v>3.125E-2</v>
      </c>
      <c r="J73" s="11">
        <v>3</v>
      </c>
      <c r="K73" s="11">
        <f>3.806*15</f>
        <v>57.09</v>
      </c>
      <c r="L73" s="16">
        <f t="shared" si="12"/>
        <v>25.373333333333335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/>
      <c r="Y73" s="11"/>
      <c r="Z73" s="11">
        <v>45</v>
      </c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2496</v>
      </c>
      <c r="F74" s="8" t="s">
        <v>42</v>
      </c>
      <c r="G74" s="9">
        <v>0.56944444444444442</v>
      </c>
      <c r="H74" s="9">
        <v>0.60069444444444442</v>
      </c>
      <c r="I74" s="10">
        <f t="shared" si="11"/>
        <v>3.125E-2</v>
      </c>
      <c r="J74" s="11">
        <v>3</v>
      </c>
      <c r="K74" s="11">
        <f t="shared" si="10"/>
        <v>76.12</v>
      </c>
      <c r="L74" s="16">
        <f t="shared" si="12"/>
        <v>33.831111111111113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>
        <v>45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2497</v>
      </c>
      <c r="F75" s="8" t="s">
        <v>42</v>
      </c>
      <c r="G75" s="9">
        <v>0.57430555555555551</v>
      </c>
      <c r="H75" s="9">
        <v>0.60555555555555551</v>
      </c>
      <c r="I75" s="10">
        <f t="shared" si="11"/>
        <v>3.125E-2</v>
      </c>
      <c r="J75" s="11">
        <v>3</v>
      </c>
      <c r="K75" s="11">
        <f>3.806*10</f>
        <v>38.06</v>
      </c>
      <c r="L75" s="16">
        <f t="shared" si="12"/>
        <v>16.915555555555557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2</v>
      </c>
      <c r="W75" s="12"/>
      <c r="X75" s="11"/>
      <c r="Y75" s="11"/>
      <c r="Z75" s="11"/>
      <c r="AA75" s="11">
        <v>45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2498</v>
      </c>
      <c r="F76" s="8" t="s">
        <v>42</v>
      </c>
      <c r="G76" s="9">
        <v>0.57430555555555551</v>
      </c>
      <c r="H76" s="9">
        <v>0.60555555555555551</v>
      </c>
      <c r="I76" s="10">
        <f t="shared" si="11"/>
        <v>3.125E-2</v>
      </c>
      <c r="J76" s="11">
        <v>3</v>
      </c>
      <c r="K76" s="11">
        <f>3.806*10</f>
        <v>38.06</v>
      </c>
      <c r="L76" s="16">
        <f t="shared" si="12"/>
        <v>16.915555555555557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/>
      <c r="AA76" s="11">
        <v>45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2499</v>
      </c>
      <c r="F77" s="8" t="s">
        <v>42</v>
      </c>
      <c r="G77" s="9">
        <v>0.57777777777777772</v>
      </c>
      <c r="H77" s="9">
        <v>0.60902777777777772</v>
      </c>
      <c r="I77" s="10">
        <f t="shared" si="11"/>
        <v>3.125E-2</v>
      </c>
      <c r="J77" s="11">
        <v>3</v>
      </c>
      <c r="K77" s="11">
        <f t="shared" si="10"/>
        <v>76.12</v>
      </c>
      <c r="L77" s="16">
        <f t="shared" si="12"/>
        <v>33.831111111111113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>
        <v>45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2500</v>
      </c>
      <c r="F78" s="8" t="s">
        <v>42</v>
      </c>
      <c r="G78" s="9">
        <v>0.58819444444444446</v>
      </c>
      <c r="H78" s="9">
        <v>0.61944444444444446</v>
      </c>
      <c r="I78" s="10">
        <f t="shared" si="11"/>
        <v>3.125E-2</v>
      </c>
      <c r="J78" s="11">
        <v>3</v>
      </c>
      <c r="K78" s="11">
        <f>3.806*15</f>
        <v>57.09</v>
      </c>
      <c r="L78" s="16">
        <f t="shared" si="12"/>
        <v>25.373333333333335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>
        <v>45</v>
      </c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2501</v>
      </c>
      <c r="F79" s="8" t="s">
        <v>42</v>
      </c>
      <c r="G79" s="9">
        <v>0.58819444444444446</v>
      </c>
      <c r="H79" s="9">
        <v>0.61944444444444446</v>
      </c>
      <c r="I79" s="10">
        <f t="shared" si="11"/>
        <v>3.125E-2</v>
      </c>
      <c r="J79" s="11">
        <v>3</v>
      </c>
      <c r="K79" s="11">
        <f>3.806*5</f>
        <v>19.03</v>
      </c>
      <c r="L79" s="16">
        <f t="shared" si="12"/>
        <v>8.4577777777777783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>
        <v>45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2502</v>
      </c>
      <c r="F80" s="8" t="s">
        <v>42</v>
      </c>
      <c r="G80" s="9">
        <v>0.6166666666666667</v>
      </c>
      <c r="H80" s="9">
        <v>0.6479166666666667</v>
      </c>
      <c r="I80" s="10">
        <f t="shared" si="11"/>
        <v>3.125E-2</v>
      </c>
      <c r="J80" s="11">
        <v>3</v>
      </c>
      <c r="K80" s="11">
        <f t="shared" si="10"/>
        <v>76.12</v>
      </c>
      <c r="L80" s="16">
        <f t="shared" si="12"/>
        <v>33.831111111111113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>
        <v>45</v>
      </c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2503</v>
      </c>
      <c r="F81" s="8" t="s">
        <v>42</v>
      </c>
      <c r="G81" s="9">
        <v>0.62291666666666667</v>
      </c>
      <c r="H81" s="9">
        <v>0.65416666666666667</v>
      </c>
      <c r="I81" s="10">
        <f t="shared" si="11"/>
        <v>3.125E-2</v>
      </c>
      <c r="J81" s="11">
        <v>3</v>
      </c>
      <c r="K81" s="11">
        <f t="shared" si="10"/>
        <v>76.12</v>
      </c>
      <c r="L81" s="16">
        <f t="shared" si="12"/>
        <v>33.831111111111113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>
        <v>45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2504</v>
      </c>
      <c r="F82" s="8" t="s">
        <v>42</v>
      </c>
      <c r="G82" s="9">
        <v>0.62777777777777777</v>
      </c>
      <c r="H82" s="9">
        <v>0.65902777777777777</v>
      </c>
      <c r="I82" s="10">
        <f t="shared" si="11"/>
        <v>3.125E-2</v>
      </c>
      <c r="J82" s="11">
        <v>3</v>
      </c>
      <c r="K82" s="11">
        <f t="shared" si="10"/>
        <v>76.12</v>
      </c>
      <c r="L82" s="16">
        <f t="shared" si="12"/>
        <v>33.831111111111113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>
        <v>45</v>
      </c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2505</v>
      </c>
      <c r="F83" s="8" t="s">
        <v>42</v>
      </c>
      <c r="G83" s="9">
        <v>0.63263888888888886</v>
      </c>
      <c r="H83" s="9">
        <v>0.66388888888888886</v>
      </c>
      <c r="I83" s="10">
        <f t="shared" si="11"/>
        <v>3.125E-2</v>
      </c>
      <c r="J83" s="11">
        <v>3</v>
      </c>
      <c r="K83" s="11">
        <f t="shared" si="10"/>
        <v>76.12</v>
      </c>
      <c r="L83" s="16">
        <f t="shared" si="12"/>
        <v>33.831111111111113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>
        <v>45</v>
      </c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2506</v>
      </c>
      <c r="F84" s="8" t="s">
        <v>42</v>
      </c>
      <c r="G84" s="9">
        <v>0.65902777777777777</v>
      </c>
      <c r="H84" s="9">
        <v>0.69027777777777777</v>
      </c>
      <c r="I84" s="10">
        <f t="shared" si="11"/>
        <v>3.125E-2</v>
      </c>
      <c r="J84" s="11">
        <v>3</v>
      </c>
      <c r="K84" s="11">
        <f>3.806*5</f>
        <v>19.03</v>
      </c>
      <c r="L84" s="16">
        <f t="shared" si="12"/>
        <v>8.4577777777777783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>
        <v>45</v>
      </c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2507</v>
      </c>
      <c r="F85" s="8" t="s">
        <v>42</v>
      </c>
      <c r="G85" s="9">
        <v>0.65902777777777777</v>
      </c>
      <c r="H85" s="9">
        <v>0.69027777777777777</v>
      </c>
      <c r="I85" s="10">
        <f t="shared" si="11"/>
        <v>3.125E-2</v>
      </c>
      <c r="J85" s="11">
        <v>3</v>
      </c>
      <c r="K85" s="11">
        <f>3.806*15</f>
        <v>57.09</v>
      </c>
      <c r="L85" s="16">
        <f t="shared" si="12"/>
        <v>25.373333333333335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>
        <v>45</v>
      </c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2508</v>
      </c>
      <c r="F86" s="8" t="s">
        <v>42</v>
      </c>
      <c r="G86" s="9">
        <v>0.67361111111111116</v>
      </c>
      <c r="H86" s="9">
        <v>0.70486111111111116</v>
      </c>
      <c r="I86" s="10">
        <f t="shared" si="11"/>
        <v>3.125E-2</v>
      </c>
      <c r="J86" s="11">
        <v>3</v>
      </c>
      <c r="K86" s="11">
        <f t="shared" si="10"/>
        <v>76.12</v>
      </c>
      <c r="L86" s="16">
        <f t="shared" si="12"/>
        <v>33.831111111111113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/>
      <c r="Z86" s="11">
        <v>45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2509</v>
      </c>
      <c r="F87" s="8" t="s">
        <v>42</v>
      </c>
      <c r="G87" s="9">
        <v>0.68055555555555558</v>
      </c>
      <c r="H87" s="9">
        <v>0.71180555555555558</v>
      </c>
      <c r="I87" s="10">
        <f t="shared" si="11"/>
        <v>3.125E-2</v>
      </c>
      <c r="J87" s="11">
        <v>3</v>
      </c>
      <c r="K87" s="11">
        <f>3.806*10</f>
        <v>38.06</v>
      </c>
      <c r="L87" s="16">
        <f t="shared" si="12"/>
        <v>16.915555555555557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/>
      <c r="AA87" s="11">
        <v>45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2510</v>
      </c>
      <c r="F88" s="8" t="s">
        <v>42</v>
      </c>
      <c r="G88" s="9">
        <v>0.68055555555555558</v>
      </c>
      <c r="H88" s="9">
        <v>0.71180555555555558</v>
      </c>
      <c r="I88" s="10">
        <f t="shared" si="11"/>
        <v>3.125E-2</v>
      </c>
      <c r="J88" s="11">
        <v>3</v>
      </c>
      <c r="K88" s="11">
        <f>3.806*10</f>
        <v>38.06</v>
      </c>
      <c r="L88" s="16">
        <f t="shared" si="12"/>
        <v>16.915555555555557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2</v>
      </c>
      <c r="W88" s="12"/>
      <c r="X88" s="11"/>
      <c r="Y88" s="11"/>
      <c r="Z88" s="11"/>
      <c r="AA88" s="11">
        <v>45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2511</v>
      </c>
      <c r="F89" s="8" t="s">
        <v>42</v>
      </c>
      <c r="G89" s="9">
        <v>0.70277777777777772</v>
      </c>
      <c r="H89" s="9">
        <v>0.73402777777777772</v>
      </c>
      <c r="I89" s="10">
        <f t="shared" si="11"/>
        <v>3.125E-2</v>
      </c>
      <c r="J89" s="11">
        <v>3</v>
      </c>
      <c r="K89" s="11">
        <f t="shared" si="10"/>
        <v>76.12</v>
      </c>
      <c r="L89" s="16">
        <f t="shared" si="12"/>
        <v>33.831111111111113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>
        <v>45</v>
      </c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2512</v>
      </c>
      <c r="F90" s="8" t="s">
        <v>42</v>
      </c>
      <c r="G90" s="9">
        <v>0.70833333333333337</v>
      </c>
      <c r="H90" s="9">
        <v>0.73958333333333337</v>
      </c>
      <c r="I90" s="10">
        <f t="shared" si="11"/>
        <v>3.125E-2</v>
      </c>
      <c r="J90" s="11">
        <v>3</v>
      </c>
      <c r="K90" s="11">
        <f>3.806*15</f>
        <v>57.09</v>
      </c>
      <c r="L90" s="16">
        <f t="shared" si="12"/>
        <v>25.373333333333335</v>
      </c>
      <c r="M90" s="11"/>
      <c r="N90" s="11"/>
      <c r="O90" s="11"/>
      <c r="P90" s="11"/>
      <c r="Q90" s="11"/>
      <c r="R90" s="12"/>
      <c r="S90" s="12"/>
      <c r="T90" s="11"/>
      <c r="U90" s="11"/>
      <c r="V90" s="12">
        <v>2</v>
      </c>
      <c r="W90" s="12"/>
      <c r="X90" s="11"/>
      <c r="Y90" s="11"/>
      <c r="Z90" s="11">
        <v>45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2513</v>
      </c>
      <c r="F91" s="8" t="s">
        <v>42</v>
      </c>
      <c r="G91" s="9">
        <v>0.70833333333333337</v>
      </c>
      <c r="H91" s="9">
        <v>0.73958333333333337</v>
      </c>
      <c r="I91" s="10">
        <f t="shared" si="11"/>
        <v>3.125E-2</v>
      </c>
      <c r="J91" s="11">
        <v>3</v>
      </c>
      <c r="K91" s="11">
        <f>3.806*5</f>
        <v>19.03</v>
      </c>
      <c r="L91" s="16">
        <f t="shared" si="12"/>
        <v>8.4577777777777783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/>
      <c r="Y91" s="11"/>
      <c r="Z91" s="11">
        <v>45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2514</v>
      </c>
      <c r="F92" s="8" t="s">
        <v>42</v>
      </c>
      <c r="G92" s="9">
        <v>0.72499999999999998</v>
      </c>
      <c r="H92" s="9">
        <v>0.75416666666666665</v>
      </c>
      <c r="I92" s="10">
        <f t="shared" si="11"/>
        <v>2.9166666666666674E-2</v>
      </c>
      <c r="J92" s="11">
        <v>3</v>
      </c>
      <c r="K92" s="11">
        <f t="shared" si="10"/>
        <v>76.12</v>
      </c>
      <c r="L92" s="16">
        <f t="shared" si="12"/>
        <v>36.24761904761904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/>
      <c r="Z92" s="11"/>
      <c r="AA92" s="11">
        <v>45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2515</v>
      </c>
      <c r="F93" s="8" t="s">
        <v>42</v>
      </c>
      <c r="G93" s="9">
        <v>0.74652777777777779</v>
      </c>
      <c r="H93" s="9">
        <v>0.77777777777777779</v>
      </c>
      <c r="I93" s="10">
        <f t="shared" si="11"/>
        <v>3.125E-2</v>
      </c>
      <c r="J93" s="11">
        <v>3</v>
      </c>
      <c r="K93" s="11">
        <f t="shared" si="10"/>
        <v>76.12</v>
      </c>
      <c r="L93" s="16">
        <f t="shared" si="12"/>
        <v>33.831111111111113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2</v>
      </c>
      <c r="W93" s="12"/>
      <c r="X93" s="11">
        <v>45</v>
      </c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562</v>
      </c>
      <c r="F94" s="8" t="s">
        <v>42</v>
      </c>
      <c r="G94" s="9">
        <v>0.48472222222222222</v>
      </c>
      <c r="H94" s="9">
        <v>0.48489583333333336</v>
      </c>
      <c r="I94" s="10">
        <f t="shared" si="11"/>
        <v>1.7361111111113825E-4</v>
      </c>
      <c r="J94" s="11">
        <v>4</v>
      </c>
      <c r="K94" s="11">
        <v>71.78</v>
      </c>
      <c r="L94" s="16">
        <f t="shared" si="12"/>
        <v>4306.7999999993272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2</v>
      </c>
      <c r="X94" s="11"/>
      <c r="Y94" s="11"/>
      <c r="Z94" s="11"/>
      <c r="AA94" s="11"/>
      <c r="AB94" s="11">
        <v>1</v>
      </c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563</v>
      </c>
      <c r="F95" s="8" t="s">
        <v>42</v>
      </c>
      <c r="G95" s="9">
        <v>0.4909722222222222</v>
      </c>
      <c r="H95" s="9">
        <v>0.49114583333333334</v>
      </c>
      <c r="I95" s="10">
        <f t="shared" si="11"/>
        <v>1.7361111111113825E-4</v>
      </c>
      <c r="J95" s="11">
        <v>4</v>
      </c>
      <c r="K95" s="11">
        <v>68.73</v>
      </c>
      <c r="L95" s="16">
        <f t="shared" si="12"/>
        <v>4123.7999999993554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2</v>
      </c>
      <c r="W95" s="12"/>
      <c r="X95" s="11"/>
      <c r="Y95" s="11"/>
      <c r="Z95" s="11"/>
      <c r="AA95" s="11"/>
      <c r="AB95" s="11">
        <v>1</v>
      </c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564</v>
      </c>
      <c r="F96" s="8" t="s">
        <v>42</v>
      </c>
      <c r="G96" s="9">
        <v>0.49722222222222223</v>
      </c>
      <c r="H96" s="9">
        <v>0.49739583333333331</v>
      </c>
      <c r="I96" s="10">
        <f t="shared" si="11"/>
        <v>1.7361111111108274E-4</v>
      </c>
      <c r="J96" s="11">
        <v>4</v>
      </c>
      <c r="K96" s="11">
        <v>67.569999999999993</v>
      </c>
      <c r="L96" s="16">
        <f t="shared" si="12"/>
        <v>4054.2000000006624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2</v>
      </c>
      <c r="X96" s="11"/>
      <c r="Y96" s="11"/>
      <c r="Z96" s="11"/>
      <c r="AA96" s="11"/>
      <c r="AB96" s="11">
        <v>1</v>
      </c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565</v>
      </c>
      <c r="F97" s="8" t="s">
        <v>42</v>
      </c>
      <c r="G97" s="9">
        <v>0.57499999999999996</v>
      </c>
      <c r="H97" s="9">
        <v>0.57499999999999996</v>
      </c>
      <c r="I97" s="10">
        <f t="shared" si="11"/>
        <v>0</v>
      </c>
      <c r="J97" s="11">
        <v>4</v>
      </c>
      <c r="K97" s="11">
        <v>68.66</v>
      </c>
      <c r="L97" s="16" t="str">
        <f t="shared" si="12"/>
        <v>0</v>
      </c>
      <c r="M97" s="11"/>
      <c r="N97" s="11"/>
      <c r="O97" s="11"/>
      <c r="P97" s="11"/>
      <c r="Q97" s="11"/>
      <c r="R97" s="12"/>
      <c r="S97" s="12"/>
      <c r="T97" s="11"/>
      <c r="U97" s="11"/>
      <c r="V97" s="12">
        <v>2</v>
      </c>
      <c r="W97" s="12"/>
      <c r="X97" s="11"/>
      <c r="Y97" s="11"/>
      <c r="Z97" s="11"/>
      <c r="AA97" s="11"/>
      <c r="AB97" s="11">
        <v>1</v>
      </c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566</v>
      </c>
      <c r="F98" s="8" t="s">
        <v>42</v>
      </c>
      <c r="G98" s="9">
        <v>0.6479166666666667</v>
      </c>
      <c r="H98" s="9">
        <v>0.6479166666666667</v>
      </c>
      <c r="I98" s="10">
        <f t="shared" si="11"/>
        <v>0</v>
      </c>
      <c r="J98" s="11">
        <v>4</v>
      </c>
      <c r="K98" s="11">
        <v>77.25</v>
      </c>
      <c r="L98" s="16" t="str">
        <f t="shared" si="12"/>
        <v>0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2</v>
      </c>
      <c r="X98" s="11"/>
      <c r="Y98" s="11"/>
      <c r="Z98" s="11"/>
      <c r="AA98" s="11"/>
      <c r="AB98" s="11">
        <v>1</v>
      </c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636</v>
      </c>
      <c r="F99" s="8" t="s">
        <v>42</v>
      </c>
      <c r="G99" s="9">
        <v>0.65416666666666667</v>
      </c>
      <c r="H99" s="9">
        <v>0.65416666666666667</v>
      </c>
      <c r="I99" s="10">
        <f t="shared" si="11"/>
        <v>0</v>
      </c>
      <c r="J99" s="11">
        <v>4</v>
      </c>
      <c r="K99" s="11">
        <v>63.04</v>
      </c>
      <c r="L99" s="16" t="str">
        <f t="shared" si="12"/>
        <v>0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>
        <v>2</v>
      </c>
      <c r="X99" s="11"/>
      <c r="Y99" s="11"/>
      <c r="Z99" s="11"/>
      <c r="AA99" s="11"/>
      <c r="AB99" s="11">
        <v>1</v>
      </c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637</v>
      </c>
      <c r="F100" s="8" t="s">
        <v>42</v>
      </c>
      <c r="G100" s="9">
        <v>0.6645833333333333</v>
      </c>
      <c r="H100" s="9">
        <v>0.6645833333333333</v>
      </c>
      <c r="I100" s="10">
        <f t="shared" si="11"/>
        <v>0</v>
      </c>
      <c r="J100" s="11">
        <v>4</v>
      </c>
      <c r="K100" s="11">
        <v>61.88</v>
      </c>
      <c r="L100" s="16" t="str">
        <f t="shared" si="12"/>
        <v>0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>
        <v>2</v>
      </c>
      <c r="W100" s="12"/>
      <c r="X100" s="11"/>
      <c r="Y100" s="11"/>
      <c r="Z100" s="11"/>
      <c r="AA100" s="11"/>
      <c r="AB100" s="11">
        <v>1</v>
      </c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638</v>
      </c>
      <c r="F101" s="8" t="s">
        <v>42</v>
      </c>
      <c r="G101" s="9">
        <v>0.69444444444444442</v>
      </c>
      <c r="H101" s="9">
        <v>0.69444444444444442</v>
      </c>
      <c r="I101" s="10">
        <f t="shared" si="11"/>
        <v>0</v>
      </c>
      <c r="J101" s="11">
        <v>4</v>
      </c>
      <c r="K101" s="11">
        <v>67.48</v>
      </c>
      <c r="L101" s="16" t="str">
        <f t="shared" si="12"/>
        <v>0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2</v>
      </c>
      <c r="W101" s="12"/>
      <c r="X101" s="11"/>
      <c r="Y101" s="11"/>
      <c r="Z101" s="11"/>
      <c r="AA101" s="11"/>
      <c r="AB101" s="11">
        <v>1</v>
      </c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639</v>
      </c>
      <c r="F102" s="8" t="s">
        <v>42</v>
      </c>
      <c r="G102" s="9">
        <v>0.70694444444444449</v>
      </c>
      <c r="H102" s="9">
        <v>0.70694444444444449</v>
      </c>
      <c r="I102" s="10">
        <f t="shared" si="11"/>
        <v>0</v>
      </c>
      <c r="J102" s="11">
        <v>4</v>
      </c>
      <c r="K102" s="11">
        <v>61.77</v>
      </c>
      <c r="L102" s="16" t="str">
        <f t="shared" si="12"/>
        <v>0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>
        <v>2</v>
      </c>
      <c r="X102" s="11"/>
      <c r="Y102" s="11"/>
      <c r="Z102" s="11"/>
      <c r="AA102" s="11"/>
      <c r="AB102" s="11">
        <v>1</v>
      </c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640</v>
      </c>
      <c r="F103" s="8" t="s">
        <v>42</v>
      </c>
      <c r="G103" s="9">
        <v>0.71388888888888891</v>
      </c>
      <c r="H103" s="9">
        <v>0.71388888888888891</v>
      </c>
      <c r="I103" s="10">
        <f t="shared" si="11"/>
        <v>0</v>
      </c>
      <c r="J103" s="11">
        <v>4</v>
      </c>
      <c r="K103" s="11">
        <v>61.02</v>
      </c>
      <c r="L103" s="16" t="str">
        <f t="shared" si="12"/>
        <v>0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2</v>
      </c>
      <c r="X103" s="11"/>
      <c r="Y103" s="11"/>
      <c r="Z103" s="11"/>
      <c r="AA103" s="11"/>
      <c r="AB103" s="11">
        <v>1</v>
      </c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641</v>
      </c>
      <c r="F104" s="8" t="s">
        <v>42</v>
      </c>
      <c r="G104" s="9">
        <v>0.72222222222222221</v>
      </c>
      <c r="H104" s="9">
        <v>0.72222222222222221</v>
      </c>
      <c r="I104" s="10">
        <f t="shared" si="11"/>
        <v>0</v>
      </c>
      <c r="J104" s="11">
        <v>4</v>
      </c>
      <c r="K104" s="11">
        <v>64</v>
      </c>
      <c r="L104" s="16" t="str">
        <f t="shared" si="12"/>
        <v>0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>
        <v>2</v>
      </c>
      <c r="X104" s="11"/>
      <c r="Y104" s="11"/>
      <c r="Z104" s="11"/>
      <c r="AA104" s="11"/>
      <c r="AB104" s="11">
        <v>1</v>
      </c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642</v>
      </c>
      <c r="F105" s="8" t="s">
        <v>42</v>
      </c>
      <c r="G105" s="9">
        <v>0.72777777777777775</v>
      </c>
      <c r="H105" s="9">
        <v>0.72777777777777775</v>
      </c>
      <c r="I105" s="10">
        <f t="shared" si="11"/>
        <v>0</v>
      </c>
      <c r="J105" s="11">
        <v>4</v>
      </c>
      <c r="K105" s="11">
        <v>67.37</v>
      </c>
      <c r="L105" s="16" t="str">
        <f t="shared" si="12"/>
        <v>0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2</v>
      </c>
      <c r="X105" s="11"/>
      <c r="Y105" s="11"/>
      <c r="Z105" s="11"/>
      <c r="AA105" s="11"/>
      <c r="AB105" s="11">
        <v>1</v>
      </c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/>
      <c r="F106" s="19"/>
      <c r="G106" s="19"/>
      <c r="H106" s="19"/>
      <c r="I106" s="19"/>
      <c r="J106" s="19"/>
      <c r="K106" s="19"/>
      <c r="L106" s="19"/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 t="s">
        <v>2219</v>
      </c>
      <c r="E107" s="19" t="s">
        <v>1090</v>
      </c>
      <c r="F107" s="8" t="s">
        <v>42</v>
      </c>
      <c r="G107" s="9">
        <v>0.59861111111111109</v>
      </c>
      <c r="H107" s="9">
        <v>0.60555555555555551</v>
      </c>
      <c r="I107" s="10">
        <f t="shared" si="11"/>
        <v>6.9444444444444198E-3</v>
      </c>
      <c r="J107" s="11">
        <v>1</v>
      </c>
      <c r="K107" s="11">
        <f>0.09*520</f>
        <v>46.8</v>
      </c>
      <c r="L107" s="16">
        <f t="shared" si="12"/>
        <v>280.80000000000098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>
        <v>10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1091</v>
      </c>
      <c r="F108" s="8" t="s">
        <v>42</v>
      </c>
      <c r="G108" s="9">
        <v>0.60833333333333328</v>
      </c>
      <c r="H108" s="9">
        <v>0.61527777777777781</v>
      </c>
      <c r="I108" s="10">
        <f t="shared" si="11"/>
        <v>6.9444444444445308E-3</v>
      </c>
      <c r="J108" s="11">
        <v>1</v>
      </c>
      <c r="K108" s="11">
        <f t="shared" ref="K108:K120" si="13">0.09*520</f>
        <v>46.8</v>
      </c>
      <c r="L108" s="16">
        <f t="shared" si="12"/>
        <v>280.79999999999649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>
        <v>10</v>
      </c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1092</v>
      </c>
      <c r="F109" s="8" t="s">
        <v>42</v>
      </c>
      <c r="G109" s="9">
        <v>0.63749999999999996</v>
      </c>
      <c r="H109" s="9">
        <v>0.64444444444444449</v>
      </c>
      <c r="I109" s="10">
        <f t="shared" si="11"/>
        <v>6.9444444444445308E-3</v>
      </c>
      <c r="J109" s="11">
        <v>1</v>
      </c>
      <c r="K109" s="11">
        <f t="shared" si="13"/>
        <v>46.8</v>
      </c>
      <c r="L109" s="16">
        <f t="shared" si="12"/>
        <v>280.79999999999649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>
        <v>10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1093</v>
      </c>
      <c r="F110" s="8" t="s">
        <v>42</v>
      </c>
      <c r="G110" s="9">
        <v>0.63888888888888884</v>
      </c>
      <c r="H110" s="9">
        <v>0.64583333333333337</v>
      </c>
      <c r="I110" s="10">
        <f t="shared" si="11"/>
        <v>6.9444444444445308E-3</v>
      </c>
      <c r="J110" s="11">
        <v>1</v>
      </c>
      <c r="K110" s="11">
        <f t="shared" si="13"/>
        <v>46.8</v>
      </c>
      <c r="L110" s="16">
        <f t="shared" si="12"/>
        <v>280.79999999999649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>
        <v>10</v>
      </c>
      <c r="W110" s="12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1094</v>
      </c>
      <c r="F111" s="8" t="s">
        <v>42</v>
      </c>
      <c r="G111" s="9">
        <v>0.67569444444444449</v>
      </c>
      <c r="H111" s="9">
        <v>0.68263888888888891</v>
      </c>
      <c r="I111" s="10">
        <f t="shared" si="11"/>
        <v>6.9444444444444198E-3</v>
      </c>
      <c r="J111" s="11">
        <v>1</v>
      </c>
      <c r="K111" s="11">
        <f t="shared" si="13"/>
        <v>46.8</v>
      </c>
      <c r="L111" s="16">
        <f t="shared" si="12"/>
        <v>280.80000000000098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>
        <v>10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1095</v>
      </c>
      <c r="F112" s="8" t="s">
        <v>42</v>
      </c>
      <c r="G112" s="9">
        <v>0.69166666666666665</v>
      </c>
      <c r="H112" s="9">
        <v>0.69861111111111107</v>
      </c>
      <c r="I112" s="10">
        <f t="shared" si="11"/>
        <v>6.9444444444444198E-3</v>
      </c>
      <c r="J112" s="11">
        <v>1</v>
      </c>
      <c r="K112" s="11">
        <f t="shared" si="13"/>
        <v>46.8</v>
      </c>
      <c r="L112" s="16">
        <f t="shared" si="12"/>
        <v>280.80000000000098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>
        <v>10</v>
      </c>
      <c r="W112" s="12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9" t="s">
        <v>1096</v>
      </c>
      <c r="F113" s="8" t="s">
        <v>42</v>
      </c>
      <c r="G113" s="9">
        <v>0.72916666666666663</v>
      </c>
      <c r="H113" s="9">
        <v>0.73611111111111116</v>
      </c>
      <c r="I113" s="10">
        <f t="shared" si="11"/>
        <v>6.9444444444445308E-3</v>
      </c>
      <c r="J113" s="11">
        <v>1</v>
      </c>
      <c r="K113" s="11">
        <f t="shared" si="13"/>
        <v>46.8</v>
      </c>
      <c r="L113" s="16">
        <f t="shared" si="12"/>
        <v>280.79999999999649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>
        <v>10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 t="s">
        <v>1097</v>
      </c>
      <c r="F114" s="8" t="s">
        <v>42</v>
      </c>
      <c r="G114" s="9">
        <v>0.74097222222222225</v>
      </c>
      <c r="H114" s="9">
        <v>0.74791666666666667</v>
      </c>
      <c r="I114" s="10">
        <f t="shared" si="11"/>
        <v>6.9444444444444198E-3</v>
      </c>
      <c r="J114" s="11">
        <v>1</v>
      </c>
      <c r="K114" s="11">
        <f t="shared" si="13"/>
        <v>46.8</v>
      </c>
      <c r="L114" s="16">
        <f t="shared" si="12"/>
        <v>280.80000000000098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>
        <v>10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9" t="s">
        <v>1098</v>
      </c>
      <c r="F115" s="8" t="s">
        <v>42</v>
      </c>
      <c r="G115" s="9">
        <v>0.74444444444444446</v>
      </c>
      <c r="H115" s="9">
        <v>0.75138888888888888</v>
      </c>
      <c r="I115" s="10">
        <f t="shared" si="11"/>
        <v>6.9444444444444198E-3</v>
      </c>
      <c r="J115" s="11">
        <v>1</v>
      </c>
      <c r="K115" s="11">
        <f t="shared" si="13"/>
        <v>46.8</v>
      </c>
      <c r="L115" s="16">
        <f t="shared" si="12"/>
        <v>280.80000000000098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>
        <v>10</v>
      </c>
      <c r="W115" s="12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2:38" ht="25.05" customHeight="1">
      <c r="B116" s="13"/>
      <c r="C116" s="29"/>
      <c r="D116" s="30"/>
      <c r="E116" s="19" t="s">
        <v>1099</v>
      </c>
      <c r="F116" s="8" t="s">
        <v>42</v>
      </c>
      <c r="G116" s="9">
        <v>0.75208333333333333</v>
      </c>
      <c r="H116" s="9">
        <v>0.75902777777777775</v>
      </c>
      <c r="I116" s="10">
        <f t="shared" si="11"/>
        <v>6.9444444444444198E-3</v>
      </c>
      <c r="J116" s="11">
        <v>1</v>
      </c>
      <c r="K116" s="11">
        <f t="shared" si="13"/>
        <v>46.8</v>
      </c>
      <c r="L116" s="16">
        <f t="shared" si="12"/>
        <v>280.80000000000098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10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2:38" ht="25.05" customHeight="1">
      <c r="B117" s="13"/>
      <c r="C117" s="29"/>
      <c r="D117" s="30"/>
      <c r="E117" s="19" t="s">
        <v>1100</v>
      </c>
      <c r="F117" s="8" t="s">
        <v>42</v>
      </c>
      <c r="G117" s="9">
        <v>0.76180555555555551</v>
      </c>
      <c r="H117" s="9">
        <v>0.76875000000000004</v>
      </c>
      <c r="I117" s="10">
        <f t="shared" si="11"/>
        <v>6.9444444444445308E-3</v>
      </c>
      <c r="J117" s="11">
        <v>1</v>
      </c>
      <c r="K117" s="11">
        <f t="shared" si="13"/>
        <v>46.8</v>
      </c>
      <c r="L117" s="16">
        <f t="shared" si="12"/>
        <v>280.79999999999649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/>
      <c r="W117" s="12">
        <v>101</v>
      </c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2:38" ht="25.05" customHeight="1">
      <c r="B118" s="13"/>
      <c r="C118" s="29"/>
      <c r="D118" s="30"/>
      <c r="E118" s="19" t="s">
        <v>1101</v>
      </c>
      <c r="F118" s="8" t="s">
        <v>42</v>
      </c>
      <c r="G118" s="9">
        <v>0.76736111111111116</v>
      </c>
      <c r="H118" s="9">
        <v>0.77430555555555558</v>
      </c>
      <c r="I118" s="10">
        <f t="shared" si="11"/>
        <v>6.9444444444444198E-3</v>
      </c>
      <c r="J118" s="11">
        <v>1</v>
      </c>
      <c r="K118" s="11">
        <f t="shared" si="13"/>
        <v>46.8</v>
      </c>
      <c r="L118" s="16">
        <f t="shared" si="12"/>
        <v>280.80000000000098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>
        <v>10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2:38" ht="25.05" customHeight="1">
      <c r="B119" s="13"/>
      <c r="C119" s="29"/>
      <c r="D119" s="30"/>
      <c r="E119" s="19" t="s">
        <v>1102</v>
      </c>
      <c r="F119" s="8" t="s">
        <v>42</v>
      </c>
      <c r="G119" s="9">
        <v>0.76736111111111116</v>
      </c>
      <c r="H119" s="9">
        <v>0.77430555555555558</v>
      </c>
      <c r="I119" s="10">
        <f t="shared" si="11"/>
        <v>6.9444444444444198E-3</v>
      </c>
      <c r="J119" s="11">
        <v>1</v>
      </c>
      <c r="K119" s="11">
        <f t="shared" si="13"/>
        <v>46.8</v>
      </c>
      <c r="L119" s="16">
        <f t="shared" si="12"/>
        <v>280.80000000000098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>
        <v>10</v>
      </c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/>
      <c r="E120" s="19" t="s">
        <v>1103</v>
      </c>
      <c r="F120" s="8" t="s">
        <v>42</v>
      </c>
      <c r="G120" s="9">
        <v>0.75555555555555554</v>
      </c>
      <c r="H120" s="9">
        <v>0.76249999999999996</v>
      </c>
      <c r="I120" s="10">
        <f t="shared" si="11"/>
        <v>6.9444444444444198E-3</v>
      </c>
      <c r="J120" s="11">
        <v>1</v>
      </c>
      <c r="K120" s="11">
        <f t="shared" si="13"/>
        <v>46.8</v>
      </c>
      <c r="L120" s="16">
        <f t="shared" si="12"/>
        <v>280.80000000000098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>
        <v>10</v>
      </c>
      <c r="W120" s="12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 t="s">
        <v>1104</v>
      </c>
      <c r="F121" s="8" t="s">
        <v>42</v>
      </c>
      <c r="G121" s="9">
        <v>0.79722222222222228</v>
      </c>
      <c r="H121" s="9">
        <v>0.8041666666666667</v>
      </c>
      <c r="I121" s="10">
        <f t="shared" si="11"/>
        <v>6.9444444444444198E-3</v>
      </c>
      <c r="J121" s="11">
        <v>1</v>
      </c>
      <c r="K121" s="11">
        <v>50.22</v>
      </c>
      <c r="L121" s="16">
        <f t="shared" si="12"/>
        <v>301.32000000000107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>
        <v>10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30"/>
      <c r="E122" s="19"/>
      <c r="F122" s="19"/>
      <c r="G122" s="19"/>
      <c r="H122" s="19"/>
      <c r="I122" s="19"/>
      <c r="J122" s="19"/>
      <c r="K122" s="19"/>
      <c r="L122" s="19"/>
      <c r="M122" s="11"/>
      <c r="N122" s="11"/>
      <c r="O122" s="11"/>
      <c r="P122" s="11"/>
      <c r="Q122" s="11"/>
      <c r="R122" s="12"/>
      <c r="S122" s="12"/>
      <c r="T122" s="11"/>
      <c r="U122" s="11"/>
      <c r="V122" s="12"/>
      <c r="W122" s="12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 t="s">
        <v>2069</v>
      </c>
      <c r="E123" s="19" t="s">
        <v>2516</v>
      </c>
      <c r="F123" s="8" t="s">
        <v>42</v>
      </c>
      <c r="G123" s="9">
        <v>0.56597222222222221</v>
      </c>
      <c r="H123" s="9">
        <v>0.58263888888888893</v>
      </c>
      <c r="I123" s="10">
        <f t="shared" ref="I123:I124" si="14">H123-G123</f>
        <v>1.6666666666666718E-2</v>
      </c>
      <c r="J123" s="11">
        <v>2</v>
      </c>
      <c r="K123" s="11">
        <v>4.5199999999999996</v>
      </c>
      <c r="L123" s="16">
        <f t="shared" ref="L123:L124" si="15">IFERROR(((K123/(J123*I123)/24)),"0")</f>
        <v>5.6499999999999817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/>
      <c r="W123" s="12">
        <v>2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2:38" ht="25.05" customHeight="1">
      <c r="B124" s="13"/>
      <c r="C124" s="29"/>
      <c r="D124" s="30"/>
      <c r="E124" s="19" t="s">
        <v>2517</v>
      </c>
      <c r="F124" s="8" t="s">
        <v>42</v>
      </c>
      <c r="G124" s="9">
        <v>0.58333333333333337</v>
      </c>
      <c r="H124" s="9">
        <v>0.6166666666666667</v>
      </c>
      <c r="I124" s="10">
        <f t="shared" si="14"/>
        <v>3.3333333333333326E-2</v>
      </c>
      <c r="J124" s="11">
        <v>3</v>
      </c>
      <c r="K124" s="11">
        <v>16.62</v>
      </c>
      <c r="L124" s="16">
        <f t="shared" si="15"/>
        <v>6.9250000000000016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/>
      <c r="W124" s="12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/>
      <c r="E125" s="19" t="s">
        <v>2518</v>
      </c>
      <c r="F125" s="8" t="s">
        <v>42</v>
      </c>
      <c r="G125" s="9">
        <v>0.58750000000000002</v>
      </c>
      <c r="H125" s="9">
        <v>0.61805555555555558</v>
      </c>
      <c r="I125" s="10">
        <f t="shared" ref="I125:I132" si="16">H125-G125</f>
        <v>3.0555555555555558E-2</v>
      </c>
      <c r="J125" s="11">
        <v>3</v>
      </c>
      <c r="K125" s="11">
        <v>16.62</v>
      </c>
      <c r="L125" s="16">
        <f t="shared" ref="L125:L132" si="17">IFERROR(((K125/(J125*I125)/24)),"0")</f>
        <v>7.5545454545454547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76"/>
      <c r="F126" s="30"/>
      <c r="G126" s="30"/>
      <c r="H126" s="30"/>
      <c r="I126" s="30"/>
      <c r="J126" s="30"/>
      <c r="K126" s="30"/>
      <c r="L126" s="30"/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1" t="s">
        <v>1432</v>
      </c>
      <c r="E127" s="17" t="s">
        <v>1591</v>
      </c>
      <c r="F127" s="88" t="s">
        <v>42</v>
      </c>
      <c r="G127" s="9">
        <v>0.66666666666666663</v>
      </c>
      <c r="H127" s="9">
        <v>0.6958333333333333</v>
      </c>
      <c r="I127" s="10">
        <f t="shared" si="16"/>
        <v>2.9166666666666674E-2</v>
      </c>
      <c r="J127" s="11">
        <v>4</v>
      </c>
      <c r="K127" s="11">
        <v>93</v>
      </c>
      <c r="L127" s="16">
        <f t="shared" si="17"/>
        <v>33.214285714285708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>
        <v>3</v>
      </c>
      <c r="W127" s="12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1"/>
      <c r="E128" s="17" t="s">
        <v>1592</v>
      </c>
      <c r="F128" s="88" t="s">
        <v>42</v>
      </c>
      <c r="G128" s="9">
        <v>0.70208333333333328</v>
      </c>
      <c r="H128" s="9">
        <v>0.73888888888888893</v>
      </c>
      <c r="I128" s="10">
        <f t="shared" si="16"/>
        <v>3.6805555555555647E-2</v>
      </c>
      <c r="J128" s="11">
        <v>4</v>
      </c>
      <c r="K128" s="11">
        <v>93</v>
      </c>
      <c r="L128" s="16">
        <f t="shared" si="17"/>
        <v>26.320754716981067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/>
      <c r="W128" s="12">
        <v>3</v>
      </c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4"/>
    </row>
    <row r="129" spans="1:38" ht="25.05" customHeight="1">
      <c r="B129" s="13"/>
      <c r="C129" s="29"/>
      <c r="D129" s="31"/>
      <c r="E129" s="17" t="s">
        <v>1593</v>
      </c>
      <c r="F129" s="88" t="s">
        <v>42</v>
      </c>
      <c r="G129" s="9">
        <v>0.73958333333333337</v>
      </c>
      <c r="H129" s="9">
        <v>0.77083333333333337</v>
      </c>
      <c r="I129" s="10">
        <f t="shared" si="16"/>
        <v>3.125E-2</v>
      </c>
      <c r="J129" s="11">
        <v>4</v>
      </c>
      <c r="K129" s="11">
        <v>93</v>
      </c>
      <c r="L129" s="16">
        <f t="shared" si="17"/>
        <v>31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>
        <v>3</v>
      </c>
      <c r="W129" s="12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4"/>
    </row>
    <row r="130" spans="1:38" ht="25.05" customHeight="1">
      <c r="B130" s="13"/>
      <c r="C130" s="29"/>
      <c r="D130" s="65"/>
      <c r="E130" s="17" t="s">
        <v>1594</v>
      </c>
      <c r="F130" s="88" t="s">
        <v>42</v>
      </c>
      <c r="G130" s="9">
        <v>0.77222222222222225</v>
      </c>
      <c r="H130" s="9">
        <v>0.79861111111111116</v>
      </c>
      <c r="I130" s="10">
        <f t="shared" si="16"/>
        <v>2.6388888888888906E-2</v>
      </c>
      <c r="J130" s="11">
        <v>4</v>
      </c>
      <c r="K130" s="11">
        <v>103.2</v>
      </c>
      <c r="L130" s="16">
        <f t="shared" si="17"/>
        <v>40.736842105263129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/>
      <c r="W130" s="12">
        <v>3</v>
      </c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4"/>
    </row>
    <row r="131" spans="1:38" ht="25.05" customHeight="1">
      <c r="B131" s="13"/>
      <c r="C131" s="29"/>
      <c r="D131" s="30"/>
      <c r="E131" s="66"/>
      <c r="F131" s="8"/>
      <c r="G131" s="9"/>
      <c r="H131" s="9"/>
      <c r="I131" s="10">
        <f t="shared" si="16"/>
        <v>0</v>
      </c>
      <c r="J131" s="11"/>
      <c r="K131" s="11"/>
      <c r="L131" s="16" t="str">
        <f t="shared" si="17"/>
        <v>0</v>
      </c>
      <c r="M131" s="11"/>
      <c r="N131" s="11"/>
      <c r="O131" s="11"/>
      <c r="P131" s="11"/>
      <c r="Q131" s="11"/>
      <c r="R131" s="12"/>
      <c r="S131" s="12"/>
      <c r="T131" s="11"/>
      <c r="U131" s="11"/>
      <c r="V131" s="12"/>
      <c r="W131" s="12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spans="1:38" ht="25.05" customHeight="1">
      <c r="B132" s="13"/>
      <c r="C132" s="29"/>
      <c r="D132" s="30"/>
      <c r="E132" s="19"/>
      <c r="F132" s="8"/>
      <c r="G132" s="9"/>
      <c r="H132" s="9"/>
      <c r="I132" s="10">
        <f t="shared" si="16"/>
        <v>0</v>
      </c>
      <c r="J132" s="11"/>
      <c r="K132" s="11"/>
      <c r="L132" s="16" t="str">
        <f t="shared" si="17"/>
        <v>0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/>
      <c r="W132" s="12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spans="1:38" s="28" customFormat="1" ht="25.5" customHeight="1" thickBot="1">
      <c r="A133" s="2"/>
      <c r="B133" s="32"/>
      <c r="C133" s="33"/>
      <c r="D133" s="34"/>
      <c r="E133" s="35"/>
      <c r="F133" s="35"/>
      <c r="G133" s="36"/>
      <c r="H133" s="36"/>
      <c r="I133" s="37"/>
      <c r="J133" s="38"/>
      <c r="K133" s="38">
        <f t="shared" ref="K133:AL133" si="18">SUM(K29:K132)</f>
        <v>5451.4600000000028</v>
      </c>
      <c r="L133" s="39">
        <f t="shared" si="18"/>
        <v>19078.342071791041</v>
      </c>
      <c r="M133" s="38">
        <f t="shared" si="18"/>
        <v>0</v>
      </c>
      <c r="N133" s="38">
        <f t="shared" si="18"/>
        <v>0</v>
      </c>
      <c r="O133" s="38">
        <f t="shared" si="18"/>
        <v>0</v>
      </c>
      <c r="P133" s="38">
        <f t="shared" si="18"/>
        <v>0</v>
      </c>
      <c r="Q133" s="38">
        <f t="shared" si="18"/>
        <v>0</v>
      </c>
      <c r="R133" s="38">
        <f t="shared" si="18"/>
        <v>0</v>
      </c>
      <c r="S133" s="38">
        <f t="shared" si="18"/>
        <v>0</v>
      </c>
      <c r="T133" s="38">
        <f t="shared" si="18"/>
        <v>0</v>
      </c>
      <c r="U133" s="38">
        <f t="shared" si="18"/>
        <v>0</v>
      </c>
      <c r="V133" s="38">
        <f t="shared" si="18"/>
        <v>101</v>
      </c>
      <c r="W133" s="38">
        <f t="shared" si="18"/>
        <v>284</v>
      </c>
      <c r="X133" s="38">
        <f t="shared" si="18"/>
        <v>360</v>
      </c>
      <c r="Y133" s="38">
        <f t="shared" si="18"/>
        <v>315</v>
      </c>
      <c r="Z133" s="38">
        <f t="shared" si="18"/>
        <v>495</v>
      </c>
      <c r="AA133" s="38">
        <f t="shared" si="18"/>
        <v>450</v>
      </c>
      <c r="AB133" s="38">
        <f t="shared" si="18"/>
        <v>12</v>
      </c>
      <c r="AC133" s="38">
        <f t="shared" si="18"/>
        <v>100</v>
      </c>
      <c r="AD133" s="38">
        <f t="shared" si="18"/>
        <v>89</v>
      </c>
      <c r="AE133" s="38">
        <f t="shared" si="18"/>
        <v>0</v>
      </c>
      <c r="AF133" s="38">
        <f t="shared" si="18"/>
        <v>0</v>
      </c>
      <c r="AG133" s="38">
        <f t="shared" si="18"/>
        <v>48.75</v>
      </c>
      <c r="AH133" s="38">
        <f t="shared" si="18"/>
        <v>48.75</v>
      </c>
      <c r="AI133" s="38">
        <f t="shared" si="18"/>
        <v>48.75</v>
      </c>
      <c r="AJ133" s="38">
        <f t="shared" si="18"/>
        <v>48.75</v>
      </c>
      <c r="AK133" s="38">
        <f t="shared" si="18"/>
        <v>0</v>
      </c>
      <c r="AL133" s="38">
        <f t="shared" si="18"/>
        <v>0</v>
      </c>
    </row>
    <row r="134" spans="1:38" ht="38.1" customHeight="1" thickBot="1">
      <c r="B134" s="40" t="s">
        <v>45</v>
      </c>
      <c r="C134" s="41"/>
      <c r="D134" s="41"/>
      <c r="E134" s="41"/>
      <c r="F134" s="41"/>
      <c r="G134" s="41"/>
      <c r="H134" s="41"/>
      <c r="I134" s="41"/>
      <c r="J134" s="41"/>
      <c r="K134" s="42">
        <f>K21+K28+K133</f>
        <v>9895.9600000000028</v>
      </c>
      <c r="L134" s="42">
        <f>L21+L28+L133</f>
        <v>20063.709173455529</v>
      </c>
      <c r="M134" s="43">
        <f t="shared" ref="M134:AL134" si="19">(M21+M28+M133)/(480-15-30)</f>
        <v>8.0459770114942528E-2</v>
      </c>
      <c r="N134" s="43">
        <f t="shared" si="19"/>
        <v>0</v>
      </c>
      <c r="O134" s="43">
        <f t="shared" si="19"/>
        <v>0</v>
      </c>
      <c r="P134" s="43">
        <f t="shared" si="19"/>
        <v>0</v>
      </c>
      <c r="Q134" s="43">
        <f t="shared" si="19"/>
        <v>0</v>
      </c>
      <c r="R134" s="43">
        <f t="shared" si="19"/>
        <v>0</v>
      </c>
      <c r="S134" s="43">
        <f t="shared" si="19"/>
        <v>2.3977011494252873</v>
      </c>
      <c r="T134" s="43">
        <f t="shared" si="19"/>
        <v>0.16091954022988506</v>
      </c>
      <c r="U134" s="43">
        <f t="shared" si="19"/>
        <v>0</v>
      </c>
      <c r="V134" s="43">
        <f t="shared" si="19"/>
        <v>0.23218390804597702</v>
      </c>
      <c r="W134" s="43">
        <f t="shared" si="19"/>
        <v>0.65287356321839085</v>
      </c>
      <c r="X134" s="43">
        <f t="shared" si="19"/>
        <v>0.82758620689655171</v>
      </c>
      <c r="Y134" s="43">
        <f t="shared" si="19"/>
        <v>0.72413793103448276</v>
      </c>
      <c r="Z134" s="43">
        <f t="shared" si="19"/>
        <v>1.1379310344827587</v>
      </c>
      <c r="AA134" s="43">
        <f t="shared" si="19"/>
        <v>1.0344827586206897</v>
      </c>
      <c r="AB134" s="43">
        <f t="shared" si="19"/>
        <v>2.7586206896551724E-2</v>
      </c>
      <c r="AC134" s="43">
        <f t="shared" si="19"/>
        <v>0.22988505747126436</v>
      </c>
      <c r="AD134" s="43">
        <f t="shared" si="19"/>
        <v>0.2045977011494253</v>
      </c>
      <c r="AE134" s="43">
        <f t="shared" si="19"/>
        <v>0</v>
      </c>
      <c r="AF134" s="43">
        <f t="shared" si="19"/>
        <v>0</v>
      </c>
      <c r="AG134" s="43">
        <f t="shared" si="19"/>
        <v>0.11206896551724138</v>
      </c>
      <c r="AH134" s="43">
        <f t="shared" si="19"/>
        <v>0.11206896551724138</v>
      </c>
      <c r="AI134" s="43">
        <f t="shared" si="19"/>
        <v>0.11206896551724138</v>
      </c>
      <c r="AJ134" s="43">
        <f t="shared" si="19"/>
        <v>0.11206896551724138</v>
      </c>
      <c r="AK134" s="43">
        <f t="shared" si="19"/>
        <v>0</v>
      </c>
      <c r="AL134" s="43">
        <f t="shared" si="19"/>
        <v>0</v>
      </c>
    </row>
    <row r="135" spans="1:38" ht="25.05" customHeight="1">
      <c r="B135" s="44"/>
      <c r="C135" s="44"/>
      <c r="D135" s="44"/>
      <c r="E135" s="45"/>
      <c r="F135" s="45"/>
      <c r="G135" s="45"/>
      <c r="H135" s="45"/>
      <c r="I135" s="46"/>
      <c r="J135" s="46"/>
      <c r="K135" s="45"/>
      <c r="L135" s="47"/>
      <c r="M135" s="47"/>
      <c r="N135" s="47"/>
      <c r="O135" s="47"/>
      <c r="P135" s="47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  <c r="AI135" s="45"/>
      <c r="AJ135" s="45"/>
    </row>
    <row r="136" spans="1:38" ht="25.05" customHeight="1">
      <c r="B136" s="44"/>
      <c r="C136" s="44"/>
      <c r="D136" s="44"/>
      <c r="E136" s="45"/>
      <c r="F136" s="45"/>
      <c r="G136" s="45"/>
      <c r="H136" s="45"/>
      <c r="I136" s="48" t="s">
        <v>46</v>
      </c>
      <c r="J136" s="46"/>
      <c r="K136" s="45"/>
      <c r="L136" s="47"/>
      <c r="M136" s="47"/>
      <c r="N136" s="47"/>
      <c r="O136" s="47"/>
      <c r="P136" s="47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  <c r="AI136" s="45"/>
      <c r="AJ136" s="45"/>
    </row>
    <row r="137" spans="1:38" ht="25.05" customHeight="1">
      <c r="B137" s="44"/>
      <c r="C137" s="44"/>
      <c r="D137" s="44"/>
      <c r="E137" s="45"/>
      <c r="F137" s="45"/>
      <c r="G137" s="45"/>
      <c r="H137" s="45"/>
      <c r="I137" s="49" t="s">
        <v>47</v>
      </c>
      <c r="J137" s="9">
        <v>0</v>
      </c>
      <c r="K137" s="11">
        <v>12</v>
      </c>
      <c r="L137" s="11" t="s">
        <v>48</v>
      </c>
      <c r="M137" s="47"/>
      <c r="N137" s="14">
        <v>2</v>
      </c>
      <c r="O137" s="14"/>
      <c r="P137" s="14"/>
      <c r="Q137" s="50" t="s">
        <v>49</v>
      </c>
      <c r="R137" s="51"/>
      <c r="S137" s="45"/>
      <c r="T137" s="45"/>
      <c r="U137" s="45"/>
      <c r="V137" s="45"/>
      <c r="W137" s="45"/>
      <c r="X137" s="45"/>
      <c r="Y137" s="45"/>
      <c r="Z137" s="45"/>
      <c r="AA137" s="45"/>
      <c r="AC137" s="45"/>
      <c r="AD137" s="45"/>
      <c r="AE137" s="45"/>
      <c r="AF137" s="45"/>
      <c r="AG137" s="45"/>
      <c r="AH137" s="45"/>
    </row>
    <row r="138" spans="1:38" ht="25.05" customHeight="1">
      <c r="B138" s="44"/>
      <c r="C138" s="44"/>
      <c r="D138" s="44"/>
      <c r="E138" s="45"/>
      <c r="F138" s="45"/>
      <c r="G138" s="45"/>
      <c r="H138" s="45"/>
      <c r="I138" s="49" t="s">
        <v>50</v>
      </c>
      <c r="J138" s="9">
        <v>0</v>
      </c>
      <c r="K138" s="11">
        <v>3</v>
      </c>
      <c r="L138" s="11" t="s">
        <v>48</v>
      </c>
      <c r="M138" s="47"/>
      <c r="N138" s="14">
        <v>4</v>
      </c>
      <c r="O138" s="14"/>
      <c r="P138" s="14"/>
      <c r="Q138" s="50" t="s">
        <v>51</v>
      </c>
      <c r="R138" s="51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  <c r="AE138" s="45"/>
      <c r="AF138" s="45"/>
      <c r="AG138" s="45"/>
      <c r="AH138" s="45"/>
    </row>
    <row r="139" spans="1:38" ht="25.05" customHeight="1">
      <c r="B139" s="44"/>
      <c r="C139" s="44"/>
      <c r="D139" s="44"/>
      <c r="E139" s="45"/>
      <c r="F139" s="45"/>
      <c r="G139" s="45"/>
      <c r="H139" s="45"/>
      <c r="I139" s="49" t="s">
        <v>52</v>
      </c>
      <c r="J139" s="9">
        <v>0</v>
      </c>
      <c r="K139" s="11">
        <v>17</v>
      </c>
      <c r="L139" s="11" t="s">
        <v>48</v>
      </c>
      <c r="M139" s="47"/>
      <c r="N139" s="14">
        <v>1</v>
      </c>
      <c r="O139" s="14"/>
      <c r="P139" s="14"/>
      <c r="Q139" s="50" t="s">
        <v>53</v>
      </c>
      <c r="R139" s="51"/>
      <c r="S139" s="45"/>
      <c r="T139" s="45"/>
      <c r="U139" s="45"/>
      <c r="V139" s="45"/>
      <c r="W139" s="45"/>
      <c r="X139" s="45"/>
      <c r="Y139" s="45"/>
      <c r="Z139" s="45"/>
      <c r="AA139" s="45"/>
      <c r="AB139" s="45"/>
      <c r="AC139" s="45"/>
      <c r="AD139" s="45"/>
      <c r="AE139" s="45"/>
      <c r="AF139" s="45"/>
      <c r="AG139" s="45"/>
      <c r="AH139" s="45"/>
    </row>
    <row r="140" spans="1:38" ht="25.05" customHeight="1">
      <c r="B140" s="44"/>
      <c r="C140" s="44"/>
      <c r="D140" s="44"/>
      <c r="E140" s="45"/>
      <c r="F140" s="45"/>
      <c r="G140" s="45"/>
      <c r="H140" s="45"/>
      <c r="I140" s="52" t="s">
        <v>54</v>
      </c>
      <c r="J140" s="53">
        <v>0</v>
      </c>
      <c r="K140" s="11">
        <v>6</v>
      </c>
      <c r="L140" s="54" t="s">
        <v>48</v>
      </c>
      <c r="M140" s="47"/>
      <c r="N140" s="14">
        <v>3</v>
      </c>
      <c r="O140" s="14"/>
      <c r="P140" s="14"/>
      <c r="Q140" s="50" t="s">
        <v>55</v>
      </c>
      <c r="R140" s="51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</row>
    <row r="141" spans="1:38" ht="25.05" customHeight="1">
      <c r="B141" s="44"/>
      <c r="C141" s="44"/>
      <c r="D141" s="44"/>
      <c r="E141" s="45"/>
      <c r="F141" s="45"/>
      <c r="G141" s="45"/>
      <c r="H141" s="45"/>
      <c r="I141" s="49" t="s">
        <v>56</v>
      </c>
      <c r="J141" s="9">
        <v>0</v>
      </c>
      <c r="K141" s="11">
        <v>38</v>
      </c>
      <c r="L141" s="11" t="s">
        <v>48</v>
      </c>
      <c r="M141" s="47"/>
      <c r="N141"/>
      <c r="O141"/>
      <c r="P141"/>
      <c r="Q141"/>
      <c r="S141" s="45"/>
      <c r="T141" s="45"/>
      <c r="U141" s="45"/>
      <c r="V141" s="45"/>
      <c r="W141" s="45"/>
      <c r="X141" s="45"/>
      <c r="Y141" s="45"/>
      <c r="Z141" s="45"/>
      <c r="AA141" s="45"/>
      <c r="AB141" s="45"/>
      <c r="AC141" s="45"/>
      <c r="AD141" s="45"/>
      <c r="AE141" s="45"/>
      <c r="AF141" s="45"/>
      <c r="AG141" s="45"/>
      <c r="AH141" s="45"/>
    </row>
    <row r="142" spans="1:38" ht="25.05" customHeight="1">
      <c r="B142" s="44"/>
      <c r="C142" s="44"/>
      <c r="D142" s="44"/>
      <c r="E142" s="45"/>
      <c r="F142" s="45"/>
      <c r="G142" s="45"/>
      <c r="H142" s="45"/>
      <c r="M142" s="47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  <c r="AA142" s="45"/>
      <c r="AB142" s="45"/>
      <c r="AC142" s="45"/>
      <c r="AD142" s="45"/>
      <c r="AE142" s="45"/>
      <c r="AF142" s="45"/>
      <c r="AG142" s="45"/>
      <c r="AH142" s="45"/>
    </row>
    <row r="143" spans="1:38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5136-CAA4-4028-BED0-F7B8E8F53794}">
  <sheetPr>
    <pageSetUpPr fitToPage="1"/>
  </sheetPr>
  <dimension ref="A1:AL110"/>
  <sheetViews>
    <sheetView zoomScale="85" zoomScaleNormal="85" workbookViewId="0">
      <pane xSplit="12" ySplit="3" topLeftCell="AL10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46086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0.8125</v>
      </c>
      <c r="I4" s="10">
        <f t="shared" ref="I4:I24" si="0">H4-G4</f>
        <v>2.083333333333337E-2</v>
      </c>
      <c r="J4" s="11">
        <v>7</v>
      </c>
      <c r="K4" s="11">
        <v>0</v>
      </c>
      <c r="L4" s="16">
        <f t="shared" ref="L4:L24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2464</v>
      </c>
      <c r="E5" s="15" t="s">
        <v>2519</v>
      </c>
      <c r="F5" s="55" t="s">
        <v>232</v>
      </c>
      <c r="G5" s="9">
        <v>0.81319444444444444</v>
      </c>
      <c r="H5" s="9">
        <v>0.81944444444444442</v>
      </c>
      <c r="I5" s="10">
        <f t="shared" si="0"/>
        <v>6.2499999999999778E-3</v>
      </c>
      <c r="J5" s="11">
        <v>2</v>
      </c>
      <c r="K5" s="11">
        <f>5.27*12</f>
        <v>63.239999999999995</v>
      </c>
      <c r="L5" s="16">
        <f t="shared" si="1"/>
        <v>210.80000000000075</v>
      </c>
      <c r="M5" s="11">
        <v>9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2520</v>
      </c>
      <c r="F6" s="8" t="s">
        <v>42</v>
      </c>
      <c r="G6" s="9">
        <v>0.81319444444444444</v>
      </c>
      <c r="H6" s="9">
        <v>0.82291666666666663</v>
      </c>
      <c r="I6" s="10">
        <f t="shared" si="0"/>
        <v>9.7222222222221877E-3</v>
      </c>
      <c r="J6" s="11">
        <v>2</v>
      </c>
      <c r="K6" s="11">
        <v>18</v>
      </c>
      <c r="L6" s="16">
        <f t="shared" si="1"/>
        <v>38.571428571428704</v>
      </c>
      <c r="M6" s="11"/>
      <c r="N6" s="11"/>
      <c r="O6" s="11"/>
      <c r="P6" s="11"/>
      <c r="Q6" s="11"/>
      <c r="R6" s="12"/>
      <c r="S6" s="12">
        <v>14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2521</v>
      </c>
      <c r="F7" s="55" t="s">
        <v>232</v>
      </c>
      <c r="G7" s="9">
        <v>0.82361111111111107</v>
      </c>
      <c r="H7" s="9">
        <v>0.83333333333333337</v>
      </c>
      <c r="I7" s="10">
        <f t="shared" si="0"/>
        <v>9.7222222222222987E-3</v>
      </c>
      <c r="J7" s="11">
        <v>2</v>
      </c>
      <c r="K7" s="11">
        <f>1.5*12</f>
        <v>18</v>
      </c>
      <c r="L7" s="16">
        <f t="shared" si="1"/>
        <v>38.571428571428264</v>
      </c>
      <c r="M7" s="11">
        <v>14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2522</v>
      </c>
      <c r="F8" s="55" t="s">
        <v>61</v>
      </c>
      <c r="G8" s="9">
        <v>0.83402777777777781</v>
      </c>
      <c r="H8" s="9">
        <v>0.85069444444444442</v>
      </c>
      <c r="I8" s="10">
        <f t="shared" si="0"/>
        <v>1.6666666666666607E-2</v>
      </c>
      <c r="J8" s="11">
        <v>2</v>
      </c>
      <c r="K8" s="11">
        <f>11*12</f>
        <v>132</v>
      </c>
      <c r="L8" s="16">
        <f t="shared" si="1"/>
        <v>165.0000000000006</v>
      </c>
      <c r="M8" s="11">
        <v>24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2523</v>
      </c>
      <c r="F9" s="55" t="s">
        <v>213</v>
      </c>
      <c r="G9" s="9">
        <v>0.11527777777777778</v>
      </c>
      <c r="H9" s="9">
        <v>0.15277777777777779</v>
      </c>
      <c r="I9" s="10">
        <f t="shared" si="0"/>
        <v>3.7500000000000006E-2</v>
      </c>
      <c r="J9" s="11">
        <v>8</v>
      </c>
      <c r="K9" s="11">
        <f>68*2</f>
        <v>136</v>
      </c>
      <c r="L9" s="16">
        <f t="shared" si="1"/>
        <v>18.888888888888886</v>
      </c>
      <c r="M9" s="11"/>
      <c r="N9" s="11"/>
      <c r="O9" s="11">
        <v>27</v>
      </c>
      <c r="P9" s="11"/>
      <c r="Q9" s="11"/>
      <c r="R9" s="12"/>
      <c r="S9" s="12">
        <v>27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/>
      <c r="F10" s="55"/>
      <c r="G10" s="9"/>
      <c r="H10" s="9"/>
      <c r="I10" s="10">
        <f t="shared" si="0"/>
        <v>0</v>
      </c>
      <c r="J10" s="11"/>
      <c r="K10" s="11"/>
      <c r="L10" s="16" t="str">
        <f t="shared" si="1"/>
        <v>0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 t="s">
        <v>2360</v>
      </c>
      <c r="E11" s="15" t="s">
        <v>2413</v>
      </c>
      <c r="F11" s="8" t="s">
        <v>42</v>
      </c>
      <c r="G11" s="9">
        <v>0.82361111111111107</v>
      </c>
      <c r="H11" s="9">
        <v>0.84027777777777779</v>
      </c>
      <c r="I11" s="10">
        <f t="shared" si="0"/>
        <v>1.6666666666666718E-2</v>
      </c>
      <c r="J11" s="11">
        <v>1</v>
      </c>
      <c r="K11" s="11">
        <v>5.0999999999999996</v>
      </c>
      <c r="L11" s="16">
        <f t="shared" si="1"/>
        <v>12.749999999999959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2524</v>
      </c>
      <c r="F12" s="55" t="s">
        <v>221</v>
      </c>
      <c r="G12" s="9">
        <v>0.91319444444444442</v>
      </c>
      <c r="H12" s="9">
        <v>0.92361111111111116</v>
      </c>
      <c r="I12" s="10">
        <f t="shared" si="0"/>
        <v>1.0416666666666741E-2</v>
      </c>
      <c r="J12" s="11">
        <v>1</v>
      </c>
      <c r="K12" s="11">
        <v>5.0999999999999996</v>
      </c>
      <c r="L12" s="16">
        <f t="shared" si="1"/>
        <v>20.399999999999853</v>
      </c>
      <c r="M12" s="11">
        <v>15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2525</v>
      </c>
      <c r="F13" s="55" t="s">
        <v>63</v>
      </c>
      <c r="G13" s="9">
        <v>0.85763888888888884</v>
      </c>
      <c r="H13" s="9">
        <v>0.94791666666666663</v>
      </c>
      <c r="I13" s="10">
        <f t="shared" si="0"/>
        <v>9.027777777777779E-2</v>
      </c>
      <c r="J13" s="11">
        <v>1</v>
      </c>
      <c r="K13" s="11">
        <f>13*8.5</f>
        <v>110.5</v>
      </c>
      <c r="L13" s="16">
        <f t="shared" si="1"/>
        <v>50.999999999999993</v>
      </c>
      <c r="M13" s="11"/>
      <c r="N13" s="11"/>
      <c r="O13" s="11"/>
      <c r="P13" s="11"/>
      <c r="Q13" s="11"/>
      <c r="R13" s="12">
        <v>130</v>
      </c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2526</v>
      </c>
      <c r="F14" s="55" t="s">
        <v>63</v>
      </c>
      <c r="G14" s="9">
        <v>0.81319444444444444</v>
      </c>
      <c r="H14" s="9">
        <v>0.98958333333333337</v>
      </c>
      <c r="I14" s="10">
        <f t="shared" si="0"/>
        <v>0.17638888888888893</v>
      </c>
      <c r="J14" s="11">
        <v>8</v>
      </c>
      <c r="K14" s="11">
        <f>50*5.5</f>
        <v>275</v>
      </c>
      <c r="L14" s="16">
        <f t="shared" si="1"/>
        <v>8.1200787401574797</v>
      </c>
      <c r="M14" s="11"/>
      <c r="N14" s="11"/>
      <c r="O14" s="11"/>
      <c r="P14" s="11"/>
      <c r="Q14" s="11"/>
      <c r="R14" s="12"/>
      <c r="S14" s="12">
        <v>254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 t="s">
        <v>2527</v>
      </c>
      <c r="F15" s="55" t="s">
        <v>63</v>
      </c>
      <c r="G15" s="9">
        <v>4.1666666666666664E-2</v>
      </c>
      <c r="H15" s="9">
        <v>0.11458333333333333</v>
      </c>
      <c r="I15" s="10">
        <f t="shared" si="0"/>
        <v>7.2916666666666657E-2</v>
      </c>
      <c r="J15" s="11">
        <v>8</v>
      </c>
      <c r="K15" s="11">
        <f>50*3</f>
        <v>150</v>
      </c>
      <c r="L15" s="16">
        <f t="shared" si="1"/>
        <v>10.714285714285715</v>
      </c>
      <c r="M15" s="11"/>
      <c r="N15" s="11"/>
      <c r="O15" s="11"/>
      <c r="P15" s="11"/>
      <c r="Q15" s="11"/>
      <c r="R15" s="12"/>
      <c r="S15" s="12">
        <v>105</v>
      </c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/>
      <c r="F16" s="55"/>
      <c r="G16" s="9"/>
      <c r="H16" s="9"/>
      <c r="I16" s="10">
        <f t="shared" si="0"/>
        <v>0</v>
      </c>
      <c r="J16" s="11"/>
      <c r="K16" s="11"/>
      <c r="L16" s="16" t="str">
        <f t="shared" si="1"/>
        <v>0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5" customHeight="1">
      <c r="B17" s="13"/>
      <c r="C17" s="14"/>
      <c r="D17" s="6" t="s">
        <v>1432</v>
      </c>
      <c r="E17" s="15" t="s">
        <v>2339</v>
      </c>
      <c r="F17" s="55" t="s">
        <v>232</v>
      </c>
      <c r="G17" s="9">
        <v>0.82013888888888886</v>
      </c>
      <c r="H17" s="9">
        <v>0.82291666666666663</v>
      </c>
      <c r="I17" s="10">
        <f t="shared" si="0"/>
        <v>2.7777777777777679E-3</v>
      </c>
      <c r="J17" s="11">
        <v>2</v>
      </c>
      <c r="K17" s="11">
        <v>0.8</v>
      </c>
      <c r="L17" s="16">
        <f t="shared" si="1"/>
        <v>6.0000000000000213</v>
      </c>
      <c r="M17" s="11">
        <v>4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15" t="s">
        <v>2340</v>
      </c>
      <c r="F18" s="55" t="s">
        <v>234</v>
      </c>
      <c r="G18" s="9">
        <v>0.85763888888888884</v>
      </c>
      <c r="H18" s="9">
        <v>0.86458333333333337</v>
      </c>
      <c r="I18" s="10">
        <f t="shared" si="0"/>
        <v>6.9444444444445308E-3</v>
      </c>
      <c r="J18" s="11">
        <v>1</v>
      </c>
      <c r="K18" s="11">
        <v>4</v>
      </c>
      <c r="L18" s="16">
        <f t="shared" si="1"/>
        <v>23.999999999999702</v>
      </c>
      <c r="M18" s="11">
        <v>10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6"/>
      <c r="E19" s="15" t="s">
        <v>2341</v>
      </c>
      <c r="F19" s="8" t="s">
        <v>42</v>
      </c>
      <c r="G19" s="9">
        <v>0.82361111111111107</v>
      </c>
      <c r="H19" s="9">
        <v>0.82986111111111116</v>
      </c>
      <c r="I19" s="10">
        <f t="shared" si="0"/>
        <v>6.2500000000000888E-3</v>
      </c>
      <c r="J19" s="11">
        <v>1</v>
      </c>
      <c r="K19" s="11">
        <f>4.03*6</f>
        <v>24.18</v>
      </c>
      <c r="L19" s="16">
        <f t="shared" si="1"/>
        <v>161.19999999999771</v>
      </c>
      <c r="M19" s="11"/>
      <c r="N19" s="11"/>
      <c r="O19" s="11"/>
      <c r="P19" s="11"/>
      <c r="Q19" s="11">
        <v>9</v>
      </c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2342</v>
      </c>
      <c r="F20" s="57">
        <v>0.5</v>
      </c>
      <c r="G20" s="9">
        <v>0.86527777777777781</v>
      </c>
      <c r="H20" s="9">
        <v>0.875</v>
      </c>
      <c r="I20" s="10">
        <f t="shared" si="0"/>
        <v>9.7222222222221877E-3</v>
      </c>
      <c r="J20" s="11">
        <v>1</v>
      </c>
      <c r="K20" s="11">
        <f>5.33*4</f>
        <v>21.32</v>
      </c>
      <c r="L20" s="16">
        <f t="shared" si="1"/>
        <v>91.371428571428893</v>
      </c>
      <c r="M20" s="11">
        <v>14</v>
      </c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2343</v>
      </c>
      <c r="F21" s="55" t="s">
        <v>237</v>
      </c>
      <c r="G21" s="9">
        <v>0.84097222222222223</v>
      </c>
      <c r="H21" s="9">
        <v>0.84722222222222221</v>
      </c>
      <c r="I21" s="10">
        <f t="shared" si="0"/>
        <v>6.2499999999999778E-3</v>
      </c>
      <c r="J21" s="11">
        <v>1</v>
      </c>
      <c r="K21" s="11">
        <f>0.08</f>
        <v>0.08</v>
      </c>
      <c r="L21" s="16">
        <f t="shared" si="1"/>
        <v>0.53333333333333521</v>
      </c>
      <c r="M21" s="11"/>
      <c r="N21" s="11"/>
      <c r="O21" s="11"/>
      <c r="P21" s="11"/>
      <c r="Q21" s="11"/>
      <c r="R21" s="12"/>
      <c r="S21" s="12">
        <v>9</v>
      </c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 t="s">
        <v>1760</v>
      </c>
      <c r="E22" s="15" t="s">
        <v>624</v>
      </c>
      <c r="F22" s="8" t="s">
        <v>42</v>
      </c>
      <c r="G22" s="9">
        <v>0.84791666666666665</v>
      </c>
      <c r="H22" s="9">
        <v>0.88194444444444442</v>
      </c>
      <c r="I22" s="10">
        <f t="shared" si="0"/>
        <v>3.4027777777777768E-2</v>
      </c>
      <c r="J22" s="11">
        <v>1</v>
      </c>
      <c r="K22" s="11">
        <v>2</v>
      </c>
      <c r="L22" s="16">
        <f t="shared" si="1"/>
        <v>2.4489795918367352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 t="s">
        <v>2344</v>
      </c>
      <c r="F23" s="55" t="s">
        <v>239</v>
      </c>
      <c r="G23" s="9">
        <v>0.89236111111111116</v>
      </c>
      <c r="H23" s="9">
        <v>0.89583333333333337</v>
      </c>
      <c r="I23" s="10">
        <f t="shared" si="0"/>
        <v>3.4722222222222099E-3</v>
      </c>
      <c r="J23" s="11">
        <v>1</v>
      </c>
      <c r="K23" s="11">
        <f>0.53*3</f>
        <v>1.59</v>
      </c>
      <c r="L23" s="16">
        <f t="shared" si="1"/>
        <v>19.080000000000069</v>
      </c>
      <c r="M23" s="11">
        <v>5</v>
      </c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/>
      <c r="F24" s="55"/>
      <c r="G24" s="9"/>
      <c r="H24" s="9"/>
      <c r="I24" s="10">
        <f t="shared" si="0"/>
        <v>0</v>
      </c>
      <c r="J24" s="11"/>
      <c r="K24" s="11"/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s="28" customFormat="1" ht="25.05" customHeight="1">
      <c r="A25" s="2"/>
      <c r="B25" s="21"/>
      <c r="C25" s="22"/>
      <c r="D25" s="23"/>
      <c r="E25" s="24"/>
      <c r="F25" s="24"/>
      <c r="G25" s="25"/>
      <c r="H25" s="25"/>
      <c r="I25" s="26"/>
      <c r="J25" s="27"/>
      <c r="K25" s="27">
        <f t="shared" ref="K25:AI25" si="2">SUM(K4:K24)</f>
        <v>966.91000000000008</v>
      </c>
      <c r="L25" s="39">
        <f t="shared" si="2"/>
        <v>879.44985198278641</v>
      </c>
      <c r="M25" s="27">
        <f t="shared" si="2"/>
        <v>95</v>
      </c>
      <c r="N25" s="27">
        <f t="shared" si="2"/>
        <v>0</v>
      </c>
      <c r="O25" s="27">
        <f t="shared" si="2"/>
        <v>27</v>
      </c>
      <c r="P25" s="27">
        <f t="shared" si="2"/>
        <v>0</v>
      </c>
      <c r="Q25" s="27">
        <f t="shared" si="2"/>
        <v>9</v>
      </c>
      <c r="R25" s="27">
        <f t="shared" si="2"/>
        <v>130</v>
      </c>
      <c r="S25" s="27">
        <f t="shared" si="2"/>
        <v>409</v>
      </c>
      <c r="T25" s="27">
        <f t="shared" si="2"/>
        <v>0</v>
      </c>
      <c r="U25" s="27">
        <f t="shared" si="2"/>
        <v>0</v>
      </c>
      <c r="V25" s="27">
        <f t="shared" si="2"/>
        <v>0</v>
      </c>
      <c r="W25" s="27">
        <f t="shared" si="2"/>
        <v>0</v>
      </c>
      <c r="X25" s="27">
        <f t="shared" si="2"/>
        <v>0</v>
      </c>
      <c r="Y25" s="27">
        <f t="shared" si="2"/>
        <v>0</v>
      </c>
      <c r="Z25" s="27">
        <f t="shared" si="2"/>
        <v>0</v>
      </c>
      <c r="AA25" s="27">
        <f t="shared" si="2"/>
        <v>0</v>
      </c>
      <c r="AB25" s="27">
        <f t="shared" si="2"/>
        <v>0</v>
      </c>
      <c r="AC25" s="27">
        <f t="shared" si="2"/>
        <v>0</v>
      </c>
      <c r="AD25" s="27">
        <f t="shared" si="2"/>
        <v>0</v>
      </c>
      <c r="AE25" s="27">
        <f t="shared" si="2"/>
        <v>0</v>
      </c>
      <c r="AF25" s="27">
        <f t="shared" si="2"/>
        <v>0</v>
      </c>
      <c r="AG25" s="27">
        <f t="shared" si="2"/>
        <v>0</v>
      </c>
      <c r="AH25" s="27">
        <f t="shared" si="2"/>
        <v>0</v>
      </c>
      <c r="AI25" s="27">
        <f t="shared" si="2"/>
        <v>0</v>
      </c>
      <c r="AJ25" s="27">
        <f>SUM(AJ4:AJ24)</f>
        <v>0</v>
      </c>
      <c r="AK25" s="27">
        <f>SUM(AK4:AK24)</f>
        <v>0</v>
      </c>
      <c r="AL25" s="27">
        <f>SUM(AL4:AL24)</f>
        <v>0</v>
      </c>
    </row>
    <row r="26" spans="1:38" ht="25.05" customHeight="1">
      <c r="B26" s="13"/>
      <c r="C26" s="14" t="s">
        <v>43</v>
      </c>
      <c r="D26" s="6"/>
      <c r="E26" s="7" t="s">
        <v>41</v>
      </c>
      <c r="F26" s="8" t="s">
        <v>42</v>
      </c>
      <c r="G26" s="9"/>
      <c r="H26" s="9"/>
      <c r="I26" s="10">
        <f>H26-G26</f>
        <v>0</v>
      </c>
      <c r="J26" s="11"/>
      <c r="K26" s="11"/>
      <c r="L26" s="16" t="str">
        <f>IFERROR(((K26/(J26*I26)/24)),"0")</f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18"/>
      <c r="E27" s="6"/>
      <c r="F27" s="14"/>
      <c r="G27" s="9"/>
      <c r="H27" s="9"/>
      <c r="I27" s="10"/>
      <c r="J27" s="11"/>
      <c r="K27" s="11"/>
      <c r="L27" s="16"/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s="28" customFormat="1" ht="25.05" customHeight="1">
      <c r="A28" s="2"/>
      <c r="B28" s="21"/>
      <c r="C28" s="22"/>
      <c r="D28" s="23"/>
      <c r="E28" s="24"/>
      <c r="F28" s="22"/>
      <c r="G28" s="25"/>
      <c r="H28" s="25"/>
      <c r="I28" s="26"/>
      <c r="J28" s="27"/>
      <c r="K28" s="27">
        <f t="shared" ref="K28:AI28" si="3">SUM(K26:K27)</f>
        <v>0</v>
      </c>
      <c r="L28" s="27">
        <f t="shared" si="3"/>
        <v>0</v>
      </c>
      <c r="M28" s="27">
        <f t="shared" si="3"/>
        <v>0</v>
      </c>
      <c r="N28" s="27">
        <f t="shared" si="3"/>
        <v>0</v>
      </c>
      <c r="O28" s="27">
        <f t="shared" si="3"/>
        <v>0</v>
      </c>
      <c r="P28" s="27">
        <f t="shared" si="3"/>
        <v>0</v>
      </c>
      <c r="Q28" s="27">
        <f t="shared" si="3"/>
        <v>0</v>
      </c>
      <c r="R28" s="27">
        <f t="shared" si="3"/>
        <v>0</v>
      </c>
      <c r="S28" s="27">
        <f t="shared" si="3"/>
        <v>0</v>
      </c>
      <c r="T28" s="27">
        <f t="shared" si="3"/>
        <v>0</v>
      </c>
      <c r="U28" s="27">
        <f t="shared" si="3"/>
        <v>0</v>
      </c>
      <c r="V28" s="27">
        <f t="shared" si="3"/>
        <v>0</v>
      </c>
      <c r="W28" s="27">
        <f t="shared" si="3"/>
        <v>0</v>
      </c>
      <c r="X28" s="27">
        <f t="shared" si="3"/>
        <v>0</v>
      </c>
      <c r="Y28" s="27">
        <f t="shared" si="3"/>
        <v>0</v>
      </c>
      <c r="Z28" s="27">
        <f t="shared" si="3"/>
        <v>0</v>
      </c>
      <c r="AA28" s="27">
        <f t="shared" si="3"/>
        <v>0</v>
      </c>
      <c r="AB28" s="27">
        <f t="shared" si="3"/>
        <v>0</v>
      </c>
      <c r="AC28" s="27">
        <f t="shared" si="3"/>
        <v>0</v>
      </c>
      <c r="AD28" s="27">
        <f t="shared" si="3"/>
        <v>0</v>
      </c>
      <c r="AE28" s="27">
        <f t="shared" si="3"/>
        <v>0</v>
      </c>
      <c r="AF28" s="27">
        <f t="shared" si="3"/>
        <v>0</v>
      </c>
      <c r="AG28" s="27">
        <f t="shared" si="3"/>
        <v>0</v>
      </c>
      <c r="AH28" s="27">
        <f t="shared" si="3"/>
        <v>0</v>
      </c>
      <c r="AI28" s="27">
        <f t="shared" si="3"/>
        <v>0</v>
      </c>
      <c r="AJ28" s="27">
        <f>SUM(AJ26:AJ27)</f>
        <v>0</v>
      </c>
      <c r="AK28" s="27">
        <f>SUM(AK26:AK27)</f>
        <v>0</v>
      </c>
      <c r="AL28" s="27">
        <f>SUM(AL26:AL27)</f>
        <v>0</v>
      </c>
    </row>
    <row r="29" spans="1:38" ht="25.05" customHeight="1">
      <c r="B29" s="5">
        <v>46086</v>
      </c>
      <c r="C29" s="29" t="s">
        <v>44</v>
      </c>
      <c r="D29" s="30"/>
      <c r="E29" s="7" t="s">
        <v>41</v>
      </c>
      <c r="F29" s="8" t="s">
        <v>42</v>
      </c>
      <c r="G29" s="9">
        <v>0.79166666666666663</v>
      </c>
      <c r="H29" s="9">
        <v>0.83333333333333337</v>
      </c>
      <c r="I29" s="10">
        <f t="shared" ref="I29:I61" si="4">H29-G29</f>
        <v>4.1666666666666741E-2</v>
      </c>
      <c r="J29" s="11">
        <v>5</v>
      </c>
      <c r="K29" s="11">
        <v>0</v>
      </c>
      <c r="L29" s="16">
        <f t="shared" ref="L29:L61" si="5">IFERROR(((K29/(J29*I29)/24)),"0")</f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 t="s">
        <v>2412</v>
      </c>
      <c r="E30" s="19" t="s">
        <v>2528</v>
      </c>
      <c r="F30" s="8" t="s">
        <v>42</v>
      </c>
      <c r="G30" s="9">
        <v>0.97916666666666663</v>
      </c>
      <c r="H30" s="9">
        <v>0.98750000000000004</v>
      </c>
      <c r="I30" s="10">
        <f t="shared" si="4"/>
        <v>8.3333333333334147E-3</v>
      </c>
      <c r="J30" s="11">
        <v>4</v>
      </c>
      <c r="K30" s="11">
        <v>81.180000000000007</v>
      </c>
      <c r="L30" s="16">
        <f t="shared" si="5"/>
        <v>101.47499999999901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/>
      <c r="Y30" s="11"/>
      <c r="Z30" s="11"/>
      <c r="AA30" s="11"/>
      <c r="AB30" s="11">
        <v>12</v>
      </c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2438</v>
      </c>
      <c r="F31" s="8" t="s">
        <v>42</v>
      </c>
      <c r="G31" s="9">
        <v>0.87638888888888888</v>
      </c>
      <c r="H31" s="9">
        <v>0.91041666666666665</v>
      </c>
      <c r="I31" s="10">
        <f t="shared" si="4"/>
        <v>3.4027777777777768E-2</v>
      </c>
      <c r="J31" s="11">
        <v>5</v>
      </c>
      <c r="K31" s="11">
        <v>117.78</v>
      </c>
      <c r="L31" s="16">
        <f t="shared" si="5"/>
        <v>28.844081632653072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2</v>
      </c>
      <c r="X31" s="11"/>
      <c r="Y31" s="11"/>
      <c r="Z31" s="11"/>
      <c r="AA31" s="11"/>
      <c r="AB31" s="11"/>
      <c r="AC31" s="11"/>
      <c r="AD31" s="11"/>
      <c r="AE31" s="11"/>
      <c r="AF31" s="11"/>
      <c r="AG31" s="11">
        <f>49/4</f>
        <v>12.25</v>
      </c>
      <c r="AH31" s="11">
        <f t="shared" ref="AH31:AJ31" si="6">49/4</f>
        <v>12.25</v>
      </c>
      <c r="AI31" s="11">
        <f t="shared" si="6"/>
        <v>12.25</v>
      </c>
      <c r="AJ31" s="11">
        <f t="shared" si="6"/>
        <v>12.25</v>
      </c>
      <c r="AK31" s="11"/>
      <c r="AL31" s="14"/>
    </row>
    <row r="32" spans="1:38" ht="25.05" customHeight="1">
      <c r="B32" s="13"/>
      <c r="C32" s="29"/>
      <c r="D32" s="30"/>
      <c r="E32" s="19" t="s">
        <v>2439</v>
      </c>
      <c r="F32" s="8"/>
      <c r="G32" s="9">
        <v>0.91111111111111109</v>
      </c>
      <c r="H32" s="9">
        <v>0.94097222222222221</v>
      </c>
      <c r="I32" s="10">
        <f t="shared" si="4"/>
        <v>2.9861111111111116E-2</v>
      </c>
      <c r="J32" s="11">
        <v>5</v>
      </c>
      <c r="K32" s="11">
        <v>119.6</v>
      </c>
      <c r="L32" s="16">
        <f t="shared" si="5"/>
        <v>33.376744186046501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2</v>
      </c>
      <c r="X32" s="11"/>
      <c r="Y32" s="11"/>
      <c r="Z32" s="11"/>
      <c r="AA32" s="11"/>
      <c r="AB32" s="11"/>
      <c r="AC32" s="11"/>
      <c r="AD32" s="11"/>
      <c r="AE32" s="11"/>
      <c r="AF32" s="11"/>
      <c r="AG32" s="11">
        <f>43/4</f>
        <v>10.75</v>
      </c>
      <c r="AH32" s="11">
        <f t="shared" ref="AH32:AJ32" si="7">43/4</f>
        <v>10.75</v>
      </c>
      <c r="AI32" s="11">
        <f t="shared" si="7"/>
        <v>10.75</v>
      </c>
      <c r="AJ32" s="11">
        <f t="shared" si="7"/>
        <v>10.75</v>
      </c>
      <c r="AK32" s="11"/>
      <c r="AL32" s="14"/>
    </row>
    <row r="33" spans="2:38" ht="25.05" customHeight="1">
      <c r="B33" s="13"/>
      <c r="C33" s="29"/>
      <c r="D33" s="30"/>
      <c r="E33" s="19" t="s">
        <v>2440</v>
      </c>
      <c r="F33" s="8"/>
      <c r="G33" s="9">
        <v>0.94791666666666663</v>
      </c>
      <c r="H33" s="9">
        <v>0.97847222222222219</v>
      </c>
      <c r="I33" s="10">
        <f t="shared" si="4"/>
        <v>3.0555555555555558E-2</v>
      </c>
      <c r="J33" s="11">
        <v>5</v>
      </c>
      <c r="K33" s="11">
        <v>125.46</v>
      </c>
      <c r="L33" s="16">
        <f t="shared" si="5"/>
        <v>34.216363636363631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/>
      <c r="Y33" s="11"/>
      <c r="Z33" s="11"/>
      <c r="AA33" s="11"/>
      <c r="AB33" s="11"/>
      <c r="AC33" s="11"/>
      <c r="AD33" s="11"/>
      <c r="AE33" s="11"/>
      <c r="AF33" s="11"/>
      <c r="AG33" s="12">
        <f>44/4</f>
        <v>11</v>
      </c>
      <c r="AH33" s="12">
        <f t="shared" ref="AH33:AJ33" si="8">44/4</f>
        <v>11</v>
      </c>
      <c r="AI33" s="12">
        <f t="shared" si="8"/>
        <v>11</v>
      </c>
      <c r="AJ33" s="12">
        <f t="shared" si="8"/>
        <v>11</v>
      </c>
      <c r="AK33" s="11"/>
      <c r="AL33" s="14"/>
    </row>
    <row r="34" spans="2:38" ht="25.05" customHeight="1">
      <c r="B34" s="13"/>
      <c r="C34" s="29"/>
      <c r="D34" s="30"/>
      <c r="E34" s="19" t="s">
        <v>2441</v>
      </c>
      <c r="F34" s="8"/>
      <c r="G34" s="9">
        <v>1.0597222222222222</v>
      </c>
      <c r="H34" s="9">
        <v>1.1020833333333333</v>
      </c>
      <c r="I34" s="10">
        <f t="shared" si="4"/>
        <v>4.2361111111111072E-2</v>
      </c>
      <c r="J34" s="11">
        <v>5</v>
      </c>
      <c r="K34" s="11">
        <v>121.24</v>
      </c>
      <c r="L34" s="16">
        <f t="shared" si="5"/>
        <v>23.850491803278711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/>
      <c r="AA34" s="11"/>
      <c r="AB34" s="11"/>
      <c r="AC34" s="11"/>
      <c r="AD34" s="11"/>
      <c r="AE34" s="11"/>
      <c r="AF34" s="11"/>
      <c r="AG34" s="11">
        <f>61/4</f>
        <v>15.25</v>
      </c>
      <c r="AH34" s="11">
        <f t="shared" ref="AH34:AJ34" si="9">61/4</f>
        <v>15.25</v>
      </c>
      <c r="AI34" s="11">
        <f t="shared" si="9"/>
        <v>15.25</v>
      </c>
      <c r="AJ34" s="11">
        <f t="shared" si="9"/>
        <v>15.25</v>
      </c>
      <c r="AK34" s="11"/>
      <c r="AL34" s="14"/>
    </row>
    <row r="35" spans="2:38" ht="25.05" customHeight="1">
      <c r="B35" s="13"/>
      <c r="C35" s="29"/>
      <c r="D35" s="30"/>
      <c r="E35" s="19" t="s">
        <v>2442</v>
      </c>
      <c r="F35" s="8"/>
      <c r="G35" s="9">
        <v>8.8888888888888892E-2</v>
      </c>
      <c r="H35" s="9">
        <v>0.12013888888888889</v>
      </c>
      <c r="I35" s="10">
        <f t="shared" si="4"/>
        <v>3.125E-2</v>
      </c>
      <c r="J35" s="11">
        <v>5</v>
      </c>
      <c r="K35" s="11">
        <v>128.05000000000001</v>
      </c>
      <c r="L35" s="16">
        <f t="shared" si="5"/>
        <v>34.146666666666668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/>
      <c r="AA35" s="11"/>
      <c r="AB35" s="11"/>
      <c r="AC35" s="11"/>
      <c r="AD35" s="11"/>
      <c r="AE35" s="11"/>
      <c r="AF35" s="11"/>
      <c r="AG35" s="11">
        <f>45/4</f>
        <v>11.25</v>
      </c>
      <c r="AH35" s="11">
        <f t="shared" ref="AH35:AJ35" si="10">45/4</f>
        <v>11.25</v>
      </c>
      <c r="AI35" s="11">
        <f t="shared" si="10"/>
        <v>11.25</v>
      </c>
      <c r="AJ35" s="11">
        <f t="shared" si="10"/>
        <v>11.25</v>
      </c>
      <c r="AK35" s="11"/>
      <c r="AL35" s="14"/>
    </row>
    <row r="36" spans="2:38" ht="25.05" customHeight="1">
      <c r="B36" s="13"/>
      <c r="C36" s="29"/>
      <c r="D36" s="30"/>
      <c r="E36" s="19" t="s">
        <v>2529</v>
      </c>
      <c r="F36" s="8"/>
      <c r="G36" s="9">
        <v>0.14930555555555555</v>
      </c>
      <c r="H36" s="9">
        <v>0.17777777777777778</v>
      </c>
      <c r="I36" s="10">
        <f t="shared" si="4"/>
        <v>2.8472222222222232E-2</v>
      </c>
      <c r="J36" s="11">
        <v>5</v>
      </c>
      <c r="K36" s="11">
        <v>122.6</v>
      </c>
      <c r="L36" s="16">
        <f t="shared" si="5"/>
        <v>35.882926829268278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/>
      <c r="AB36" s="11"/>
      <c r="AC36" s="11"/>
      <c r="AD36" s="11"/>
      <c r="AE36" s="11"/>
      <c r="AF36" s="11"/>
      <c r="AG36" s="11">
        <f>41/4</f>
        <v>10.25</v>
      </c>
      <c r="AH36" s="11">
        <f t="shared" ref="AH36:AJ36" si="11">41/4</f>
        <v>10.25</v>
      </c>
      <c r="AI36" s="11">
        <f t="shared" si="11"/>
        <v>10.25</v>
      </c>
      <c r="AJ36" s="11">
        <f t="shared" si="11"/>
        <v>10.25</v>
      </c>
      <c r="AK36" s="11"/>
      <c r="AL36" s="14"/>
    </row>
    <row r="37" spans="2:38" ht="25.05" customHeight="1">
      <c r="B37" s="13"/>
      <c r="C37" s="29"/>
      <c r="D37" s="30"/>
      <c r="E37" s="19" t="s">
        <v>2530</v>
      </c>
      <c r="F37" s="8"/>
      <c r="G37" s="9">
        <v>0.17847222222222223</v>
      </c>
      <c r="H37" s="9">
        <v>0.21666666666666667</v>
      </c>
      <c r="I37" s="10">
        <f t="shared" si="4"/>
        <v>3.8194444444444448E-2</v>
      </c>
      <c r="J37" s="11">
        <v>5</v>
      </c>
      <c r="K37" s="11">
        <v>122.6</v>
      </c>
      <c r="L37" s="16">
        <f t="shared" si="5"/>
        <v>26.749090909090906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2</v>
      </c>
      <c r="X37" s="11"/>
      <c r="Y37" s="11"/>
      <c r="Z37" s="11"/>
      <c r="AA37" s="11"/>
      <c r="AB37" s="11"/>
      <c r="AC37" s="11"/>
      <c r="AD37" s="11"/>
      <c r="AE37" s="11"/>
      <c r="AF37" s="11"/>
      <c r="AG37" s="11">
        <f>55/4</f>
        <v>13.75</v>
      </c>
      <c r="AH37" s="11">
        <f t="shared" ref="AH37:AJ37" si="12">55/4</f>
        <v>13.75</v>
      </c>
      <c r="AI37" s="11">
        <f t="shared" si="12"/>
        <v>13.75</v>
      </c>
      <c r="AJ37" s="11">
        <f t="shared" si="12"/>
        <v>13.75</v>
      </c>
      <c r="AK37" s="11"/>
      <c r="AL37" s="14"/>
    </row>
    <row r="38" spans="2:38" ht="25.05" customHeight="1">
      <c r="B38" s="13"/>
      <c r="C38" s="29"/>
      <c r="D38" s="30"/>
      <c r="E38" s="19"/>
      <c r="F38" s="8" t="s">
        <v>42</v>
      </c>
      <c r="G38" s="9"/>
      <c r="H38" s="9"/>
      <c r="I38" s="10">
        <f t="shared" si="4"/>
        <v>0</v>
      </c>
      <c r="J38" s="11"/>
      <c r="K38" s="11"/>
      <c r="L38" s="16" t="str">
        <f t="shared" si="5"/>
        <v>0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 t="s">
        <v>2531</v>
      </c>
      <c r="E39" s="19" t="s">
        <v>2532</v>
      </c>
      <c r="F39" s="8" t="s">
        <v>42</v>
      </c>
      <c r="G39" s="9">
        <v>0.85277777777777775</v>
      </c>
      <c r="H39" s="9">
        <v>0.8666666666666667</v>
      </c>
      <c r="I39" s="10">
        <f t="shared" si="4"/>
        <v>1.3888888888888951E-2</v>
      </c>
      <c r="J39" s="11">
        <v>5</v>
      </c>
      <c r="K39" s="11">
        <v>98.45</v>
      </c>
      <c r="L39" s="16">
        <f t="shared" si="5"/>
        <v>59.069999999999737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>
        <v>20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2533</v>
      </c>
      <c r="F40" s="8" t="s">
        <v>42</v>
      </c>
      <c r="G40" s="9">
        <v>0.85277777777777775</v>
      </c>
      <c r="H40" s="9">
        <v>0.86944444444444446</v>
      </c>
      <c r="I40" s="10">
        <f t="shared" si="4"/>
        <v>1.6666666666666718E-2</v>
      </c>
      <c r="J40" s="11">
        <v>5</v>
      </c>
      <c r="K40" s="11">
        <v>101.82</v>
      </c>
      <c r="L40" s="16">
        <f t="shared" si="5"/>
        <v>50.909999999999833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/>
      <c r="AD40" s="11">
        <v>24</v>
      </c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2534</v>
      </c>
      <c r="F41" s="8" t="s">
        <v>42</v>
      </c>
      <c r="G41" s="9">
        <v>0.87361111111111112</v>
      </c>
      <c r="H41" s="9">
        <v>0.89722222222222225</v>
      </c>
      <c r="I41" s="10">
        <f t="shared" si="4"/>
        <v>2.3611111111111138E-2</v>
      </c>
      <c r="J41" s="11">
        <v>5</v>
      </c>
      <c r="K41" s="11">
        <v>159.9</v>
      </c>
      <c r="L41" s="16">
        <f t="shared" si="5"/>
        <v>56.435294117646997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>
        <v>34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2535</v>
      </c>
      <c r="F42" s="8" t="s">
        <v>42</v>
      </c>
      <c r="G42" s="9">
        <v>0.87430555555555556</v>
      </c>
      <c r="H42" s="9">
        <v>0.8979166666666667</v>
      </c>
      <c r="I42" s="10">
        <f t="shared" si="4"/>
        <v>2.3611111111111138E-2</v>
      </c>
      <c r="J42" s="11">
        <v>5</v>
      </c>
      <c r="K42" s="11">
        <v>161.28</v>
      </c>
      <c r="L42" s="16">
        <f t="shared" si="5"/>
        <v>56.922352941176406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/>
      <c r="Z42" s="11"/>
      <c r="AA42" s="11"/>
      <c r="AB42" s="11"/>
      <c r="AC42" s="11"/>
      <c r="AD42" s="11">
        <v>34</v>
      </c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2536</v>
      </c>
      <c r="F43" s="8" t="s">
        <v>42</v>
      </c>
      <c r="G43" s="9">
        <v>0.90625</v>
      </c>
      <c r="H43" s="9">
        <v>0.93194444444444446</v>
      </c>
      <c r="I43" s="10">
        <f t="shared" si="4"/>
        <v>2.5694444444444464E-2</v>
      </c>
      <c r="J43" s="11">
        <v>5</v>
      </c>
      <c r="K43" s="12">
        <v>159.9</v>
      </c>
      <c r="L43" s="16">
        <f t="shared" si="5"/>
        <v>51.859459459459423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>
        <v>37</v>
      </c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2537</v>
      </c>
      <c r="F44" s="8" t="s">
        <v>42</v>
      </c>
      <c r="G44" s="9">
        <v>0.90833333333333333</v>
      </c>
      <c r="H44" s="9">
        <v>0.93333333333333335</v>
      </c>
      <c r="I44" s="10">
        <f t="shared" si="4"/>
        <v>2.5000000000000022E-2</v>
      </c>
      <c r="J44" s="11">
        <v>5</v>
      </c>
      <c r="K44" s="11">
        <v>160.47999999999999</v>
      </c>
      <c r="L44" s="16">
        <f t="shared" si="5"/>
        <v>53.493333333333283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/>
      <c r="AC44" s="11"/>
      <c r="AD44" s="11">
        <v>36</v>
      </c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2538</v>
      </c>
      <c r="F45" s="8" t="s">
        <v>42</v>
      </c>
      <c r="G45" s="9">
        <v>0.93819444444444444</v>
      </c>
      <c r="H45" s="9">
        <v>0.96388888888888891</v>
      </c>
      <c r="I45" s="10">
        <f t="shared" si="4"/>
        <v>2.5694444444444464E-2</v>
      </c>
      <c r="J45" s="11">
        <v>5</v>
      </c>
      <c r="K45" s="12">
        <v>160.80000000000001</v>
      </c>
      <c r="L45" s="16">
        <f t="shared" si="5"/>
        <v>52.151351351351316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>
        <v>37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2539</v>
      </c>
      <c r="F46" s="8" t="s">
        <v>42</v>
      </c>
      <c r="G46" s="9">
        <v>0.94027777777777777</v>
      </c>
      <c r="H46" s="9">
        <v>0.96527777777777779</v>
      </c>
      <c r="I46" s="10">
        <f t="shared" si="4"/>
        <v>2.5000000000000022E-2</v>
      </c>
      <c r="J46" s="11">
        <v>5</v>
      </c>
      <c r="K46" s="11">
        <v>160.24</v>
      </c>
      <c r="L46" s="16">
        <f t="shared" si="5"/>
        <v>53.413333333333291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/>
      <c r="Z46" s="11"/>
      <c r="AA46" s="11"/>
      <c r="AB46" s="11"/>
      <c r="AC46" s="11"/>
      <c r="AD46" s="11">
        <v>36</v>
      </c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2540</v>
      </c>
      <c r="F47" s="8" t="s">
        <v>42</v>
      </c>
      <c r="G47" s="9">
        <v>4.9305555555555554E-2</v>
      </c>
      <c r="H47" s="9">
        <v>5.486111111111111E-2</v>
      </c>
      <c r="I47" s="10">
        <f t="shared" si="4"/>
        <v>5.5555555555555566E-3</v>
      </c>
      <c r="J47" s="11">
        <v>3</v>
      </c>
      <c r="K47" s="11">
        <v>83.36</v>
      </c>
      <c r="L47" s="16">
        <f t="shared" si="5"/>
        <v>208.39999999999995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>
        <v>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2541</v>
      </c>
      <c r="F48" s="8" t="s">
        <v>42</v>
      </c>
      <c r="G48" s="9">
        <v>5.2777777777777778E-2</v>
      </c>
      <c r="H48" s="9">
        <v>5.8333333333333334E-2</v>
      </c>
      <c r="I48" s="10">
        <f t="shared" si="4"/>
        <v>5.5555555555555566E-3</v>
      </c>
      <c r="J48" s="11">
        <v>3</v>
      </c>
      <c r="K48" s="11">
        <v>83.36</v>
      </c>
      <c r="L48" s="16">
        <f t="shared" si="5"/>
        <v>208.39999999999995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/>
      <c r="X48" s="11"/>
      <c r="Y48" s="11"/>
      <c r="Z48" s="11"/>
      <c r="AA48" s="11"/>
      <c r="AB48" s="11">
        <v>8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2542</v>
      </c>
      <c r="F49" s="8" t="s">
        <v>42</v>
      </c>
      <c r="G49" s="9">
        <v>5.8333333333333334E-2</v>
      </c>
      <c r="H49" s="9">
        <v>6.3888888888888884E-2</v>
      </c>
      <c r="I49" s="10">
        <f t="shared" si="4"/>
        <v>5.5555555555555497E-3</v>
      </c>
      <c r="J49" s="11">
        <v>3</v>
      </c>
      <c r="K49" s="11">
        <v>83.36</v>
      </c>
      <c r="L49" s="16">
        <f t="shared" si="5"/>
        <v>208.4000000000002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/>
      <c r="AC49" s="11"/>
      <c r="AD49" s="11">
        <v>8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2543</v>
      </c>
      <c r="F50" s="8" t="s">
        <v>42</v>
      </c>
      <c r="G50" s="9">
        <v>6.1111111111111109E-2</v>
      </c>
      <c r="H50" s="9">
        <v>6.6666666666666666E-2</v>
      </c>
      <c r="I50" s="10">
        <f t="shared" si="4"/>
        <v>5.5555555555555566E-3</v>
      </c>
      <c r="J50" s="11">
        <v>3</v>
      </c>
      <c r="K50" s="11">
        <v>83.36</v>
      </c>
      <c r="L50" s="16">
        <f t="shared" si="5"/>
        <v>208.39999999999995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/>
      <c r="AB50" s="11"/>
      <c r="AC50" s="11"/>
      <c r="AD50" s="11">
        <v>8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2544</v>
      </c>
      <c r="F51" s="8" t="s">
        <v>42</v>
      </c>
      <c r="G51" s="9">
        <v>7.013888888888889E-2</v>
      </c>
      <c r="H51" s="9">
        <v>7.5694444444444439E-2</v>
      </c>
      <c r="I51" s="10">
        <f t="shared" si="4"/>
        <v>5.5555555555555497E-3</v>
      </c>
      <c r="J51" s="11">
        <v>3</v>
      </c>
      <c r="K51" s="11">
        <v>83.36</v>
      </c>
      <c r="L51" s="16">
        <f t="shared" si="5"/>
        <v>208.4000000000002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/>
      <c r="AB51" s="11">
        <v>8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2545</v>
      </c>
      <c r="F52" s="8" t="s">
        <v>42</v>
      </c>
      <c r="G52" s="9">
        <v>7.2222222222222215E-2</v>
      </c>
      <c r="H52" s="9">
        <v>7.7777777777777779E-2</v>
      </c>
      <c r="I52" s="10">
        <f t="shared" si="4"/>
        <v>5.5555555555555636E-3</v>
      </c>
      <c r="J52" s="11">
        <v>3</v>
      </c>
      <c r="K52" s="11">
        <v>83.36</v>
      </c>
      <c r="L52" s="16">
        <f t="shared" si="5"/>
        <v>208.39999999999972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>
        <v>8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2546</v>
      </c>
      <c r="F53" s="8" t="s">
        <v>42</v>
      </c>
      <c r="G53" s="9">
        <v>7.9166666666666663E-2</v>
      </c>
      <c r="H53" s="9">
        <v>8.4722222222222227E-2</v>
      </c>
      <c r="I53" s="10">
        <f t="shared" si="4"/>
        <v>5.5555555555555636E-3</v>
      </c>
      <c r="J53" s="11">
        <v>3</v>
      </c>
      <c r="K53" s="11">
        <v>83.36</v>
      </c>
      <c r="L53" s="16">
        <f t="shared" si="5"/>
        <v>208.39999999999972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/>
      <c r="AC53" s="11"/>
      <c r="AD53" s="11">
        <v>8</v>
      </c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2547</v>
      </c>
      <c r="F54" s="8" t="s">
        <v>42</v>
      </c>
      <c r="G54" s="9">
        <v>8.1250000000000003E-2</v>
      </c>
      <c r="H54" s="9">
        <v>8.6805555555555552E-2</v>
      </c>
      <c r="I54" s="10">
        <f t="shared" si="4"/>
        <v>5.5555555555555497E-3</v>
      </c>
      <c r="J54" s="11">
        <v>3</v>
      </c>
      <c r="K54" s="11">
        <v>83.36</v>
      </c>
      <c r="L54" s="16">
        <f t="shared" si="5"/>
        <v>208.4000000000002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/>
      <c r="AC54" s="11"/>
      <c r="AD54" s="11">
        <v>8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2548</v>
      </c>
      <c r="F55" s="8" t="s">
        <v>42</v>
      </c>
      <c r="G55" s="9">
        <v>8.819444444444445E-2</v>
      </c>
      <c r="H55" s="9">
        <v>9.375E-2</v>
      </c>
      <c r="I55" s="10">
        <f t="shared" si="4"/>
        <v>5.5555555555555497E-3</v>
      </c>
      <c r="J55" s="11">
        <v>3</v>
      </c>
      <c r="K55" s="11">
        <v>83.36</v>
      </c>
      <c r="L55" s="16">
        <f t="shared" si="5"/>
        <v>208.4000000000002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>
        <v>8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2549</v>
      </c>
      <c r="F56" s="8" t="s">
        <v>42</v>
      </c>
      <c r="G56" s="9">
        <v>9.0972222222222218E-2</v>
      </c>
      <c r="H56" s="9">
        <v>9.6527777777777782E-2</v>
      </c>
      <c r="I56" s="10">
        <f t="shared" si="4"/>
        <v>5.5555555555555636E-3</v>
      </c>
      <c r="J56" s="11">
        <v>3</v>
      </c>
      <c r="K56" s="11">
        <v>83.36</v>
      </c>
      <c r="L56" s="16">
        <f t="shared" si="5"/>
        <v>208.39999999999972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>
        <v>8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2550</v>
      </c>
      <c r="F57" s="8" t="s">
        <v>42</v>
      </c>
      <c r="G57" s="9">
        <v>9.8611111111111108E-2</v>
      </c>
      <c r="H57" s="9">
        <v>0.10416666666666667</v>
      </c>
      <c r="I57" s="10">
        <f t="shared" si="4"/>
        <v>5.5555555555555636E-3</v>
      </c>
      <c r="J57" s="11">
        <v>3</v>
      </c>
      <c r="K57" s="11">
        <v>83.36</v>
      </c>
      <c r="L57" s="16">
        <f t="shared" si="5"/>
        <v>208.39999999999972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/>
      <c r="AC57" s="11"/>
      <c r="AD57" s="11">
        <v>8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2551</v>
      </c>
      <c r="F58" s="8" t="s">
        <v>42</v>
      </c>
      <c r="G58" s="9">
        <v>0.1</v>
      </c>
      <c r="H58" s="9">
        <v>0.10555555555555556</v>
      </c>
      <c r="I58" s="10">
        <f t="shared" si="4"/>
        <v>5.5555555555555497E-3</v>
      </c>
      <c r="J58" s="11">
        <v>3</v>
      </c>
      <c r="K58" s="11">
        <v>83.36</v>
      </c>
      <c r="L58" s="16">
        <f t="shared" si="5"/>
        <v>208.4000000000002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/>
      <c r="AA58" s="11"/>
      <c r="AB58" s="11"/>
      <c r="AC58" s="11"/>
      <c r="AD58" s="11">
        <v>8</v>
      </c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2552</v>
      </c>
      <c r="F59" s="8" t="s">
        <v>42</v>
      </c>
      <c r="G59" s="9">
        <v>0.10833333333333334</v>
      </c>
      <c r="H59" s="9">
        <v>0.11388888888888889</v>
      </c>
      <c r="I59" s="10">
        <f t="shared" si="4"/>
        <v>5.5555555555555497E-3</v>
      </c>
      <c r="J59" s="11">
        <v>3</v>
      </c>
      <c r="K59" s="11">
        <v>83.36</v>
      </c>
      <c r="L59" s="16">
        <f t="shared" si="5"/>
        <v>208.4000000000002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/>
      <c r="Z59" s="11"/>
      <c r="AA59" s="11"/>
      <c r="AB59" s="11">
        <v>8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2553</v>
      </c>
      <c r="F60" s="8" t="s">
        <v>42</v>
      </c>
      <c r="G60" s="9">
        <v>0.11041666666666666</v>
      </c>
      <c r="H60" s="9">
        <v>0.11597222222222223</v>
      </c>
      <c r="I60" s="10">
        <f t="shared" si="4"/>
        <v>5.5555555555555636E-3</v>
      </c>
      <c r="J60" s="11">
        <v>3</v>
      </c>
      <c r="K60" s="11">
        <v>83.36</v>
      </c>
      <c r="L60" s="16">
        <f t="shared" si="5"/>
        <v>208.39999999999972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>
        <v>8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2554</v>
      </c>
      <c r="F61" s="8" t="s">
        <v>42</v>
      </c>
      <c r="G61" s="9">
        <v>0.12361111111111112</v>
      </c>
      <c r="H61" s="9">
        <v>0.12916666666666668</v>
      </c>
      <c r="I61" s="10">
        <f t="shared" si="4"/>
        <v>5.5555555555555636E-3</v>
      </c>
      <c r="J61" s="11">
        <v>3</v>
      </c>
      <c r="K61" s="11">
        <v>83.36</v>
      </c>
      <c r="L61" s="16">
        <f t="shared" si="5"/>
        <v>208.39999999999972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>
        <v>8</v>
      </c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2555</v>
      </c>
      <c r="F62" s="8" t="s">
        <v>42</v>
      </c>
      <c r="G62" s="9">
        <v>0.12569444444444444</v>
      </c>
      <c r="H62" s="9">
        <v>0.13125000000000001</v>
      </c>
      <c r="I62" s="10">
        <f t="shared" ref="I62:I79" si="13">H62-G62</f>
        <v>5.5555555555555636E-3</v>
      </c>
      <c r="J62" s="11">
        <v>3</v>
      </c>
      <c r="K62" s="11">
        <v>83.36</v>
      </c>
      <c r="L62" s="16">
        <f t="shared" ref="L62:L77" si="14">IFERROR(((K62/(J62*I62)/24)),"0")</f>
        <v>208.39999999999972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/>
      <c r="AC62" s="11"/>
      <c r="AD62" s="11">
        <v>8</v>
      </c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2556</v>
      </c>
      <c r="F63" s="8" t="s">
        <v>42</v>
      </c>
      <c r="G63" s="9">
        <v>0.13750000000000001</v>
      </c>
      <c r="H63" s="9">
        <v>0.14305555555555555</v>
      </c>
      <c r="I63" s="10">
        <f t="shared" si="13"/>
        <v>5.5555555555555358E-3</v>
      </c>
      <c r="J63" s="11">
        <v>3</v>
      </c>
      <c r="K63" s="11">
        <v>83.36</v>
      </c>
      <c r="L63" s="16">
        <f t="shared" si="14"/>
        <v>208.40000000000074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/>
      <c r="Y63" s="11"/>
      <c r="Z63" s="11"/>
      <c r="AA63" s="11"/>
      <c r="AB63" s="11">
        <v>8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2557</v>
      </c>
      <c r="F64" s="14"/>
      <c r="G64" s="9">
        <v>0.1388888888888889</v>
      </c>
      <c r="H64" s="9">
        <v>0.14444444444444443</v>
      </c>
      <c r="I64" s="10">
        <f t="shared" si="13"/>
        <v>5.5555555555555358E-3</v>
      </c>
      <c r="J64" s="11">
        <v>3</v>
      </c>
      <c r="K64" s="11">
        <v>83.36</v>
      </c>
      <c r="L64" s="16">
        <f t="shared" si="14"/>
        <v>208.40000000000074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>
        <v>8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2558</v>
      </c>
      <c r="F65" s="8" t="s">
        <v>42</v>
      </c>
      <c r="G65" s="9">
        <v>0.14791666666666667</v>
      </c>
      <c r="H65" s="9">
        <v>0.15347222222222223</v>
      </c>
      <c r="I65" s="10">
        <f t="shared" si="13"/>
        <v>5.5555555555555636E-3</v>
      </c>
      <c r="J65" s="11">
        <v>3</v>
      </c>
      <c r="K65" s="11">
        <v>83.36</v>
      </c>
      <c r="L65" s="16">
        <f t="shared" si="14"/>
        <v>208.39999999999972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/>
      <c r="Y65" s="11"/>
      <c r="Z65" s="11"/>
      <c r="AA65" s="11"/>
      <c r="AB65" s="11"/>
      <c r="AC65" s="11"/>
      <c r="AD65" s="11">
        <v>8</v>
      </c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2559</v>
      </c>
      <c r="F66" s="8" t="s">
        <v>42</v>
      </c>
      <c r="G66" s="9">
        <v>0.14930555555555555</v>
      </c>
      <c r="H66" s="9">
        <v>0.15486111111111112</v>
      </c>
      <c r="I66" s="10">
        <f t="shared" si="13"/>
        <v>5.5555555555555636E-3</v>
      </c>
      <c r="J66" s="11">
        <v>3</v>
      </c>
      <c r="K66" s="11">
        <v>83.36</v>
      </c>
      <c r="L66" s="16">
        <f t="shared" si="14"/>
        <v>208.39999999999972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/>
      <c r="Y66" s="11"/>
      <c r="Z66" s="11"/>
      <c r="AA66" s="11"/>
      <c r="AB66" s="11"/>
      <c r="AC66" s="11"/>
      <c r="AD66" s="11">
        <v>8</v>
      </c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2560</v>
      </c>
      <c r="F67" s="8" t="s">
        <v>42</v>
      </c>
      <c r="G67" s="9">
        <v>0.15763888888888888</v>
      </c>
      <c r="H67" s="9">
        <v>0.16319444444444445</v>
      </c>
      <c r="I67" s="10">
        <f t="shared" si="13"/>
        <v>5.5555555555555636E-3</v>
      </c>
      <c r="J67" s="11">
        <v>3</v>
      </c>
      <c r="K67" s="11">
        <v>83.36</v>
      </c>
      <c r="L67" s="16">
        <f t="shared" si="14"/>
        <v>208.39999999999972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/>
      <c r="Z67" s="11"/>
      <c r="AA67" s="11"/>
      <c r="AB67" s="11">
        <v>8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2561</v>
      </c>
      <c r="F68" s="8" t="s">
        <v>42</v>
      </c>
      <c r="G68" s="9">
        <v>0.15902777777777777</v>
      </c>
      <c r="H68" s="9">
        <v>0.16458333333333333</v>
      </c>
      <c r="I68" s="10">
        <f t="shared" si="13"/>
        <v>5.5555555555555636E-3</v>
      </c>
      <c r="J68" s="11">
        <v>3</v>
      </c>
      <c r="K68" s="11">
        <v>83.36</v>
      </c>
      <c r="L68" s="16">
        <f t="shared" si="14"/>
        <v>208.39999999999972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/>
      <c r="Y68" s="11"/>
      <c r="Z68" s="11"/>
      <c r="AA68" s="11"/>
      <c r="AB68" s="11">
        <v>8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2562</v>
      </c>
      <c r="F69" s="8" t="s">
        <v>42</v>
      </c>
      <c r="G69" s="9">
        <v>0.16875000000000001</v>
      </c>
      <c r="H69" s="9">
        <v>0.17430555555555555</v>
      </c>
      <c r="I69" s="10">
        <f t="shared" si="13"/>
        <v>5.5555555555555358E-3</v>
      </c>
      <c r="J69" s="11">
        <v>3</v>
      </c>
      <c r="K69" s="11">
        <v>83.36</v>
      </c>
      <c r="L69" s="16">
        <f t="shared" si="14"/>
        <v>208.40000000000074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/>
      <c r="AB69" s="11"/>
      <c r="AC69" s="11"/>
      <c r="AD69" s="11">
        <v>8</v>
      </c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2563</v>
      </c>
      <c r="F70" s="8" t="s">
        <v>42</v>
      </c>
      <c r="G70" s="9">
        <v>0.17152777777777778</v>
      </c>
      <c r="H70" s="9">
        <v>0.17708333333333334</v>
      </c>
      <c r="I70" s="10">
        <f t="shared" si="13"/>
        <v>5.5555555555555636E-3</v>
      </c>
      <c r="J70" s="11">
        <v>3</v>
      </c>
      <c r="K70" s="11">
        <v>83.36</v>
      </c>
      <c r="L70" s="16">
        <f t="shared" si="14"/>
        <v>208.39999999999972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/>
      <c r="AC70" s="11"/>
      <c r="AD70" s="11">
        <v>8</v>
      </c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2564</v>
      </c>
      <c r="F71" s="8" t="s">
        <v>42</v>
      </c>
      <c r="G71" s="9">
        <v>0.18124999999999999</v>
      </c>
      <c r="H71" s="9">
        <v>0.18680555555555556</v>
      </c>
      <c r="I71" s="10">
        <f t="shared" si="13"/>
        <v>5.5555555555555636E-3</v>
      </c>
      <c r="J71" s="11">
        <v>3</v>
      </c>
      <c r="K71" s="11">
        <v>83.36</v>
      </c>
      <c r="L71" s="16">
        <f t="shared" si="14"/>
        <v>208.39999999999972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/>
      <c r="AD71" s="11">
        <v>8</v>
      </c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2565</v>
      </c>
      <c r="F72" s="8" t="s">
        <v>42</v>
      </c>
      <c r="G72" s="9">
        <v>6.3888888888888884E-2</v>
      </c>
      <c r="H72" s="9">
        <v>7.4305555555555555E-2</v>
      </c>
      <c r="I72" s="10">
        <f t="shared" si="13"/>
        <v>1.0416666666666671E-2</v>
      </c>
      <c r="J72" s="11">
        <v>4</v>
      </c>
      <c r="K72" s="11">
        <v>92.45</v>
      </c>
      <c r="L72" s="16">
        <f t="shared" si="14"/>
        <v>92.449999999999974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2</v>
      </c>
      <c r="W72" s="12"/>
      <c r="X72" s="11">
        <v>15</v>
      </c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2566</v>
      </c>
      <c r="F73" s="8" t="s">
        <v>42</v>
      </c>
      <c r="G73" s="9">
        <v>6.6666666666666666E-2</v>
      </c>
      <c r="H73" s="9">
        <v>7.7083333333333337E-2</v>
      </c>
      <c r="I73" s="10">
        <f t="shared" si="13"/>
        <v>1.0416666666666671E-2</v>
      </c>
      <c r="J73" s="11">
        <v>4</v>
      </c>
      <c r="K73" s="11">
        <v>92.78</v>
      </c>
      <c r="L73" s="16">
        <f t="shared" si="14"/>
        <v>92.779999999999959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/>
      <c r="Y73" s="11">
        <v>15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2567</v>
      </c>
      <c r="F74" s="8" t="s">
        <v>42</v>
      </c>
      <c r="G74" s="9">
        <v>7.1527777777777773E-2</v>
      </c>
      <c r="H74" s="9">
        <v>8.1944444444444445E-2</v>
      </c>
      <c r="I74" s="10">
        <f t="shared" si="13"/>
        <v>1.0416666666666671E-2</v>
      </c>
      <c r="J74" s="11">
        <v>4</v>
      </c>
      <c r="K74" s="11">
        <v>83.42</v>
      </c>
      <c r="L74" s="16">
        <f t="shared" si="14"/>
        <v>83.419999999999973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/>
      <c r="Y74" s="11"/>
      <c r="Z74" s="11">
        <v>15</v>
      </c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2568</v>
      </c>
      <c r="F75" s="8" t="s">
        <v>42</v>
      </c>
      <c r="G75" s="9">
        <v>7.4305555555555555E-2</v>
      </c>
      <c r="H75" s="9">
        <v>8.4722222222222227E-2</v>
      </c>
      <c r="I75" s="10">
        <f t="shared" si="13"/>
        <v>1.0416666666666671E-2</v>
      </c>
      <c r="J75" s="11">
        <v>4</v>
      </c>
      <c r="K75" s="11">
        <v>83.57</v>
      </c>
      <c r="L75" s="16">
        <f t="shared" si="14"/>
        <v>83.569999999999951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>
        <v>15</v>
      </c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2569</v>
      </c>
      <c r="F76" s="14"/>
      <c r="G76" s="9">
        <v>8.1250000000000003E-2</v>
      </c>
      <c r="H76" s="9">
        <v>9.166666666666666E-2</v>
      </c>
      <c r="I76" s="10">
        <f t="shared" si="13"/>
        <v>1.0416666666666657E-2</v>
      </c>
      <c r="J76" s="11">
        <v>4</v>
      </c>
      <c r="K76" s="11">
        <v>94.8</v>
      </c>
      <c r="L76" s="16">
        <f t="shared" si="14"/>
        <v>94.800000000000082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2</v>
      </c>
      <c r="W76" s="12"/>
      <c r="X76" s="11"/>
      <c r="Y76" s="11"/>
      <c r="Z76" s="11">
        <v>15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2570</v>
      </c>
      <c r="F77" s="8" t="s">
        <v>42</v>
      </c>
      <c r="G77" s="9">
        <v>8.5416666666666669E-2</v>
      </c>
      <c r="H77" s="9">
        <v>9.583333333333334E-2</v>
      </c>
      <c r="I77" s="10">
        <f t="shared" si="13"/>
        <v>1.0416666666666671E-2</v>
      </c>
      <c r="J77" s="11">
        <v>4</v>
      </c>
      <c r="K77" s="11">
        <v>94.58</v>
      </c>
      <c r="L77" s="16">
        <f t="shared" si="14"/>
        <v>94.57999999999997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/>
      <c r="AA77" s="11">
        <v>15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2571</v>
      </c>
      <c r="F78" s="8" t="s">
        <v>42</v>
      </c>
      <c r="G78" s="9">
        <v>9.4444444444444442E-2</v>
      </c>
      <c r="H78" s="9">
        <v>0.10486111111111111</v>
      </c>
      <c r="I78" s="10">
        <f t="shared" si="13"/>
        <v>1.0416666666666671E-2</v>
      </c>
      <c r="J78" s="11">
        <v>4</v>
      </c>
      <c r="K78" s="11">
        <v>87.7</v>
      </c>
      <c r="L78" s="16">
        <f t="shared" ref="L78:L88" si="15">IFERROR(((K78/(J78*I78)/24)),"0")</f>
        <v>87.699999999999974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>
        <v>15</v>
      </c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2572</v>
      </c>
      <c r="F79" s="8" t="s">
        <v>42</v>
      </c>
      <c r="G79" s="9">
        <v>0.1</v>
      </c>
      <c r="H79" s="9">
        <v>0.11041666666666666</v>
      </c>
      <c r="I79" s="10">
        <f t="shared" si="13"/>
        <v>1.0416666666666657E-2</v>
      </c>
      <c r="J79" s="11">
        <v>4</v>
      </c>
      <c r="K79" s="11">
        <v>87.46</v>
      </c>
      <c r="L79" s="16">
        <f t="shared" si="15"/>
        <v>87.460000000000079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>
        <v>15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2573</v>
      </c>
      <c r="F80" s="8" t="s">
        <v>42</v>
      </c>
      <c r="G80" s="9">
        <v>0.10138888888888889</v>
      </c>
      <c r="H80" s="9">
        <v>0.11180555555555556</v>
      </c>
      <c r="I80" s="10">
        <f t="shared" ref="I80:I88" si="16">H80-G80</f>
        <v>1.0416666666666671E-2</v>
      </c>
      <c r="J80" s="11">
        <v>4</v>
      </c>
      <c r="K80" s="11">
        <v>92.25</v>
      </c>
      <c r="L80" s="16">
        <f t="shared" si="15"/>
        <v>92.249999999999957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>
        <v>15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2574</v>
      </c>
      <c r="F81" s="8" t="s">
        <v>42</v>
      </c>
      <c r="G81" s="9">
        <v>0.10902777777777778</v>
      </c>
      <c r="H81" s="9">
        <v>0.11944444444444445</v>
      </c>
      <c r="I81" s="10">
        <f t="shared" si="16"/>
        <v>1.0416666666666671E-2</v>
      </c>
      <c r="J81" s="11">
        <v>4</v>
      </c>
      <c r="K81" s="11">
        <v>92.48</v>
      </c>
      <c r="L81" s="16">
        <f t="shared" si="15"/>
        <v>92.479999999999961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>
        <v>15</v>
      </c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2575</v>
      </c>
      <c r="F82" s="8" t="s">
        <v>42</v>
      </c>
      <c r="G82" s="9">
        <v>0.11666666666666667</v>
      </c>
      <c r="H82" s="9">
        <v>0.12708333333333333</v>
      </c>
      <c r="I82" s="10">
        <f t="shared" si="16"/>
        <v>1.0416666666666657E-2</v>
      </c>
      <c r="J82" s="11">
        <v>4</v>
      </c>
      <c r="K82" s="11">
        <v>91.47</v>
      </c>
      <c r="L82" s="16">
        <f t="shared" si="15"/>
        <v>91.470000000000084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>
        <v>15</v>
      </c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2576</v>
      </c>
      <c r="F83" s="8" t="s">
        <v>42</v>
      </c>
      <c r="G83" s="9">
        <v>0.12152777777777778</v>
      </c>
      <c r="H83" s="9">
        <v>0.13194444444444445</v>
      </c>
      <c r="I83" s="10">
        <f t="shared" si="16"/>
        <v>1.0416666666666671E-2</v>
      </c>
      <c r="J83" s="11">
        <v>4</v>
      </c>
      <c r="K83" s="11">
        <v>91.58</v>
      </c>
      <c r="L83" s="16">
        <f t="shared" si="15"/>
        <v>91.57999999999997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2</v>
      </c>
      <c r="X83" s="11">
        <v>15</v>
      </c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2577</v>
      </c>
      <c r="F84" s="8" t="s">
        <v>42</v>
      </c>
      <c r="G84" s="9">
        <v>0.12430555555555556</v>
      </c>
      <c r="H84" s="9">
        <v>0.13472222222222222</v>
      </c>
      <c r="I84" s="10">
        <f t="shared" si="16"/>
        <v>1.0416666666666657E-2</v>
      </c>
      <c r="J84" s="11">
        <v>4</v>
      </c>
      <c r="K84" s="11">
        <v>93.29</v>
      </c>
      <c r="L84" s="16">
        <f t="shared" si="15"/>
        <v>93.290000000000092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2</v>
      </c>
      <c r="W84" s="12"/>
      <c r="X84" s="11"/>
      <c r="Y84" s="11">
        <v>15</v>
      </c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2578</v>
      </c>
      <c r="F85" s="8" t="s">
        <v>42</v>
      </c>
      <c r="G85" s="9">
        <v>0.13194444444444445</v>
      </c>
      <c r="H85" s="9">
        <v>0.1423611111111111</v>
      </c>
      <c r="I85" s="10">
        <f t="shared" si="16"/>
        <v>1.0416666666666657E-2</v>
      </c>
      <c r="J85" s="11">
        <v>4</v>
      </c>
      <c r="K85" s="12">
        <v>93.4</v>
      </c>
      <c r="L85" s="16">
        <f t="shared" si="15"/>
        <v>93.400000000000091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/>
      <c r="Y85" s="11"/>
      <c r="Z85" s="11"/>
      <c r="AA85" s="11">
        <v>15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2579</v>
      </c>
      <c r="F86" s="8" t="s">
        <v>42</v>
      </c>
      <c r="G86" s="9">
        <v>0.1361111111111111</v>
      </c>
      <c r="H86" s="9">
        <v>0.14652777777777778</v>
      </c>
      <c r="I86" s="10">
        <f t="shared" si="16"/>
        <v>1.0416666666666685E-2</v>
      </c>
      <c r="J86" s="11">
        <v>4</v>
      </c>
      <c r="K86" s="11">
        <v>92.61</v>
      </c>
      <c r="L86" s="16">
        <f t="shared" si="15"/>
        <v>92.609999999999843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>
        <v>15</v>
      </c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2580</v>
      </c>
      <c r="F87" s="8" t="s">
        <v>42</v>
      </c>
      <c r="G87" s="9">
        <v>0.14166666666666666</v>
      </c>
      <c r="H87" s="9">
        <v>0.15208333333333332</v>
      </c>
      <c r="I87" s="10">
        <f t="shared" si="16"/>
        <v>1.0416666666666657E-2</v>
      </c>
      <c r="J87" s="11">
        <v>4</v>
      </c>
      <c r="K87" s="12">
        <v>92.7</v>
      </c>
      <c r="L87" s="16">
        <f t="shared" si="15"/>
        <v>92.700000000000088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>
        <v>15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2581</v>
      </c>
      <c r="F88" s="8" t="s">
        <v>42</v>
      </c>
      <c r="G88" s="9">
        <v>0.14583333333333334</v>
      </c>
      <c r="H88" s="9">
        <v>0.15625</v>
      </c>
      <c r="I88" s="10">
        <f t="shared" si="16"/>
        <v>1.0416666666666657E-2</v>
      </c>
      <c r="J88" s="11">
        <v>4</v>
      </c>
      <c r="K88" s="11">
        <v>77.12</v>
      </c>
      <c r="L88" s="16">
        <f t="shared" si="15"/>
        <v>77.120000000000076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2</v>
      </c>
      <c r="W88" s="12"/>
      <c r="X88" s="11"/>
      <c r="Y88" s="11"/>
      <c r="Z88" s="11"/>
      <c r="AA88" s="11">
        <v>15</v>
      </c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2582</v>
      </c>
      <c r="F89" s="8" t="s">
        <v>42</v>
      </c>
      <c r="G89" s="9">
        <v>0.15208333333333332</v>
      </c>
      <c r="H89" s="9">
        <v>0.16250000000000001</v>
      </c>
      <c r="I89" s="10">
        <f t="shared" ref="I89:I96" si="17">H89-G89</f>
        <v>1.0416666666666685E-2</v>
      </c>
      <c r="J89" s="11">
        <v>4</v>
      </c>
      <c r="K89" s="11">
        <v>107.4</v>
      </c>
      <c r="L89" s="16">
        <f t="shared" ref="L89:L96" si="18">IFERROR(((K89/(J89*I89)/24)),"0")</f>
        <v>107.39999999999981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/>
      <c r="Y89" s="11">
        <v>15</v>
      </c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2583</v>
      </c>
      <c r="F90" s="8" t="s">
        <v>42</v>
      </c>
      <c r="G90" s="9">
        <v>0.15763888888888888</v>
      </c>
      <c r="H90" s="9">
        <v>0.16805555555555557</v>
      </c>
      <c r="I90" s="10">
        <f t="shared" si="17"/>
        <v>1.0416666666666685E-2</v>
      </c>
      <c r="J90" s="11">
        <v>4</v>
      </c>
      <c r="K90" s="11">
        <v>106.15</v>
      </c>
      <c r="L90" s="16">
        <f t="shared" si="18"/>
        <v>106.14999999999982</v>
      </c>
      <c r="M90" s="11"/>
      <c r="N90" s="11"/>
      <c r="O90" s="11"/>
      <c r="P90" s="11"/>
      <c r="Q90" s="11"/>
      <c r="R90" s="12"/>
      <c r="S90" s="12"/>
      <c r="T90" s="11"/>
      <c r="U90" s="11"/>
      <c r="V90" s="12">
        <v>2</v>
      </c>
      <c r="W90" s="12"/>
      <c r="X90" s="11"/>
      <c r="Y90" s="11"/>
      <c r="Z90" s="11">
        <v>15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2584</v>
      </c>
      <c r="F91" s="8" t="s">
        <v>42</v>
      </c>
      <c r="G91" s="9">
        <v>0.16319444444444445</v>
      </c>
      <c r="H91" s="9">
        <v>0.1736111111111111</v>
      </c>
      <c r="I91" s="10">
        <f t="shared" si="17"/>
        <v>1.0416666666666657E-2</v>
      </c>
      <c r="J91" s="11">
        <v>4</v>
      </c>
      <c r="K91" s="11">
        <v>76.03</v>
      </c>
      <c r="L91" s="16">
        <f t="shared" si="18"/>
        <v>76.030000000000072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/>
      <c r="Y91" s="11"/>
      <c r="Z91" s="11"/>
      <c r="AA91" s="11">
        <v>15</v>
      </c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2585</v>
      </c>
      <c r="F92" s="8" t="s">
        <v>42</v>
      </c>
      <c r="G92" s="9">
        <v>0.16666666666666666</v>
      </c>
      <c r="H92" s="9">
        <v>0.17708333333333334</v>
      </c>
      <c r="I92" s="10">
        <f t="shared" si="17"/>
        <v>1.0416666666666685E-2</v>
      </c>
      <c r="J92" s="11">
        <v>4</v>
      </c>
      <c r="K92" s="11">
        <v>102.16</v>
      </c>
      <c r="L92" s="16">
        <f t="shared" si="18"/>
        <v>102.15999999999981</v>
      </c>
      <c r="M92" s="11"/>
      <c r="N92" s="11"/>
      <c r="O92" s="11"/>
      <c r="P92" s="11"/>
      <c r="Q92" s="11"/>
      <c r="R92" s="12"/>
      <c r="S92" s="12"/>
      <c r="T92" s="11"/>
      <c r="U92" s="11"/>
      <c r="V92" s="12">
        <v>2</v>
      </c>
      <c r="W92" s="12"/>
      <c r="X92" s="11"/>
      <c r="Y92" s="11">
        <v>15</v>
      </c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2586</v>
      </c>
      <c r="F93" s="8" t="s">
        <v>42</v>
      </c>
      <c r="G93" s="9">
        <v>0.17291666666666666</v>
      </c>
      <c r="H93" s="9">
        <v>0.18333333333333332</v>
      </c>
      <c r="I93" s="10">
        <f t="shared" si="17"/>
        <v>1.0416666666666657E-2</v>
      </c>
      <c r="J93" s="11">
        <v>4</v>
      </c>
      <c r="K93" s="11">
        <v>82.93</v>
      </c>
      <c r="L93" s="16">
        <f t="shared" si="18"/>
        <v>82.930000000000078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2</v>
      </c>
      <c r="X93" s="11">
        <v>15</v>
      </c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2587</v>
      </c>
      <c r="F94" s="8" t="s">
        <v>42</v>
      </c>
      <c r="G94" s="9">
        <v>0.17777777777777778</v>
      </c>
      <c r="H94" s="9">
        <v>0.18819444444444444</v>
      </c>
      <c r="I94" s="10">
        <f t="shared" si="17"/>
        <v>1.0416666666666657E-2</v>
      </c>
      <c r="J94" s="11">
        <v>4</v>
      </c>
      <c r="K94" s="11">
        <v>103.25</v>
      </c>
      <c r="L94" s="16">
        <f t="shared" si="18"/>
        <v>103.2500000000001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2</v>
      </c>
      <c r="W94" s="12"/>
      <c r="X94" s="11"/>
      <c r="Y94" s="11"/>
      <c r="Z94" s="11"/>
      <c r="AA94" s="11">
        <v>15</v>
      </c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2588</v>
      </c>
      <c r="F95" s="8" t="s">
        <v>42</v>
      </c>
      <c r="G95" s="9">
        <v>0.18194444444444444</v>
      </c>
      <c r="H95" s="9">
        <v>0.19236111111111112</v>
      </c>
      <c r="I95" s="10">
        <f t="shared" si="17"/>
        <v>1.0416666666666685E-2</v>
      </c>
      <c r="J95" s="11">
        <v>4</v>
      </c>
      <c r="K95" s="11">
        <v>81.56</v>
      </c>
      <c r="L95" s="16">
        <f t="shared" si="18"/>
        <v>81.55999999999986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2</v>
      </c>
      <c r="X95" s="11"/>
      <c r="Y95" s="11">
        <v>15</v>
      </c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2589</v>
      </c>
      <c r="F96" s="8" t="s">
        <v>42</v>
      </c>
      <c r="G96" s="9">
        <v>0.18958333333333333</v>
      </c>
      <c r="H96" s="9">
        <v>0.2</v>
      </c>
      <c r="I96" s="10">
        <f t="shared" si="17"/>
        <v>1.0416666666666685E-2</v>
      </c>
      <c r="J96" s="11">
        <v>4</v>
      </c>
      <c r="K96" s="11">
        <v>84.58</v>
      </c>
      <c r="L96" s="16">
        <f t="shared" si="18"/>
        <v>84.579999999999856</v>
      </c>
      <c r="M96" s="11"/>
      <c r="N96" s="11"/>
      <c r="O96" s="11"/>
      <c r="P96" s="11"/>
      <c r="Q96" s="11"/>
      <c r="R96" s="12"/>
      <c r="S96" s="12"/>
      <c r="T96" s="11"/>
      <c r="U96" s="11"/>
      <c r="V96" s="12">
        <v>2</v>
      </c>
      <c r="W96" s="12"/>
      <c r="X96" s="11">
        <v>15</v>
      </c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1:38" ht="25.05" customHeight="1">
      <c r="B97" s="13"/>
      <c r="C97" s="29"/>
      <c r="D97" s="30"/>
      <c r="E97" s="19"/>
      <c r="F97" s="8" t="s">
        <v>42</v>
      </c>
      <c r="G97" s="9"/>
      <c r="H97" s="9"/>
      <c r="I97" s="10"/>
      <c r="J97" s="11"/>
      <c r="K97" s="11"/>
      <c r="L97" s="16"/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1:38" ht="25.05" customHeight="1">
      <c r="B98" s="13"/>
      <c r="C98" s="29"/>
      <c r="D98" s="30" t="s">
        <v>1487</v>
      </c>
      <c r="E98" s="19" t="s">
        <v>2358</v>
      </c>
      <c r="F98" s="8" t="s">
        <v>42</v>
      </c>
      <c r="G98" s="9">
        <v>0.97083333333333333</v>
      </c>
      <c r="H98" s="9">
        <v>0.97777777777777775</v>
      </c>
      <c r="I98" s="10">
        <f t="shared" ref="I98" si="19">H98-G98</f>
        <v>6.9444444444444198E-3</v>
      </c>
      <c r="J98" s="11">
        <v>4</v>
      </c>
      <c r="K98" s="11">
        <v>29.4</v>
      </c>
      <c r="L98" s="16">
        <f t="shared" ref="L98:L99" si="20">IFERROR(((K98/(J98*I98)/24)),"0")</f>
        <v>44.100000000000158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/>
      <c r="AD98" s="11">
        <v>10</v>
      </c>
      <c r="AE98" s="11"/>
      <c r="AF98" s="11"/>
      <c r="AG98" s="11"/>
      <c r="AH98" s="11"/>
      <c r="AI98" s="11"/>
      <c r="AJ98" s="11"/>
      <c r="AK98" s="11"/>
      <c r="AL98" s="14"/>
    </row>
    <row r="99" spans="1:38" ht="25.05" customHeight="1">
      <c r="B99" s="13"/>
      <c r="C99" s="29"/>
      <c r="D99" s="30"/>
      <c r="E99" s="19"/>
      <c r="F99" s="8" t="s">
        <v>42</v>
      </c>
      <c r="G99" s="9"/>
      <c r="H99" s="9"/>
      <c r="I99" s="10">
        <v>4</v>
      </c>
      <c r="J99" s="11"/>
      <c r="K99" s="11"/>
      <c r="L99" s="16" t="str">
        <f t="shared" si="20"/>
        <v>0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1:38" s="28" customFormat="1" ht="25.5" customHeight="1">
      <c r="A100" s="2"/>
      <c r="B100" s="32"/>
      <c r="C100" s="33"/>
      <c r="D100" s="34"/>
      <c r="E100" s="35"/>
      <c r="F100" s="35"/>
      <c r="G100" s="36"/>
      <c r="H100" s="36"/>
      <c r="I100" s="37"/>
      <c r="J100" s="38"/>
      <c r="K100" s="38">
        <f t="shared" ref="K100:AJ100" si="21">SUM(K29:K99)</f>
        <v>6492.5</v>
      </c>
      <c r="L100" s="39">
        <f t="shared" si="21"/>
        <v>8284.6164901996617</v>
      </c>
      <c r="M100" s="38">
        <f t="shared" si="21"/>
        <v>0</v>
      </c>
      <c r="N100" s="38">
        <f t="shared" si="21"/>
        <v>0</v>
      </c>
      <c r="O100" s="38">
        <f t="shared" si="21"/>
        <v>0</v>
      </c>
      <c r="P100" s="38">
        <f t="shared" si="21"/>
        <v>0</v>
      </c>
      <c r="Q100" s="38">
        <f t="shared" si="21"/>
        <v>0</v>
      </c>
      <c r="R100" s="38">
        <f t="shared" si="21"/>
        <v>0</v>
      </c>
      <c r="S100" s="38">
        <f t="shared" si="21"/>
        <v>0</v>
      </c>
      <c r="T100" s="38">
        <f t="shared" si="21"/>
        <v>0</v>
      </c>
      <c r="U100" s="38">
        <f t="shared" si="21"/>
        <v>0</v>
      </c>
      <c r="V100" s="38">
        <f t="shared" si="21"/>
        <v>36</v>
      </c>
      <c r="W100" s="38">
        <f t="shared" si="21"/>
        <v>46</v>
      </c>
      <c r="X100" s="38">
        <f t="shared" si="21"/>
        <v>105</v>
      </c>
      <c r="Y100" s="38">
        <f t="shared" si="21"/>
        <v>105</v>
      </c>
      <c r="Z100" s="38">
        <f t="shared" si="21"/>
        <v>75</v>
      </c>
      <c r="AA100" s="38">
        <f t="shared" si="21"/>
        <v>90</v>
      </c>
      <c r="AB100" s="38">
        <f t="shared" si="21"/>
        <v>236</v>
      </c>
      <c r="AC100" s="38">
        <f t="shared" si="21"/>
        <v>0</v>
      </c>
      <c r="AD100" s="38">
        <f t="shared" si="21"/>
        <v>244</v>
      </c>
      <c r="AE100" s="38">
        <f t="shared" si="21"/>
        <v>0</v>
      </c>
      <c r="AF100" s="38">
        <f t="shared" si="21"/>
        <v>0</v>
      </c>
      <c r="AG100" s="38">
        <f t="shared" si="21"/>
        <v>84.5</v>
      </c>
      <c r="AH100" s="38">
        <f t="shared" si="21"/>
        <v>84.5</v>
      </c>
      <c r="AI100" s="38">
        <f t="shared" si="21"/>
        <v>84.5</v>
      </c>
      <c r="AJ100" s="38">
        <f t="shared" si="21"/>
        <v>84.5</v>
      </c>
      <c r="AK100" s="38">
        <f>SUM(AK29:AK99)</f>
        <v>0</v>
      </c>
      <c r="AL100" s="38">
        <f>SUM(AL29:AL99)</f>
        <v>0</v>
      </c>
    </row>
    <row r="101" spans="1:38" ht="38.1" customHeight="1">
      <c r="B101" s="40" t="s">
        <v>45</v>
      </c>
      <c r="C101" s="41"/>
      <c r="D101" s="41"/>
      <c r="E101" s="41"/>
      <c r="F101" s="41"/>
      <c r="G101" s="41"/>
      <c r="H101" s="41"/>
      <c r="I101" s="41"/>
      <c r="J101" s="41"/>
      <c r="K101" s="42">
        <f>K25+K28+K100</f>
        <v>7459.41</v>
      </c>
      <c r="L101" s="42">
        <f>L25+L28+L100</f>
        <v>9164.0663421824484</v>
      </c>
      <c r="M101" s="43">
        <f t="shared" ref="M101:AL101" si="22">(M25+M28+M100)/(480-15-30)</f>
        <v>0.21839080459770116</v>
      </c>
      <c r="N101" s="43">
        <f t="shared" si="22"/>
        <v>0</v>
      </c>
      <c r="O101" s="43">
        <f t="shared" si="22"/>
        <v>6.2068965517241378E-2</v>
      </c>
      <c r="P101" s="43">
        <f t="shared" si="22"/>
        <v>0</v>
      </c>
      <c r="Q101" s="43">
        <f t="shared" si="22"/>
        <v>2.0689655172413793E-2</v>
      </c>
      <c r="R101" s="43">
        <f t="shared" si="22"/>
        <v>0.2988505747126437</v>
      </c>
      <c r="S101" s="43">
        <f t="shared" si="22"/>
        <v>0.94022988505747129</v>
      </c>
      <c r="T101" s="43">
        <f t="shared" si="22"/>
        <v>0</v>
      </c>
      <c r="U101" s="43">
        <f t="shared" si="22"/>
        <v>0</v>
      </c>
      <c r="V101" s="43">
        <f t="shared" si="22"/>
        <v>8.2758620689655171E-2</v>
      </c>
      <c r="W101" s="43">
        <f t="shared" si="22"/>
        <v>0.10574712643678161</v>
      </c>
      <c r="X101" s="43">
        <f t="shared" si="22"/>
        <v>0.2413793103448276</v>
      </c>
      <c r="Y101" s="43">
        <f t="shared" si="22"/>
        <v>0.2413793103448276</v>
      </c>
      <c r="Z101" s="43">
        <f t="shared" si="22"/>
        <v>0.17241379310344829</v>
      </c>
      <c r="AA101" s="43">
        <f t="shared" si="22"/>
        <v>0.20689655172413793</v>
      </c>
      <c r="AB101" s="43">
        <f t="shared" si="22"/>
        <v>0.54252873563218396</v>
      </c>
      <c r="AC101" s="43">
        <f t="shared" si="22"/>
        <v>0</v>
      </c>
      <c r="AD101" s="43">
        <f t="shared" si="22"/>
        <v>0.56091954022988511</v>
      </c>
      <c r="AE101" s="43">
        <f t="shared" si="22"/>
        <v>0</v>
      </c>
      <c r="AF101" s="43">
        <f t="shared" si="22"/>
        <v>0</v>
      </c>
      <c r="AG101" s="43">
        <f t="shared" si="22"/>
        <v>0.19425287356321838</v>
      </c>
      <c r="AH101" s="43">
        <f t="shared" si="22"/>
        <v>0.19425287356321838</v>
      </c>
      <c r="AI101" s="43">
        <f t="shared" si="22"/>
        <v>0.19425287356321838</v>
      </c>
      <c r="AJ101" s="43">
        <f t="shared" si="22"/>
        <v>0.19425287356321838</v>
      </c>
      <c r="AK101" s="43">
        <f t="shared" si="22"/>
        <v>0</v>
      </c>
      <c r="AL101" s="43">
        <f t="shared" si="22"/>
        <v>0</v>
      </c>
    </row>
    <row r="102" spans="1:38" ht="25.05" customHeight="1">
      <c r="B102" s="44"/>
      <c r="C102" s="44"/>
      <c r="D102" s="44"/>
      <c r="E102" s="45"/>
      <c r="F102" s="45"/>
      <c r="G102" s="45"/>
      <c r="H102" s="45"/>
      <c r="I102" s="46"/>
      <c r="J102" s="46"/>
      <c r="K102" s="45"/>
      <c r="L102" s="47"/>
      <c r="M102" s="47"/>
      <c r="N102" s="47"/>
      <c r="O102" s="47"/>
      <c r="P102" s="47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  <c r="AI102" s="45"/>
      <c r="AJ102" s="45"/>
    </row>
    <row r="103" spans="1:38" ht="25.05" customHeight="1">
      <c r="B103" s="44"/>
      <c r="C103" s="44"/>
      <c r="D103" s="44"/>
      <c r="E103" s="45"/>
      <c r="F103" s="45"/>
      <c r="G103" s="45"/>
      <c r="H103" s="45"/>
      <c r="I103" s="48" t="s">
        <v>46</v>
      </c>
      <c r="J103" s="46"/>
      <c r="K103" s="45"/>
      <c r="L103" s="47"/>
      <c r="M103" s="47"/>
      <c r="N103" s="47"/>
      <c r="O103" s="47"/>
      <c r="P103" s="47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</row>
    <row r="104" spans="1:38" ht="25.05" customHeight="1">
      <c r="B104" s="44"/>
      <c r="C104" s="44"/>
      <c r="D104" s="44"/>
      <c r="E104" s="45"/>
      <c r="F104" s="45"/>
      <c r="G104" s="45"/>
      <c r="H104" s="45"/>
      <c r="I104" s="49" t="s">
        <v>47</v>
      </c>
      <c r="J104" s="9">
        <v>0</v>
      </c>
      <c r="K104" s="11">
        <v>7</v>
      </c>
      <c r="L104" s="11" t="s">
        <v>48</v>
      </c>
      <c r="M104" s="47"/>
      <c r="N104" s="14">
        <v>3</v>
      </c>
      <c r="O104" s="14"/>
      <c r="P104" s="14"/>
      <c r="Q104" s="50" t="s">
        <v>49</v>
      </c>
      <c r="R104" s="51"/>
      <c r="S104" s="45"/>
      <c r="T104" s="45"/>
      <c r="U104" s="45"/>
      <c r="V104" s="45"/>
      <c r="W104" s="45"/>
      <c r="X104" s="45"/>
      <c r="Y104" s="45"/>
      <c r="Z104" s="45"/>
      <c r="AA104" s="45"/>
      <c r="AC104" s="45"/>
      <c r="AD104" s="45"/>
      <c r="AE104" s="45"/>
      <c r="AF104" s="45"/>
      <c r="AG104" s="45"/>
      <c r="AH104" s="45"/>
    </row>
    <row r="105" spans="1:38" ht="25.05" customHeight="1">
      <c r="B105" s="44"/>
      <c r="C105" s="44"/>
      <c r="D105" s="44"/>
      <c r="E105" s="45"/>
      <c r="F105" s="45"/>
      <c r="G105" s="45"/>
      <c r="H105" s="45"/>
      <c r="I105" s="49" t="s">
        <v>50</v>
      </c>
      <c r="J105" s="9">
        <v>0</v>
      </c>
      <c r="K105" s="11">
        <v>0</v>
      </c>
      <c r="L105" s="11" t="s">
        <v>48</v>
      </c>
      <c r="M105" s="47"/>
      <c r="N105" s="14">
        <v>0</v>
      </c>
      <c r="O105" s="14"/>
      <c r="P105" s="14"/>
      <c r="Q105" s="50" t="s">
        <v>51</v>
      </c>
      <c r="R105" s="51"/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  <c r="AE105" s="45"/>
      <c r="AF105" s="45"/>
      <c r="AG105" s="45"/>
      <c r="AH105" s="45"/>
    </row>
    <row r="106" spans="1:38" ht="25.05" customHeight="1">
      <c r="B106" s="44"/>
      <c r="C106" s="44"/>
      <c r="D106" s="44"/>
      <c r="E106" s="45"/>
      <c r="F106" s="45"/>
      <c r="G106" s="45"/>
      <c r="H106" s="45"/>
      <c r="I106" s="49" t="s">
        <v>52</v>
      </c>
      <c r="J106" s="9">
        <v>0</v>
      </c>
      <c r="K106" s="11">
        <v>15</v>
      </c>
      <c r="L106" s="11" t="s">
        <v>48</v>
      </c>
      <c r="M106" s="47"/>
      <c r="N106" s="14">
        <v>1</v>
      </c>
      <c r="O106" s="14"/>
      <c r="P106" s="14"/>
      <c r="Q106" s="50" t="s">
        <v>53</v>
      </c>
      <c r="R106" s="51"/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  <c r="AE106" s="45"/>
      <c r="AF106" s="45"/>
      <c r="AG106" s="45"/>
      <c r="AH106" s="45"/>
    </row>
    <row r="107" spans="1:38" ht="25.05" customHeight="1">
      <c r="B107" s="44"/>
      <c r="C107" s="44"/>
      <c r="D107" s="44"/>
      <c r="E107" s="45"/>
      <c r="F107" s="45"/>
      <c r="G107" s="45"/>
      <c r="H107" s="45"/>
      <c r="I107" s="52" t="s">
        <v>54</v>
      </c>
      <c r="J107" s="53">
        <v>0</v>
      </c>
      <c r="K107" s="11">
        <v>2</v>
      </c>
      <c r="L107" s="54" t="s">
        <v>48</v>
      </c>
      <c r="M107" s="47"/>
      <c r="N107" s="14">
        <v>4</v>
      </c>
      <c r="O107" s="14"/>
      <c r="P107" s="14"/>
      <c r="Q107" s="50" t="s">
        <v>55</v>
      </c>
      <c r="R107" s="51"/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  <c r="AE107" s="45"/>
      <c r="AF107" s="45"/>
      <c r="AG107" s="45"/>
      <c r="AH107" s="45"/>
    </row>
    <row r="108" spans="1:38" ht="25.05" customHeight="1">
      <c r="B108" s="44"/>
      <c r="C108" s="44"/>
      <c r="D108" s="44"/>
      <c r="E108" s="45"/>
      <c r="F108" s="45"/>
      <c r="G108" s="45"/>
      <c r="H108" s="45"/>
      <c r="I108" s="49" t="s">
        <v>56</v>
      </c>
      <c r="J108" s="9">
        <v>0</v>
      </c>
      <c r="K108" s="11">
        <v>24</v>
      </c>
      <c r="L108" s="11" t="s">
        <v>48</v>
      </c>
      <c r="M108" s="47"/>
      <c r="N108"/>
      <c r="O108"/>
      <c r="P108"/>
      <c r="Q108"/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  <c r="AE108" s="45"/>
      <c r="AF108" s="45"/>
      <c r="AG108" s="45"/>
      <c r="AH108" s="45"/>
    </row>
    <row r="109" spans="1:38" ht="25.05" customHeight="1">
      <c r="B109" s="44"/>
      <c r="C109" s="44"/>
      <c r="D109" s="44"/>
      <c r="E109" s="45"/>
      <c r="F109" s="45"/>
      <c r="G109" s="45"/>
      <c r="H109" s="45"/>
      <c r="M109" s="47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  <c r="AE109" s="45"/>
      <c r="AF109" s="45"/>
      <c r="AG109" s="45"/>
      <c r="AH109" s="45"/>
    </row>
    <row r="110" spans="1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54DF2-075A-4352-BEA3-8A0C97D46D0E}">
  <sheetPr>
    <pageSetUpPr fitToPage="1"/>
  </sheetPr>
  <dimension ref="A1:AL131"/>
  <sheetViews>
    <sheetView zoomScale="70" zoomScaleNormal="70" workbookViewId="0">
      <pane xSplit="12" ySplit="3" topLeftCell="M15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73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2590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17" si="0">H4-G4</f>
        <v>2.0833333333333315E-2</v>
      </c>
      <c r="J4" s="11">
        <v>1</v>
      </c>
      <c r="K4" s="11" t="s">
        <v>42</v>
      </c>
      <c r="L4" s="16" t="str">
        <f t="shared" ref="L4:L17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2219</v>
      </c>
      <c r="E5" s="15" t="s">
        <v>2463</v>
      </c>
      <c r="F5" s="55" t="s">
        <v>87</v>
      </c>
      <c r="G5" s="9">
        <v>0.29166666666666669</v>
      </c>
      <c r="H5" s="9">
        <v>0.30208333333333331</v>
      </c>
      <c r="I5" s="10">
        <f t="shared" si="0"/>
        <v>1.041666666666663E-2</v>
      </c>
      <c r="J5" s="11">
        <v>1</v>
      </c>
      <c r="K5" s="11">
        <v>2.7</v>
      </c>
      <c r="L5" s="16">
        <f t="shared" si="1"/>
        <v>10.80000000000004</v>
      </c>
      <c r="M5" s="11">
        <v>15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 t="s">
        <v>58</v>
      </c>
      <c r="E6" s="17" t="s">
        <v>2591</v>
      </c>
      <c r="F6" s="8" t="s">
        <v>1434</v>
      </c>
      <c r="G6" s="9">
        <v>0.30555555555555558</v>
      </c>
      <c r="H6" s="9">
        <v>0.3125</v>
      </c>
      <c r="I6" s="10">
        <f t="shared" si="0"/>
        <v>6.9444444444444198E-3</v>
      </c>
      <c r="J6" s="11">
        <v>1</v>
      </c>
      <c r="K6" s="11">
        <v>22</v>
      </c>
      <c r="L6" s="16">
        <f t="shared" si="1"/>
        <v>132.00000000000048</v>
      </c>
      <c r="M6" s="11">
        <v>10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2592</v>
      </c>
      <c r="F7" s="8" t="s">
        <v>1434</v>
      </c>
      <c r="G7" s="9">
        <v>0.31388888888888888</v>
      </c>
      <c r="H7" s="9">
        <v>0.33333333333333331</v>
      </c>
      <c r="I7" s="10">
        <f t="shared" si="0"/>
        <v>1.9444444444444431E-2</v>
      </c>
      <c r="J7" s="11">
        <v>1</v>
      </c>
      <c r="K7" s="11">
        <v>137.5</v>
      </c>
      <c r="L7" s="16">
        <f t="shared" si="1"/>
        <v>294.64285714285734</v>
      </c>
      <c r="M7" s="11">
        <v>28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7" t="s">
        <v>2593</v>
      </c>
      <c r="F8" s="14" t="s">
        <v>42</v>
      </c>
      <c r="G8" s="9">
        <v>0.33680555555555558</v>
      </c>
      <c r="H8" s="9">
        <v>0.375</v>
      </c>
      <c r="I8" s="10">
        <f t="shared" si="0"/>
        <v>3.819444444444442E-2</v>
      </c>
      <c r="J8" s="11">
        <v>7</v>
      </c>
      <c r="K8" s="11">
        <v>300</v>
      </c>
      <c r="L8" s="16">
        <f t="shared" si="1"/>
        <v>46.753246753246778</v>
      </c>
      <c r="M8" s="11">
        <v>55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67" t="s">
        <v>2594</v>
      </c>
      <c r="F9" s="8" t="s">
        <v>2595</v>
      </c>
      <c r="G9" s="9">
        <v>0.29166666666666669</v>
      </c>
      <c r="H9" s="9">
        <v>0.32291666666666669</v>
      </c>
      <c r="I9" s="10">
        <f t="shared" si="0"/>
        <v>3.125E-2</v>
      </c>
      <c r="J9" s="11">
        <v>2</v>
      </c>
      <c r="K9" s="11">
        <f>74*4.03</f>
        <v>298.22000000000003</v>
      </c>
      <c r="L9" s="16">
        <f t="shared" si="1"/>
        <v>198.81333333333336</v>
      </c>
      <c r="M9" s="11"/>
      <c r="N9" s="11"/>
      <c r="O9" s="11"/>
      <c r="P9" s="11"/>
      <c r="Q9" s="11"/>
      <c r="R9" s="12"/>
      <c r="S9" s="12">
        <v>45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2596</v>
      </c>
      <c r="F10" s="55" t="s">
        <v>42</v>
      </c>
      <c r="G10" s="9">
        <v>0.29166666666666669</v>
      </c>
      <c r="H10" s="9">
        <v>0.375</v>
      </c>
      <c r="I10" s="10">
        <f t="shared" si="0"/>
        <v>8.3333333333333315E-2</v>
      </c>
      <c r="J10" s="11">
        <v>9</v>
      </c>
      <c r="K10" s="11">
        <v>45</v>
      </c>
      <c r="L10" s="16">
        <f t="shared" si="1"/>
        <v>2.5000000000000004</v>
      </c>
      <c r="M10" s="11"/>
      <c r="N10" s="11"/>
      <c r="O10" s="11"/>
      <c r="P10" s="11"/>
      <c r="Q10" s="11">
        <v>120</v>
      </c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100</v>
      </c>
      <c r="F11" s="55" t="s">
        <v>42</v>
      </c>
      <c r="G11" s="9">
        <v>0.33333333333333331</v>
      </c>
      <c r="H11" s="9">
        <v>0.35069444444444442</v>
      </c>
      <c r="I11" s="10">
        <f t="shared" si="0"/>
        <v>1.7361111111111105E-2</v>
      </c>
      <c r="J11" s="11">
        <v>2</v>
      </c>
      <c r="K11" s="11" t="s">
        <v>42</v>
      </c>
      <c r="L11" s="16" t="str">
        <f t="shared" si="1"/>
        <v>0</v>
      </c>
      <c r="M11" s="11"/>
      <c r="N11" s="11"/>
      <c r="O11" s="11"/>
      <c r="P11" s="11"/>
      <c r="Q11" s="11"/>
      <c r="R11" s="12"/>
      <c r="S11" s="12">
        <v>25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96</v>
      </c>
      <c r="F12" s="55" t="s">
        <v>42</v>
      </c>
      <c r="G12" s="9">
        <v>0.40277777777777779</v>
      </c>
      <c r="H12" s="9">
        <v>0.41666666666666669</v>
      </c>
      <c r="I12" s="10">
        <f t="shared" si="0"/>
        <v>1.3888888888888895E-2</v>
      </c>
      <c r="J12" s="11">
        <v>10</v>
      </c>
      <c r="K12" s="11" t="s">
        <v>42</v>
      </c>
      <c r="L12" s="16" t="str">
        <f t="shared" si="1"/>
        <v>0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104</v>
      </c>
      <c r="F13" s="55" t="s">
        <v>42</v>
      </c>
      <c r="G13" s="9">
        <v>0.41666666666666669</v>
      </c>
      <c r="H13" s="9">
        <v>0.45833333333333331</v>
      </c>
      <c r="I13" s="10">
        <f t="shared" si="0"/>
        <v>4.166666666666663E-2</v>
      </c>
      <c r="J13" s="11">
        <v>13</v>
      </c>
      <c r="K13" s="11" t="s">
        <v>42</v>
      </c>
      <c r="L13" s="16" t="str">
        <f t="shared" si="1"/>
        <v>0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100</v>
      </c>
      <c r="F14" s="55" t="s">
        <v>42</v>
      </c>
      <c r="G14" s="9">
        <v>0.45833333333333331</v>
      </c>
      <c r="H14" s="9">
        <v>0.4861111111111111</v>
      </c>
      <c r="I14" s="10">
        <f t="shared" si="0"/>
        <v>2.777777777777779E-2</v>
      </c>
      <c r="J14" s="11">
        <v>10</v>
      </c>
      <c r="K14" s="11">
        <v>246</v>
      </c>
      <c r="L14" s="16">
        <f t="shared" si="1"/>
        <v>36.899999999999984</v>
      </c>
      <c r="M14" s="11"/>
      <c r="N14" s="11"/>
      <c r="O14" s="11"/>
      <c r="P14" s="11"/>
      <c r="Q14" s="11"/>
      <c r="R14" s="12"/>
      <c r="S14" s="12">
        <v>40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 t="s">
        <v>94</v>
      </c>
      <c r="F15" s="55" t="s">
        <v>42</v>
      </c>
      <c r="G15" s="9">
        <v>0.5</v>
      </c>
      <c r="H15" s="9">
        <v>0.66666666666666663</v>
      </c>
      <c r="I15" s="10">
        <f t="shared" si="0"/>
        <v>0.16666666666666663</v>
      </c>
      <c r="J15" s="11">
        <v>11</v>
      </c>
      <c r="K15" s="11" t="s">
        <v>42</v>
      </c>
      <c r="L15" s="16" t="str">
        <f t="shared" si="1"/>
        <v>0</v>
      </c>
      <c r="M15" s="11"/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 t="s">
        <v>2360</v>
      </c>
      <c r="E16" s="15" t="s">
        <v>631</v>
      </c>
      <c r="F16" s="55" t="s">
        <v>42</v>
      </c>
      <c r="G16" s="9">
        <v>0.58333333333333337</v>
      </c>
      <c r="H16" s="9">
        <v>0.625</v>
      </c>
      <c r="I16" s="10">
        <f t="shared" si="0"/>
        <v>4.166666666666663E-2</v>
      </c>
      <c r="J16" s="11">
        <v>3</v>
      </c>
      <c r="K16" s="11">
        <v>808</v>
      </c>
      <c r="L16" s="16">
        <f t="shared" si="1"/>
        <v>269.33333333333354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 t="s">
        <v>96</v>
      </c>
      <c r="F17" s="55"/>
      <c r="G17" s="9">
        <v>0.625</v>
      </c>
      <c r="H17" s="9">
        <v>0.66666666666666663</v>
      </c>
      <c r="I17" s="10">
        <f t="shared" si="0"/>
        <v>4.166666666666663E-2</v>
      </c>
      <c r="J17" s="11">
        <v>11</v>
      </c>
      <c r="K17" s="11"/>
      <c r="L17" s="16">
        <f t="shared" si="1"/>
        <v>0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s="28" customFormat="1" ht="25.05" customHeight="1">
      <c r="A18" s="2"/>
      <c r="B18" s="21"/>
      <c r="C18" s="22"/>
      <c r="D18" s="23"/>
      <c r="E18" s="24"/>
      <c r="F18" s="24"/>
      <c r="G18" s="25"/>
      <c r="H18" s="25"/>
      <c r="I18" s="26"/>
      <c r="J18" s="27"/>
      <c r="K18" s="27">
        <f t="shared" ref="K18:AL18" si="2">SUM(K4:K16)</f>
        <v>1859.42</v>
      </c>
      <c r="L18" s="39">
        <f t="shared" si="2"/>
        <v>991.74277056277151</v>
      </c>
      <c r="M18" s="27">
        <f t="shared" si="2"/>
        <v>108</v>
      </c>
      <c r="N18" s="27">
        <f t="shared" si="2"/>
        <v>0</v>
      </c>
      <c r="O18" s="27">
        <f t="shared" si="2"/>
        <v>0</v>
      </c>
      <c r="P18" s="27">
        <f t="shared" si="2"/>
        <v>0</v>
      </c>
      <c r="Q18" s="27">
        <f t="shared" si="2"/>
        <v>120</v>
      </c>
      <c r="R18" s="27">
        <f t="shared" si="2"/>
        <v>0</v>
      </c>
      <c r="S18" s="27">
        <f t="shared" si="2"/>
        <v>110</v>
      </c>
      <c r="T18" s="27">
        <f t="shared" si="2"/>
        <v>0</v>
      </c>
      <c r="U18" s="27">
        <f t="shared" si="2"/>
        <v>0</v>
      </c>
      <c r="V18" s="27">
        <f t="shared" si="2"/>
        <v>0</v>
      </c>
      <c r="W18" s="27">
        <f t="shared" si="2"/>
        <v>0</v>
      </c>
      <c r="X18" s="27">
        <f t="shared" si="2"/>
        <v>0</v>
      </c>
      <c r="Y18" s="27">
        <f t="shared" si="2"/>
        <v>0</v>
      </c>
      <c r="Z18" s="27">
        <f t="shared" si="2"/>
        <v>0</v>
      </c>
      <c r="AA18" s="27">
        <f t="shared" si="2"/>
        <v>0</v>
      </c>
      <c r="AB18" s="27">
        <f t="shared" si="2"/>
        <v>0</v>
      </c>
      <c r="AC18" s="27">
        <f t="shared" si="2"/>
        <v>0</v>
      </c>
      <c r="AD18" s="27">
        <f t="shared" si="2"/>
        <v>0</v>
      </c>
      <c r="AE18" s="27">
        <f t="shared" si="2"/>
        <v>0</v>
      </c>
      <c r="AF18" s="27">
        <f t="shared" si="2"/>
        <v>0</v>
      </c>
      <c r="AG18" s="27">
        <f t="shared" si="2"/>
        <v>0</v>
      </c>
      <c r="AH18" s="27">
        <f t="shared" si="2"/>
        <v>0</v>
      </c>
      <c r="AI18" s="27">
        <f t="shared" si="2"/>
        <v>0</v>
      </c>
      <c r="AJ18" s="27">
        <f t="shared" si="2"/>
        <v>0</v>
      </c>
      <c r="AK18" s="27">
        <f t="shared" si="2"/>
        <v>0</v>
      </c>
      <c r="AL18" s="27">
        <f t="shared" si="2"/>
        <v>0</v>
      </c>
    </row>
    <row r="19" spans="1:38" ht="25.05" customHeight="1">
      <c r="B19" s="5" t="s">
        <v>2590</v>
      </c>
      <c r="C19" s="14" t="s">
        <v>43</v>
      </c>
      <c r="D19" s="6"/>
      <c r="E19" s="7" t="s">
        <v>41</v>
      </c>
      <c r="F19" s="8" t="s">
        <v>42</v>
      </c>
      <c r="G19" s="9">
        <v>0.29166666666666669</v>
      </c>
      <c r="H19" s="9">
        <v>0.33333333333333331</v>
      </c>
      <c r="I19" s="10">
        <f>H19-G19</f>
        <v>4.166666666666663E-2</v>
      </c>
      <c r="J19" s="11">
        <v>2</v>
      </c>
      <c r="K19" s="11" t="s">
        <v>42</v>
      </c>
      <c r="L19" s="16" t="str">
        <f>IFERROR(((K19/(J19*I19)/24)),"0")</f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 t="s">
        <v>2219</v>
      </c>
      <c r="E20" s="19" t="s">
        <v>105</v>
      </c>
      <c r="F20" s="8" t="s">
        <v>42</v>
      </c>
      <c r="G20" s="9">
        <v>0.33333333333333331</v>
      </c>
      <c r="H20" s="9">
        <v>0.5</v>
      </c>
      <c r="I20" s="10">
        <f t="shared" ref="I20:I24" si="3">H20-G20</f>
        <v>0.16666666666666669</v>
      </c>
      <c r="J20" s="11">
        <v>12</v>
      </c>
      <c r="K20" s="11">
        <f>225*4</f>
        <v>900</v>
      </c>
      <c r="L20" s="16">
        <f t="shared" ref="L20:L24" si="4">IFERROR(((K20/(J20*I20)/24)),"0")</f>
        <v>18.75</v>
      </c>
      <c r="M20" s="11"/>
      <c r="N20" s="11"/>
      <c r="O20" s="11"/>
      <c r="P20" s="11"/>
      <c r="Q20" s="11"/>
      <c r="R20" s="12"/>
      <c r="S20" s="12">
        <v>210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104</v>
      </c>
      <c r="F21" s="8" t="s">
        <v>42</v>
      </c>
      <c r="G21" s="9">
        <v>0.5</v>
      </c>
      <c r="H21" s="9">
        <v>0.54166666666666663</v>
      </c>
      <c r="I21" s="10">
        <f t="shared" si="3"/>
        <v>4.166666666666663E-2</v>
      </c>
      <c r="J21" s="11">
        <v>12</v>
      </c>
      <c r="K21" s="11"/>
      <c r="L21" s="16">
        <f t="shared" si="4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24" t="s">
        <v>2597</v>
      </c>
      <c r="D22" s="6" t="s">
        <v>2219</v>
      </c>
      <c r="E22" s="19" t="s">
        <v>312</v>
      </c>
      <c r="F22" s="8" t="s">
        <v>42</v>
      </c>
      <c r="G22" s="9">
        <v>0.54166666666666663</v>
      </c>
      <c r="H22" s="9">
        <v>0.72916666666666663</v>
      </c>
      <c r="I22" s="10">
        <f t="shared" si="3"/>
        <v>0.1875</v>
      </c>
      <c r="J22" s="11">
        <v>21</v>
      </c>
      <c r="K22" s="11">
        <f>225*5</f>
        <v>1125</v>
      </c>
      <c r="L22" s="16">
        <f t="shared" si="4"/>
        <v>11.904761904761905</v>
      </c>
      <c r="M22" s="11"/>
      <c r="N22" s="11"/>
      <c r="O22" s="11"/>
      <c r="P22" s="11"/>
      <c r="Q22" s="11"/>
      <c r="R22" s="12"/>
      <c r="S22" s="12">
        <v>240</v>
      </c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26" t="s">
        <v>2598</v>
      </c>
      <c r="D23" s="6"/>
      <c r="E23" s="15" t="s">
        <v>96</v>
      </c>
      <c r="F23" s="8" t="s">
        <v>42</v>
      </c>
      <c r="G23" s="9">
        <v>0.72916666666666663</v>
      </c>
      <c r="H23" s="9">
        <v>0.75</v>
      </c>
      <c r="I23" s="10">
        <f t="shared" si="3"/>
        <v>2.083333333333337E-2</v>
      </c>
      <c r="J23" s="11">
        <v>12</v>
      </c>
      <c r="K23" s="11"/>
      <c r="L23" s="16">
        <f t="shared" si="4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26" t="s">
        <v>2599</v>
      </c>
      <c r="D24" s="18"/>
      <c r="E24" s="6"/>
      <c r="F24" s="8" t="s">
        <v>42</v>
      </c>
      <c r="G24" s="9"/>
      <c r="H24" s="9"/>
      <c r="I24" s="10">
        <f t="shared" si="3"/>
        <v>0</v>
      </c>
      <c r="J24" s="11"/>
      <c r="K24" s="11"/>
      <c r="L24" s="16" t="str">
        <f t="shared" si="4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s="28" customFormat="1" ht="25.05" customHeight="1">
      <c r="A25" s="2"/>
      <c r="B25" s="21"/>
      <c r="C25" s="22"/>
      <c r="D25" s="23"/>
      <c r="E25" s="24"/>
      <c r="F25" s="22"/>
      <c r="G25" s="25"/>
      <c r="H25" s="25"/>
      <c r="I25" s="26"/>
      <c r="J25" s="27"/>
      <c r="K25" s="27">
        <f t="shared" ref="K25:AL25" si="5">SUM(K19:K24)</f>
        <v>2025</v>
      </c>
      <c r="L25" s="27">
        <f t="shared" si="5"/>
        <v>30.654761904761905</v>
      </c>
      <c r="M25" s="27">
        <f t="shared" si="5"/>
        <v>0</v>
      </c>
      <c r="N25" s="27">
        <f t="shared" si="5"/>
        <v>0</v>
      </c>
      <c r="O25" s="27">
        <f t="shared" si="5"/>
        <v>0</v>
      </c>
      <c r="P25" s="27">
        <f t="shared" si="5"/>
        <v>0</v>
      </c>
      <c r="Q25" s="27">
        <f t="shared" si="5"/>
        <v>0</v>
      </c>
      <c r="R25" s="27">
        <f t="shared" si="5"/>
        <v>0</v>
      </c>
      <c r="S25" s="27">
        <f t="shared" si="5"/>
        <v>450</v>
      </c>
      <c r="T25" s="27">
        <f t="shared" si="5"/>
        <v>0</v>
      </c>
      <c r="U25" s="27">
        <f t="shared" si="5"/>
        <v>0</v>
      </c>
      <c r="V25" s="27">
        <f t="shared" si="5"/>
        <v>0</v>
      </c>
      <c r="W25" s="27">
        <f t="shared" si="5"/>
        <v>0</v>
      </c>
      <c r="X25" s="27">
        <f t="shared" si="5"/>
        <v>0</v>
      </c>
      <c r="Y25" s="27">
        <f t="shared" si="5"/>
        <v>0</v>
      </c>
      <c r="Z25" s="27">
        <f t="shared" si="5"/>
        <v>0</v>
      </c>
      <c r="AA25" s="27">
        <f t="shared" si="5"/>
        <v>0</v>
      </c>
      <c r="AB25" s="27">
        <f t="shared" si="5"/>
        <v>0</v>
      </c>
      <c r="AC25" s="27">
        <f t="shared" si="5"/>
        <v>0</v>
      </c>
      <c r="AD25" s="27">
        <f t="shared" si="5"/>
        <v>0</v>
      </c>
      <c r="AE25" s="27">
        <f t="shared" si="5"/>
        <v>0</v>
      </c>
      <c r="AF25" s="27">
        <f t="shared" si="5"/>
        <v>0</v>
      </c>
      <c r="AG25" s="27">
        <f t="shared" si="5"/>
        <v>0</v>
      </c>
      <c r="AH25" s="27">
        <f t="shared" si="5"/>
        <v>0</v>
      </c>
      <c r="AI25" s="27">
        <f t="shared" si="5"/>
        <v>0</v>
      </c>
      <c r="AJ25" s="27">
        <f t="shared" si="5"/>
        <v>0</v>
      </c>
      <c r="AK25" s="27">
        <f t="shared" si="5"/>
        <v>0</v>
      </c>
      <c r="AL25" s="27">
        <f t="shared" si="5"/>
        <v>0</v>
      </c>
    </row>
    <row r="26" spans="1:38" ht="25.05" customHeight="1">
      <c r="B26" s="5" t="s">
        <v>2590</v>
      </c>
      <c r="C26" s="29" t="s">
        <v>44</v>
      </c>
      <c r="D26" s="30"/>
      <c r="E26" s="7" t="s">
        <v>41</v>
      </c>
      <c r="F26" s="8" t="s">
        <v>42</v>
      </c>
      <c r="G26" s="9">
        <v>0.29166666666666669</v>
      </c>
      <c r="H26" s="9">
        <v>0.3</v>
      </c>
      <c r="I26" s="10">
        <f t="shared" ref="I26:I29" si="6">H26-G26</f>
        <v>8.3333333333333037E-3</v>
      </c>
      <c r="J26" s="11">
        <v>5</v>
      </c>
      <c r="K26" s="62" t="s">
        <v>42</v>
      </c>
      <c r="L26" s="64" t="s">
        <v>42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4"/>
    </row>
    <row r="27" spans="1:38" ht="25.05" customHeight="1">
      <c r="B27" s="13"/>
      <c r="C27" s="29"/>
      <c r="D27" s="6" t="s">
        <v>2464</v>
      </c>
      <c r="E27" s="19" t="s">
        <v>562</v>
      </c>
      <c r="F27" s="8" t="s">
        <v>42</v>
      </c>
      <c r="G27" s="9">
        <v>0.3</v>
      </c>
      <c r="H27" s="9">
        <v>0.30017361111111113</v>
      </c>
      <c r="I27" s="10">
        <f t="shared" si="6"/>
        <v>1.7361111111113825E-4</v>
      </c>
      <c r="J27" s="11">
        <v>4</v>
      </c>
      <c r="K27" s="11">
        <v>67.34</v>
      </c>
      <c r="L27" s="16">
        <f t="shared" ref="L27:L29" si="7">IFERROR(((K27/(J27*I27)/24)),"0")</f>
        <v>4040.3999999993684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>
        <v>2</v>
      </c>
      <c r="X27" s="11"/>
      <c r="Y27" s="11"/>
      <c r="Z27" s="11"/>
      <c r="AA27" s="11"/>
      <c r="AB27" s="11"/>
      <c r="AC27" s="11"/>
      <c r="AD27" s="11">
        <v>1</v>
      </c>
      <c r="AE27" s="11"/>
      <c r="AF27" s="11"/>
      <c r="AG27" s="11"/>
      <c r="AH27" s="11"/>
      <c r="AI27" s="11"/>
      <c r="AJ27" s="11"/>
      <c r="AK27" s="11"/>
      <c r="AL27" s="14"/>
    </row>
    <row r="28" spans="1:38" ht="25.05" customHeight="1">
      <c r="B28" s="13"/>
      <c r="C28" s="29"/>
      <c r="D28" s="30"/>
      <c r="E28" s="19" t="s">
        <v>563</v>
      </c>
      <c r="F28" s="8" t="s">
        <v>42</v>
      </c>
      <c r="G28" s="9">
        <v>0.30763888888888891</v>
      </c>
      <c r="H28" s="9">
        <v>0.30781249999999999</v>
      </c>
      <c r="I28" s="10">
        <f t="shared" si="6"/>
        <v>1.7361111111108274E-4</v>
      </c>
      <c r="J28" s="11">
        <v>4</v>
      </c>
      <c r="K28" s="11">
        <v>67.63</v>
      </c>
      <c r="L28" s="16">
        <f t="shared" si="7"/>
        <v>4057.8000000006627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/>
      <c r="Y28" s="11"/>
      <c r="Z28" s="11"/>
      <c r="AA28" s="11"/>
      <c r="AB28" s="11"/>
      <c r="AC28" s="11"/>
      <c r="AD28" s="11">
        <v>1</v>
      </c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30"/>
      <c r="E29" s="19" t="s">
        <v>564</v>
      </c>
      <c r="F29" s="8" t="s">
        <v>42</v>
      </c>
      <c r="G29" s="9">
        <v>0.31180555555555556</v>
      </c>
      <c r="H29" s="9">
        <v>0.31197916666666664</v>
      </c>
      <c r="I29" s="10">
        <f t="shared" si="6"/>
        <v>1.7361111111108274E-4</v>
      </c>
      <c r="J29" s="11">
        <v>4</v>
      </c>
      <c r="K29" s="11">
        <v>68.58</v>
      </c>
      <c r="L29" s="16">
        <f t="shared" si="7"/>
        <v>4114.8000000006723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>
        <v>2</v>
      </c>
      <c r="X29" s="11"/>
      <c r="Y29" s="11"/>
      <c r="Z29" s="11"/>
      <c r="AA29" s="11"/>
      <c r="AB29" s="11"/>
      <c r="AC29" s="11"/>
      <c r="AD29" s="11">
        <v>1</v>
      </c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565</v>
      </c>
      <c r="F30" s="8" t="s">
        <v>42</v>
      </c>
      <c r="G30" s="9">
        <v>0.31666666666666665</v>
      </c>
      <c r="H30" s="9">
        <v>0.31684027777777779</v>
      </c>
      <c r="I30" s="10">
        <f t="shared" ref="I30:I93" si="8">H30-G30</f>
        <v>1.7361111111113825E-4</v>
      </c>
      <c r="J30" s="11">
        <v>4</v>
      </c>
      <c r="K30" s="11">
        <v>70.25</v>
      </c>
      <c r="L30" s="16">
        <f t="shared" ref="L30:L93" si="9">IFERROR(((K30/(J30*I30)/24)),"0")</f>
        <v>4214.9999999993406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>
        <v>2</v>
      </c>
      <c r="X30" s="11"/>
      <c r="Y30" s="11"/>
      <c r="Z30" s="11"/>
      <c r="AA30" s="11"/>
      <c r="AB30" s="11"/>
      <c r="AC30" s="11"/>
      <c r="AD30" s="11">
        <v>1</v>
      </c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566</v>
      </c>
      <c r="F31" s="8" t="s">
        <v>42</v>
      </c>
      <c r="G31" s="9">
        <v>0.3215277777777778</v>
      </c>
      <c r="H31" s="9">
        <v>0.32170138888888888</v>
      </c>
      <c r="I31" s="10">
        <f t="shared" si="8"/>
        <v>1.7361111111108274E-4</v>
      </c>
      <c r="J31" s="11">
        <v>4</v>
      </c>
      <c r="K31" s="11">
        <v>67.08</v>
      </c>
      <c r="L31" s="16">
        <f t="shared" si="9"/>
        <v>4024.8000000006577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2</v>
      </c>
      <c r="X31" s="11"/>
      <c r="Y31" s="11"/>
      <c r="Z31" s="11"/>
      <c r="AA31" s="11"/>
      <c r="AB31" s="11"/>
      <c r="AC31" s="11"/>
      <c r="AD31" s="11">
        <v>1</v>
      </c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636</v>
      </c>
      <c r="F32" s="8" t="s">
        <v>42</v>
      </c>
      <c r="G32" s="9">
        <v>0.3263888888888889</v>
      </c>
      <c r="H32" s="9">
        <v>0.32656249999999998</v>
      </c>
      <c r="I32" s="10">
        <f t="shared" si="8"/>
        <v>1.7361111111108274E-4</v>
      </c>
      <c r="J32" s="11">
        <v>4</v>
      </c>
      <c r="K32" s="11">
        <v>70.09</v>
      </c>
      <c r="L32" s="16">
        <f t="shared" si="9"/>
        <v>4205.4000000006872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2</v>
      </c>
      <c r="X32" s="11"/>
      <c r="Y32" s="11"/>
      <c r="Z32" s="11"/>
      <c r="AA32" s="11"/>
      <c r="AB32" s="11"/>
      <c r="AC32" s="11"/>
      <c r="AD32" s="11">
        <v>1</v>
      </c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637</v>
      </c>
      <c r="F33" s="8" t="s">
        <v>42</v>
      </c>
      <c r="G33" s="9">
        <v>0.34513888888888888</v>
      </c>
      <c r="H33" s="9">
        <v>0.34531250000000002</v>
      </c>
      <c r="I33" s="10">
        <f t="shared" si="8"/>
        <v>1.7361111111113825E-4</v>
      </c>
      <c r="J33" s="11">
        <v>4</v>
      </c>
      <c r="K33" s="11">
        <v>69.11</v>
      </c>
      <c r="L33" s="16">
        <f t="shared" si="9"/>
        <v>4146.5999999993519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/>
      <c r="Y33" s="11"/>
      <c r="Z33" s="11"/>
      <c r="AA33" s="11"/>
      <c r="AB33" s="11"/>
      <c r="AC33" s="11"/>
      <c r="AD33" s="11">
        <v>1</v>
      </c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638</v>
      </c>
      <c r="F34" s="8" t="s">
        <v>42</v>
      </c>
      <c r="G34" s="9">
        <v>0.35069444444444442</v>
      </c>
      <c r="H34" s="9">
        <v>0.35086805555555556</v>
      </c>
      <c r="I34" s="10">
        <f t="shared" si="8"/>
        <v>1.7361111111113825E-4</v>
      </c>
      <c r="J34" s="11">
        <v>4</v>
      </c>
      <c r="K34" s="11">
        <v>66.900000000000006</v>
      </c>
      <c r="L34" s="16">
        <f t="shared" si="9"/>
        <v>4013.9999999993729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/>
      <c r="AA34" s="11"/>
      <c r="AB34" s="11"/>
      <c r="AC34" s="11"/>
      <c r="AD34" s="11">
        <v>1</v>
      </c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639</v>
      </c>
      <c r="F35" s="8" t="s">
        <v>42</v>
      </c>
      <c r="G35" s="9">
        <v>0.35833333333333334</v>
      </c>
      <c r="H35" s="9">
        <v>0.35850694444444442</v>
      </c>
      <c r="I35" s="10">
        <f t="shared" si="8"/>
        <v>1.7361111111108274E-4</v>
      </c>
      <c r="J35" s="11">
        <v>4</v>
      </c>
      <c r="K35" s="11">
        <v>70.400000000000006</v>
      </c>
      <c r="L35" s="16">
        <f t="shared" si="9"/>
        <v>4224.0000000006903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/>
      <c r="AA35" s="11"/>
      <c r="AB35" s="11"/>
      <c r="AC35" s="11"/>
      <c r="AD35" s="11">
        <v>1</v>
      </c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640</v>
      </c>
      <c r="F36" s="8" t="s">
        <v>42</v>
      </c>
      <c r="G36" s="9">
        <v>0.36666666666666664</v>
      </c>
      <c r="H36" s="9">
        <v>0.36684027777777778</v>
      </c>
      <c r="I36" s="10">
        <f t="shared" si="8"/>
        <v>1.7361111111113825E-4</v>
      </c>
      <c r="J36" s="11">
        <v>4</v>
      </c>
      <c r="K36" s="11">
        <v>69.48</v>
      </c>
      <c r="L36" s="16">
        <f t="shared" si="9"/>
        <v>4168.799999999349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/>
      <c r="AB36" s="11"/>
      <c r="AC36" s="11"/>
      <c r="AD36" s="11">
        <v>1</v>
      </c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641</v>
      </c>
      <c r="F37" s="8" t="s">
        <v>42</v>
      </c>
      <c r="G37" s="9">
        <v>0.38055555555555554</v>
      </c>
      <c r="H37" s="9">
        <v>0.38072916666666667</v>
      </c>
      <c r="I37" s="10">
        <f t="shared" si="8"/>
        <v>1.7361111111113825E-4</v>
      </c>
      <c r="J37" s="11">
        <v>4</v>
      </c>
      <c r="K37" s="11">
        <v>68.430000000000007</v>
      </c>
      <c r="L37" s="16">
        <f t="shared" si="9"/>
        <v>4105.7999999993581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/>
      <c r="AD37" s="11">
        <v>1</v>
      </c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642</v>
      </c>
      <c r="F38" s="8" t="s">
        <v>42</v>
      </c>
      <c r="G38" s="9">
        <v>0.39583333333333331</v>
      </c>
      <c r="H38" s="9">
        <v>0.39600694444444445</v>
      </c>
      <c r="I38" s="10">
        <f t="shared" si="8"/>
        <v>1.7361111111113825E-4</v>
      </c>
      <c r="J38" s="11">
        <v>4</v>
      </c>
      <c r="K38" s="11">
        <v>74.58</v>
      </c>
      <c r="L38" s="16">
        <f t="shared" si="9"/>
        <v>4474.7999999992999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/>
      <c r="AC38" s="11"/>
      <c r="AD38" s="11">
        <v>1</v>
      </c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2492</v>
      </c>
      <c r="F39" s="8" t="s">
        <v>42</v>
      </c>
      <c r="G39" s="9">
        <v>0.32013888888888886</v>
      </c>
      <c r="H39" s="9">
        <v>0.35138888888888886</v>
      </c>
      <c r="I39" s="10">
        <f t="shared" si="8"/>
        <v>3.125E-2</v>
      </c>
      <c r="J39" s="11">
        <v>4</v>
      </c>
      <c r="K39" s="11">
        <f>3.806*20</f>
        <v>76.12</v>
      </c>
      <c r="L39" s="16">
        <f t="shared" si="9"/>
        <v>25.373333333333335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2</v>
      </c>
      <c r="X39" s="11">
        <v>45</v>
      </c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2493</v>
      </c>
      <c r="F40" s="8" t="s">
        <v>42</v>
      </c>
      <c r="G40" s="9">
        <v>0.32708333333333334</v>
      </c>
      <c r="H40" s="9">
        <v>0.35833333333333334</v>
      </c>
      <c r="I40" s="10">
        <f t="shared" si="8"/>
        <v>3.125E-2</v>
      </c>
      <c r="J40" s="11">
        <v>4</v>
      </c>
      <c r="K40" s="11">
        <f t="shared" ref="K40:K62" si="10">3.806*20</f>
        <v>76.12</v>
      </c>
      <c r="L40" s="16">
        <f t="shared" si="9"/>
        <v>25.373333333333335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>
        <v>45</v>
      </c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2494</v>
      </c>
      <c r="F41" s="8" t="s">
        <v>42</v>
      </c>
      <c r="G41" s="9">
        <v>0.33333333333333331</v>
      </c>
      <c r="H41" s="9">
        <v>0.36458333333333331</v>
      </c>
      <c r="I41" s="10">
        <f t="shared" si="8"/>
        <v>3.125E-2</v>
      </c>
      <c r="J41" s="11">
        <v>4</v>
      </c>
      <c r="K41" s="11">
        <f>3.806*5</f>
        <v>19.03</v>
      </c>
      <c r="L41" s="16">
        <f t="shared" si="9"/>
        <v>6.3433333333333337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>
        <v>45</v>
      </c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2495</v>
      </c>
      <c r="F42" s="8" t="s">
        <v>42</v>
      </c>
      <c r="G42" s="9">
        <v>0.33333333333333331</v>
      </c>
      <c r="H42" s="9">
        <v>0.36458333333333331</v>
      </c>
      <c r="I42" s="10">
        <f t="shared" si="8"/>
        <v>3.125E-2</v>
      </c>
      <c r="J42" s="11">
        <v>4</v>
      </c>
      <c r="K42" s="11">
        <f>3.806*15</f>
        <v>57.09</v>
      </c>
      <c r="L42" s="16">
        <f t="shared" si="9"/>
        <v>19.03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>
        <v>45</v>
      </c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2496</v>
      </c>
      <c r="F43" s="8" t="s">
        <v>42</v>
      </c>
      <c r="G43" s="9">
        <v>0.34097222222222223</v>
      </c>
      <c r="H43" s="9">
        <v>0.37222222222222223</v>
      </c>
      <c r="I43" s="10">
        <f t="shared" si="8"/>
        <v>3.125E-2</v>
      </c>
      <c r="J43" s="11">
        <v>4</v>
      </c>
      <c r="K43" s="11">
        <f t="shared" si="10"/>
        <v>76.12</v>
      </c>
      <c r="L43" s="16">
        <f t="shared" si="9"/>
        <v>25.373333333333335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/>
      <c r="AA43" s="11">
        <v>45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2497</v>
      </c>
      <c r="F44" s="8" t="s">
        <v>42</v>
      </c>
      <c r="G44" s="9">
        <v>0.3659722222222222</v>
      </c>
      <c r="H44" s="9">
        <v>0.3972222222222222</v>
      </c>
      <c r="I44" s="10">
        <f t="shared" si="8"/>
        <v>3.125E-2</v>
      </c>
      <c r="J44" s="11">
        <v>4</v>
      </c>
      <c r="K44" s="11">
        <f>3.806*10</f>
        <v>38.06</v>
      </c>
      <c r="L44" s="16">
        <f t="shared" si="9"/>
        <v>12.686666666666667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45</v>
      </c>
      <c r="X44" s="11">
        <v>45</v>
      </c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2498</v>
      </c>
      <c r="F45" s="8" t="s">
        <v>42</v>
      </c>
      <c r="G45" s="9">
        <v>0.3659722222222222</v>
      </c>
      <c r="H45" s="9">
        <v>0.3972222222222222</v>
      </c>
      <c r="I45" s="10">
        <f t="shared" si="8"/>
        <v>3.125E-2</v>
      </c>
      <c r="J45" s="11">
        <v>4</v>
      </c>
      <c r="K45" s="11">
        <f>3.806*10</f>
        <v>38.06</v>
      </c>
      <c r="L45" s="16">
        <f t="shared" si="9"/>
        <v>12.686666666666667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2</v>
      </c>
      <c r="X45" s="11">
        <v>45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2499</v>
      </c>
      <c r="F46" s="8" t="s">
        <v>42</v>
      </c>
      <c r="G46" s="9">
        <v>0.37222222222222223</v>
      </c>
      <c r="H46" s="9">
        <v>0.40347222222222223</v>
      </c>
      <c r="I46" s="10">
        <f t="shared" si="8"/>
        <v>3.125E-2</v>
      </c>
      <c r="J46" s="11">
        <v>4</v>
      </c>
      <c r="K46" s="11">
        <f t="shared" si="10"/>
        <v>76.12</v>
      </c>
      <c r="L46" s="16">
        <f t="shared" si="9"/>
        <v>25.373333333333335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>
        <v>45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2500</v>
      </c>
      <c r="F47" s="8" t="s">
        <v>42</v>
      </c>
      <c r="G47" s="9">
        <v>0.37777777777777777</v>
      </c>
      <c r="H47" s="9">
        <v>0.40902777777777777</v>
      </c>
      <c r="I47" s="10">
        <f t="shared" si="8"/>
        <v>3.125E-2</v>
      </c>
      <c r="J47" s="11">
        <v>4</v>
      </c>
      <c r="K47" s="11">
        <f>3.806*15</f>
        <v>57.09</v>
      </c>
      <c r="L47" s="16">
        <f t="shared" si="9"/>
        <v>19.03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/>
      <c r="Y47" s="11"/>
      <c r="Z47" s="11">
        <v>45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2501</v>
      </c>
      <c r="F48" s="8" t="s">
        <v>42</v>
      </c>
      <c r="G48" s="9">
        <v>0.37777777777777777</v>
      </c>
      <c r="H48" s="9">
        <v>0.40902777777777777</v>
      </c>
      <c r="I48" s="10">
        <f t="shared" si="8"/>
        <v>3.125E-2</v>
      </c>
      <c r="J48" s="11">
        <v>4</v>
      </c>
      <c r="K48" s="11">
        <f>3.806*5</f>
        <v>19.03</v>
      </c>
      <c r="L48" s="16">
        <f t="shared" si="9"/>
        <v>6.3433333333333337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/>
      <c r="Y48" s="11"/>
      <c r="Z48" s="11">
        <v>45</v>
      </c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2502</v>
      </c>
      <c r="F49" s="8" t="s">
        <v>42</v>
      </c>
      <c r="G49" s="9">
        <v>0.38680555555555557</v>
      </c>
      <c r="H49" s="9">
        <v>0.41805555555555557</v>
      </c>
      <c r="I49" s="10">
        <f t="shared" si="8"/>
        <v>3.125E-2</v>
      </c>
      <c r="J49" s="11">
        <v>4</v>
      </c>
      <c r="K49" s="11">
        <f>3.806*20</f>
        <v>76.12</v>
      </c>
      <c r="L49" s="16">
        <f t="shared" si="9"/>
        <v>25.373333333333335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>
        <v>45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2503</v>
      </c>
      <c r="F50" s="8" t="s">
        <v>42</v>
      </c>
      <c r="G50" s="9">
        <v>0.40694444444444444</v>
      </c>
      <c r="H50" s="9">
        <v>0.43819444444444444</v>
      </c>
      <c r="I50" s="10">
        <f t="shared" si="8"/>
        <v>3.125E-2</v>
      </c>
      <c r="J50" s="11">
        <v>4</v>
      </c>
      <c r="K50" s="11">
        <f t="shared" si="10"/>
        <v>76.12</v>
      </c>
      <c r="L50" s="16">
        <f t="shared" si="9"/>
        <v>25.373333333333335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2</v>
      </c>
      <c r="X50" s="11">
        <v>45</v>
      </c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2504</v>
      </c>
      <c r="F51" s="8" t="s">
        <v>42</v>
      </c>
      <c r="G51" s="9">
        <v>0.42152777777777778</v>
      </c>
      <c r="H51" s="9">
        <v>0.45277777777777778</v>
      </c>
      <c r="I51" s="10">
        <f t="shared" si="8"/>
        <v>3.125E-2</v>
      </c>
      <c r="J51" s="11">
        <v>4</v>
      </c>
      <c r="K51" s="11">
        <f t="shared" si="10"/>
        <v>76.12</v>
      </c>
      <c r="L51" s="16">
        <f t="shared" si="9"/>
        <v>25.373333333333335</v>
      </c>
      <c r="M51" s="11"/>
      <c r="N51" s="11"/>
      <c r="O51" s="11"/>
      <c r="P51" s="11"/>
      <c r="Q51" s="11"/>
      <c r="R51" s="12"/>
      <c r="S51" s="12"/>
      <c r="T51" s="11"/>
      <c r="U51" s="11"/>
      <c r="V51" s="12">
        <v>2</v>
      </c>
      <c r="W51" s="12"/>
      <c r="X51" s="11"/>
      <c r="Y51" s="11"/>
      <c r="Z51" s="11">
        <v>45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2505</v>
      </c>
      <c r="F52" s="8" t="s">
        <v>42</v>
      </c>
      <c r="G52" s="9">
        <v>0.42638888888888887</v>
      </c>
      <c r="H52" s="9">
        <v>0.45763888888888887</v>
      </c>
      <c r="I52" s="10">
        <f t="shared" si="8"/>
        <v>3.125E-2</v>
      </c>
      <c r="J52" s="11">
        <v>4</v>
      </c>
      <c r="K52" s="11">
        <f t="shared" si="10"/>
        <v>76.12</v>
      </c>
      <c r="L52" s="16">
        <f t="shared" si="9"/>
        <v>25.373333333333335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>
        <v>45</v>
      </c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2506</v>
      </c>
      <c r="F53" s="8" t="s">
        <v>42</v>
      </c>
      <c r="G53" s="9">
        <v>0.43194444444444446</v>
      </c>
      <c r="H53" s="9">
        <v>0.46319444444444446</v>
      </c>
      <c r="I53" s="10">
        <f t="shared" si="8"/>
        <v>3.125E-2</v>
      </c>
      <c r="J53" s="11">
        <v>4</v>
      </c>
      <c r="K53" s="11">
        <f>3.806*5</f>
        <v>19.03</v>
      </c>
      <c r="L53" s="16">
        <f t="shared" si="9"/>
        <v>6.3433333333333337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2</v>
      </c>
      <c r="W53" s="12"/>
      <c r="X53" s="11"/>
      <c r="Y53" s="11"/>
      <c r="Z53" s="11"/>
      <c r="AA53" s="11">
        <v>45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2507</v>
      </c>
      <c r="F54" s="8" t="s">
        <v>42</v>
      </c>
      <c r="G54" s="9">
        <v>0.43194444444444446</v>
      </c>
      <c r="H54" s="9">
        <v>0.46319444444444446</v>
      </c>
      <c r="I54" s="10">
        <f t="shared" si="8"/>
        <v>3.125E-2</v>
      </c>
      <c r="J54" s="11">
        <v>4</v>
      </c>
      <c r="K54" s="11">
        <f>3.806*15</f>
        <v>57.09</v>
      </c>
      <c r="L54" s="16">
        <f t="shared" si="9"/>
        <v>19.03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>
        <v>45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2508</v>
      </c>
      <c r="F55" s="8" t="s">
        <v>42</v>
      </c>
      <c r="G55" s="9">
        <v>0.44583333333333336</v>
      </c>
      <c r="H55" s="9">
        <v>0.47708333333333336</v>
      </c>
      <c r="I55" s="10">
        <f t="shared" si="8"/>
        <v>3.125E-2</v>
      </c>
      <c r="J55" s="11">
        <v>4</v>
      </c>
      <c r="K55" s="11">
        <f t="shared" si="10"/>
        <v>76.12</v>
      </c>
      <c r="L55" s="16">
        <f t="shared" si="9"/>
        <v>25.373333333333335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2</v>
      </c>
      <c r="W55" s="12"/>
      <c r="X55" s="11">
        <v>45</v>
      </c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2509</v>
      </c>
      <c r="F56" s="8" t="s">
        <v>42</v>
      </c>
      <c r="G56" s="9">
        <v>0.45416666666666666</v>
      </c>
      <c r="H56" s="9">
        <v>0.48541666666666666</v>
      </c>
      <c r="I56" s="10">
        <f t="shared" si="8"/>
        <v>3.125E-2</v>
      </c>
      <c r="J56" s="11">
        <v>4</v>
      </c>
      <c r="K56" s="11">
        <f>3.806*10</f>
        <v>38.06</v>
      </c>
      <c r="L56" s="16">
        <f t="shared" si="9"/>
        <v>12.686666666666667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2</v>
      </c>
      <c r="X56" s="11"/>
      <c r="Y56" s="11"/>
      <c r="Z56" s="11">
        <v>45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2510</v>
      </c>
      <c r="F57" s="8" t="s">
        <v>42</v>
      </c>
      <c r="G57" s="9">
        <v>0.45416666666666666</v>
      </c>
      <c r="H57" s="9">
        <v>0.48541666666666666</v>
      </c>
      <c r="I57" s="10">
        <f t="shared" si="8"/>
        <v>3.125E-2</v>
      </c>
      <c r="J57" s="11">
        <v>4</v>
      </c>
      <c r="K57" s="11">
        <f>3.806*10</f>
        <v>38.06</v>
      </c>
      <c r="L57" s="16">
        <f t="shared" si="9"/>
        <v>12.686666666666667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/>
      <c r="Z57" s="11">
        <v>45</v>
      </c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2511</v>
      </c>
      <c r="F58" s="8" t="s">
        <v>42</v>
      </c>
      <c r="G58" s="9">
        <v>0.53680555555555554</v>
      </c>
      <c r="H58" s="9">
        <v>0.56805555555555554</v>
      </c>
      <c r="I58" s="10">
        <f t="shared" si="8"/>
        <v>3.125E-2</v>
      </c>
      <c r="J58" s="11">
        <v>4</v>
      </c>
      <c r="K58" s="11">
        <f t="shared" si="10"/>
        <v>76.12</v>
      </c>
      <c r="L58" s="16">
        <f t="shared" si="9"/>
        <v>25.373333333333335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>
        <v>45</v>
      </c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2512</v>
      </c>
      <c r="F59" s="8" t="s">
        <v>42</v>
      </c>
      <c r="G59" s="9">
        <v>0.54166666666666663</v>
      </c>
      <c r="H59" s="9">
        <v>0.57291666666666663</v>
      </c>
      <c r="I59" s="10">
        <f t="shared" si="8"/>
        <v>3.125E-2</v>
      </c>
      <c r="J59" s="11">
        <v>4</v>
      </c>
      <c r="K59" s="11">
        <f>3.806*15</f>
        <v>57.09</v>
      </c>
      <c r="L59" s="16">
        <f t="shared" si="9"/>
        <v>19.03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>
        <v>45</v>
      </c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2513</v>
      </c>
      <c r="F60" s="8" t="s">
        <v>42</v>
      </c>
      <c r="G60" s="9">
        <v>0.54166666666666663</v>
      </c>
      <c r="H60" s="9">
        <v>0.57291666666666663</v>
      </c>
      <c r="I60" s="10">
        <f t="shared" si="8"/>
        <v>3.125E-2</v>
      </c>
      <c r="J60" s="11">
        <v>4</v>
      </c>
      <c r="K60" s="11">
        <f>3.806*5</f>
        <v>19.03</v>
      </c>
      <c r="L60" s="16">
        <f t="shared" si="9"/>
        <v>6.3433333333333337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2</v>
      </c>
      <c r="X60" s="11">
        <v>45</v>
      </c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2514</v>
      </c>
      <c r="F61" s="8" t="s">
        <v>42</v>
      </c>
      <c r="G61" s="9">
        <v>0.54652777777777772</v>
      </c>
      <c r="H61" s="9">
        <v>0.57777777777777772</v>
      </c>
      <c r="I61" s="10">
        <f t="shared" si="8"/>
        <v>3.125E-2</v>
      </c>
      <c r="J61" s="11">
        <v>4</v>
      </c>
      <c r="K61" s="11">
        <f t="shared" si="10"/>
        <v>76.12</v>
      </c>
      <c r="L61" s="16">
        <f t="shared" si="9"/>
        <v>25.373333333333335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2</v>
      </c>
      <c r="W61" s="12"/>
      <c r="X61" s="11"/>
      <c r="Y61" s="11"/>
      <c r="Z61" s="11">
        <v>45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2515</v>
      </c>
      <c r="F62" s="8" t="s">
        <v>42</v>
      </c>
      <c r="G62" s="9">
        <v>0.55069444444444449</v>
      </c>
      <c r="H62" s="9">
        <v>0.58194444444444449</v>
      </c>
      <c r="I62" s="10">
        <f t="shared" si="8"/>
        <v>3.125E-2</v>
      </c>
      <c r="J62" s="11">
        <v>4</v>
      </c>
      <c r="K62" s="11">
        <f t="shared" si="10"/>
        <v>76.12</v>
      </c>
      <c r="L62" s="16">
        <f t="shared" si="9"/>
        <v>25.373333333333335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2</v>
      </c>
      <c r="X62" s="11"/>
      <c r="Y62" s="11"/>
      <c r="Z62" s="11"/>
      <c r="AA62" s="11">
        <v>45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/>
      <c r="F63" s="8"/>
      <c r="G63" s="9"/>
      <c r="H63" s="9"/>
      <c r="I63" s="10"/>
      <c r="J63" s="11"/>
      <c r="K63" s="11"/>
      <c r="L63" s="16"/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 t="s">
        <v>58</v>
      </c>
      <c r="E64" s="19" t="s">
        <v>324</v>
      </c>
      <c r="F64" s="8" t="s">
        <v>42</v>
      </c>
      <c r="G64" s="9">
        <v>0.41319444444444442</v>
      </c>
      <c r="H64" s="9">
        <v>0.4152777777777778</v>
      </c>
      <c r="I64" s="10">
        <f t="shared" si="8"/>
        <v>2.0833333333333814E-3</v>
      </c>
      <c r="J64" s="11">
        <v>8</v>
      </c>
      <c r="K64" s="11">
        <v>56.62</v>
      </c>
      <c r="L64" s="16">
        <f t="shared" si="9"/>
        <v>141.54999999999674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3</v>
      </c>
      <c r="X64" s="11"/>
      <c r="Y64" s="11"/>
      <c r="Z64" s="11"/>
      <c r="AA64" s="11"/>
      <c r="AB64" s="11"/>
      <c r="AC64" s="11"/>
      <c r="AD64" s="11">
        <v>3</v>
      </c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325</v>
      </c>
      <c r="F65" s="8" t="s">
        <v>42</v>
      </c>
      <c r="G65" s="9">
        <v>0.41666666666666669</v>
      </c>
      <c r="H65" s="9">
        <v>0.41875000000000001</v>
      </c>
      <c r="I65" s="10">
        <f t="shared" si="8"/>
        <v>2.0833333333333259E-3</v>
      </c>
      <c r="J65" s="11">
        <v>8</v>
      </c>
      <c r="K65" s="11">
        <v>56.53</v>
      </c>
      <c r="L65" s="16">
        <f t="shared" si="9"/>
        <v>141.3250000000005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3</v>
      </c>
      <c r="X65" s="11"/>
      <c r="Y65" s="11"/>
      <c r="Z65" s="11"/>
      <c r="AA65" s="11"/>
      <c r="AB65" s="11">
        <v>3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327</v>
      </c>
      <c r="F66" s="8" t="s">
        <v>42</v>
      </c>
      <c r="G66" s="9">
        <v>0.42430555555555555</v>
      </c>
      <c r="H66" s="9">
        <v>0.42638888888888887</v>
      </c>
      <c r="I66" s="10">
        <f t="shared" si="8"/>
        <v>2.0833333333333259E-3</v>
      </c>
      <c r="J66" s="11">
        <v>8</v>
      </c>
      <c r="K66" s="11">
        <v>57.3</v>
      </c>
      <c r="L66" s="16">
        <f t="shared" si="9"/>
        <v>143.25000000000048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3</v>
      </c>
      <c r="W66" s="12"/>
      <c r="X66" s="11"/>
      <c r="Y66" s="11"/>
      <c r="Z66" s="11"/>
      <c r="AA66" s="11"/>
      <c r="AB66" s="11"/>
      <c r="AC66" s="11"/>
      <c r="AD66" s="11">
        <v>3</v>
      </c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328</v>
      </c>
      <c r="F67" s="8" t="s">
        <v>42</v>
      </c>
      <c r="G67" s="9">
        <v>0.4284722222222222</v>
      </c>
      <c r="H67" s="9">
        <v>0.43055555555555558</v>
      </c>
      <c r="I67" s="10">
        <f t="shared" si="8"/>
        <v>2.0833333333333814E-3</v>
      </c>
      <c r="J67" s="11">
        <v>8</v>
      </c>
      <c r="K67" s="11">
        <v>56.11</v>
      </c>
      <c r="L67" s="16">
        <f t="shared" si="9"/>
        <v>140.27499999999677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3</v>
      </c>
      <c r="X67" s="11"/>
      <c r="Y67" s="11"/>
      <c r="Z67" s="11"/>
      <c r="AA67" s="11"/>
      <c r="AB67" s="11">
        <v>3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330</v>
      </c>
      <c r="F68" s="8" t="s">
        <v>42</v>
      </c>
      <c r="G68" s="9">
        <v>0.43333333333333335</v>
      </c>
      <c r="H68" s="9">
        <v>0.43541666666666667</v>
      </c>
      <c r="I68" s="10">
        <f t="shared" si="8"/>
        <v>2.0833333333333259E-3</v>
      </c>
      <c r="J68" s="11">
        <v>8</v>
      </c>
      <c r="K68" s="11">
        <v>57.02</v>
      </c>
      <c r="L68" s="16">
        <f t="shared" si="9"/>
        <v>142.55000000000052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3</v>
      </c>
      <c r="X68" s="11"/>
      <c r="Y68" s="11"/>
      <c r="Z68" s="11"/>
      <c r="AA68" s="11"/>
      <c r="AB68" s="11"/>
      <c r="AC68" s="11"/>
      <c r="AD68" s="11">
        <v>3</v>
      </c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331</v>
      </c>
      <c r="F69" s="8" t="s">
        <v>42</v>
      </c>
      <c r="G69" s="9">
        <v>0.44236111111111109</v>
      </c>
      <c r="H69" s="9">
        <v>0.44444444444444442</v>
      </c>
      <c r="I69" s="10">
        <f t="shared" si="8"/>
        <v>2.0833333333333259E-3</v>
      </c>
      <c r="J69" s="11">
        <v>8</v>
      </c>
      <c r="K69" s="11">
        <v>57.55</v>
      </c>
      <c r="L69" s="16">
        <f t="shared" si="9"/>
        <v>143.87500000000051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3</v>
      </c>
      <c r="W69" s="12"/>
      <c r="X69" s="11"/>
      <c r="Y69" s="11"/>
      <c r="Z69" s="11"/>
      <c r="AA69" s="11"/>
      <c r="AB69" s="11"/>
      <c r="AC69" s="11"/>
      <c r="AD69" s="11">
        <v>3</v>
      </c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333</v>
      </c>
      <c r="F70" s="8" t="s">
        <v>42</v>
      </c>
      <c r="G70" s="9">
        <v>0.44722222222222224</v>
      </c>
      <c r="H70" s="9">
        <v>0.44930555555555557</v>
      </c>
      <c r="I70" s="10">
        <f t="shared" si="8"/>
        <v>2.0833333333333259E-3</v>
      </c>
      <c r="J70" s="11">
        <v>8</v>
      </c>
      <c r="K70" s="11">
        <v>55.61</v>
      </c>
      <c r="L70" s="16">
        <f t="shared" si="9"/>
        <v>139.02500000000049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3</v>
      </c>
      <c r="X70" s="11"/>
      <c r="Y70" s="11"/>
      <c r="Z70" s="11"/>
      <c r="AA70" s="11"/>
      <c r="AB70" s="11">
        <v>3</v>
      </c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334</v>
      </c>
      <c r="F71" s="8" t="s">
        <v>42</v>
      </c>
      <c r="G71" s="9">
        <v>0.4513888888888889</v>
      </c>
      <c r="H71" s="9">
        <v>0.45347222222222222</v>
      </c>
      <c r="I71" s="10">
        <f t="shared" si="8"/>
        <v>2.0833333333333259E-3</v>
      </c>
      <c r="J71" s="11">
        <v>8</v>
      </c>
      <c r="K71" s="11">
        <v>56.72</v>
      </c>
      <c r="L71" s="16">
        <f t="shared" si="9"/>
        <v>141.80000000000049</v>
      </c>
      <c r="M71" s="11"/>
      <c r="N71" s="11"/>
      <c r="O71" s="11"/>
      <c r="P71" s="11"/>
      <c r="Q71" s="11"/>
      <c r="R71" s="12"/>
      <c r="S71" s="12"/>
      <c r="T71" s="11"/>
      <c r="U71" s="11">
        <v>3</v>
      </c>
      <c r="V71" s="12"/>
      <c r="W71" s="12">
        <v>3</v>
      </c>
      <c r="X71" s="11"/>
      <c r="Y71" s="11"/>
      <c r="Z71" s="11"/>
      <c r="AA71" s="11"/>
      <c r="AB71" s="11"/>
      <c r="AC71" s="11"/>
      <c r="AD71" s="11">
        <v>3</v>
      </c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336</v>
      </c>
      <c r="F72" s="8" t="s">
        <v>42</v>
      </c>
      <c r="G72" s="9">
        <v>0.52638888888888891</v>
      </c>
      <c r="H72" s="9">
        <v>0.52847222222222223</v>
      </c>
      <c r="I72" s="10">
        <f t="shared" si="8"/>
        <v>2.0833333333333259E-3</v>
      </c>
      <c r="J72" s="11">
        <v>8</v>
      </c>
      <c r="K72" s="11">
        <v>55.81</v>
      </c>
      <c r="L72" s="16">
        <f t="shared" si="9"/>
        <v>139.52500000000052</v>
      </c>
      <c r="M72" s="11"/>
      <c r="N72" s="11"/>
      <c r="O72" s="11"/>
      <c r="P72" s="11"/>
      <c r="Q72" s="11"/>
      <c r="R72" s="12"/>
      <c r="S72" s="12"/>
      <c r="T72" s="11">
        <v>3</v>
      </c>
      <c r="U72" s="11"/>
      <c r="V72" s="12">
        <v>3</v>
      </c>
      <c r="W72" s="12"/>
      <c r="X72" s="11"/>
      <c r="Y72" s="11"/>
      <c r="Z72" s="11"/>
      <c r="AA72" s="11"/>
      <c r="AB72" s="11">
        <v>3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337</v>
      </c>
      <c r="F73" s="8" t="s">
        <v>42</v>
      </c>
      <c r="G73" s="9">
        <v>0.53125</v>
      </c>
      <c r="H73" s="9">
        <v>0.53333333333333333</v>
      </c>
      <c r="I73" s="10">
        <f t="shared" si="8"/>
        <v>2.0833333333333259E-3</v>
      </c>
      <c r="J73" s="11">
        <v>8</v>
      </c>
      <c r="K73" s="11">
        <v>57.68</v>
      </c>
      <c r="L73" s="16">
        <f t="shared" si="9"/>
        <v>144.20000000000053</v>
      </c>
      <c r="M73" s="11"/>
      <c r="N73" s="11"/>
      <c r="O73" s="11"/>
      <c r="P73" s="11"/>
      <c r="Q73" s="11"/>
      <c r="R73" s="12"/>
      <c r="S73" s="12"/>
      <c r="T73" s="11"/>
      <c r="U73" s="11">
        <v>3</v>
      </c>
      <c r="V73" s="12"/>
      <c r="W73" s="12">
        <v>3</v>
      </c>
      <c r="X73" s="11"/>
      <c r="Y73" s="11"/>
      <c r="Z73" s="11"/>
      <c r="AA73" s="11"/>
      <c r="AB73" s="11"/>
      <c r="AC73" s="11"/>
      <c r="AD73" s="11">
        <v>3</v>
      </c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339</v>
      </c>
      <c r="F74" s="8" t="s">
        <v>42</v>
      </c>
      <c r="G74" s="9">
        <v>0.53819444444444442</v>
      </c>
      <c r="H74" s="9">
        <v>0.54027777777777775</v>
      </c>
      <c r="I74" s="10">
        <f t="shared" si="8"/>
        <v>2.0833333333333259E-3</v>
      </c>
      <c r="J74" s="11">
        <v>8</v>
      </c>
      <c r="K74" s="11">
        <v>56.31</v>
      </c>
      <c r="L74" s="16">
        <f t="shared" si="9"/>
        <v>140.77500000000052</v>
      </c>
      <c r="M74" s="11"/>
      <c r="N74" s="11"/>
      <c r="O74" s="11"/>
      <c r="P74" s="11"/>
      <c r="Q74" s="11"/>
      <c r="R74" s="12"/>
      <c r="S74" s="12"/>
      <c r="T74" s="11"/>
      <c r="U74" s="11">
        <v>3</v>
      </c>
      <c r="V74" s="12"/>
      <c r="W74" s="12">
        <v>3</v>
      </c>
      <c r="X74" s="11"/>
      <c r="Y74" s="11"/>
      <c r="Z74" s="11"/>
      <c r="AA74" s="11"/>
      <c r="AB74" s="11">
        <v>3</v>
      </c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340</v>
      </c>
      <c r="F75" s="8" t="s">
        <v>42</v>
      </c>
      <c r="G75" s="9">
        <v>0.54166666666666663</v>
      </c>
      <c r="H75" s="9">
        <v>0.54374999999999996</v>
      </c>
      <c r="I75" s="10">
        <f t="shared" si="8"/>
        <v>2.0833333333333259E-3</v>
      </c>
      <c r="J75" s="11">
        <v>8</v>
      </c>
      <c r="K75" s="11">
        <v>57.24</v>
      </c>
      <c r="L75" s="16">
        <f t="shared" si="9"/>
        <v>143.10000000000051</v>
      </c>
      <c r="M75" s="11"/>
      <c r="N75" s="11"/>
      <c r="O75" s="11"/>
      <c r="P75" s="11"/>
      <c r="Q75" s="11"/>
      <c r="R75" s="12"/>
      <c r="S75" s="12"/>
      <c r="T75" s="11"/>
      <c r="U75" s="11">
        <v>3</v>
      </c>
      <c r="V75" s="12"/>
      <c r="W75" s="12">
        <v>3</v>
      </c>
      <c r="X75" s="11"/>
      <c r="Y75" s="11"/>
      <c r="Z75" s="11"/>
      <c r="AA75" s="11"/>
      <c r="AB75" s="11"/>
      <c r="AC75" s="11"/>
      <c r="AD75" s="11">
        <v>3</v>
      </c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342</v>
      </c>
      <c r="F76" s="8" t="s">
        <v>42</v>
      </c>
      <c r="G76" s="9">
        <v>0.54652777777777772</v>
      </c>
      <c r="H76" s="9">
        <v>0.54861111111111116</v>
      </c>
      <c r="I76" s="10">
        <f t="shared" si="8"/>
        <v>2.083333333333437E-3</v>
      </c>
      <c r="J76" s="11">
        <v>8</v>
      </c>
      <c r="K76" s="11">
        <v>56.55</v>
      </c>
      <c r="L76" s="16">
        <f t="shared" si="9"/>
        <v>141.37499999999298</v>
      </c>
      <c r="M76" s="11"/>
      <c r="N76" s="11"/>
      <c r="O76" s="11"/>
      <c r="P76" s="11"/>
      <c r="Q76" s="11"/>
      <c r="R76" s="12"/>
      <c r="S76" s="12"/>
      <c r="T76" s="11"/>
      <c r="U76" s="11">
        <v>3</v>
      </c>
      <c r="V76" s="12"/>
      <c r="W76" s="12">
        <v>3</v>
      </c>
      <c r="X76" s="11"/>
      <c r="Y76" s="11"/>
      <c r="Z76" s="11"/>
      <c r="AA76" s="11"/>
      <c r="AB76" s="11">
        <v>3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343</v>
      </c>
      <c r="F77" s="8" t="s">
        <v>42</v>
      </c>
      <c r="G77" s="9">
        <v>0.55000000000000004</v>
      </c>
      <c r="H77" s="9">
        <v>0.55208333333333337</v>
      </c>
      <c r="I77" s="10">
        <f t="shared" si="8"/>
        <v>2.0833333333333259E-3</v>
      </c>
      <c r="J77" s="11">
        <v>8</v>
      </c>
      <c r="K77" s="11">
        <v>57.87</v>
      </c>
      <c r="L77" s="16">
        <f t="shared" si="9"/>
        <v>144.67500000000049</v>
      </c>
      <c r="M77" s="11"/>
      <c r="N77" s="11"/>
      <c r="O77" s="11"/>
      <c r="P77" s="11"/>
      <c r="Q77" s="11"/>
      <c r="R77" s="12"/>
      <c r="S77" s="12"/>
      <c r="T77" s="11"/>
      <c r="U77" s="11">
        <v>3</v>
      </c>
      <c r="V77" s="12"/>
      <c r="W77" s="12">
        <v>3</v>
      </c>
      <c r="X77" s="11"/>
      <c r="Y77" s="11"/>
      <c r="Z77" s="11"/>
      <c r="AA77" s="11"/>
      <c r="AB77" s="11"/>
      <c r="AC77" s="11"/>
      <c r="AD77" s="11">
        <v>3</v>
      </c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345</v>
      </c>
      <c r="F78" s="8" t="s">
        <v>42</v>
      </c>
      <c r="G78" s="9">
        <v>0.55555555555555558</v>
      </c>
      <c r="H78" s="9">
        <v>0.55763888888888891</v>
      </c>
      <c r="I78" s="10">
        <f t="shared" si="8"/>
        <v>2.0833333333333259E-3</v>
      </c>
      <c r="J78" s="11">
        <v>8</v>
      </c>
      <c r="K78" s="11">
        <v>56.26</v>
      </c>
      <c r="L78" s="16">
        <f t="shared" si="9"/>
        <v>140.65000000000049</v>
      </c>
      <c r="M78" s="11"/>
      <c r="N78" s="11"/>
      <c r="O78" s="11"/>
      <c r="P78" s="11"/>
      <c r="Q78" s="11"/>
      <c r="R78" s="12"/>
      <c r="S78" s="12"/>
      <c r="T78" s="11"/>
      <c r="U78" s="11">
        <v>3</v>
      </c>
      <c r="V78" s="12"/>
      <c r="W78" s="12">
        <v>3</v>
      </c>
      <c r="X78" s="11"/>
      <c r="Y78" s="11"/>
      <c r="Z78" s="11"/>
      <c r="AA78" s="11"/>
      <c r="AB78" s="11">
        <v>3</v>
      </c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346</v>
      </c>
      <c r="F79" s="8" t="s">
        <v>42</v>
      </c>
      <c r="G79" s="9">
        <v>0.55902777777777779</v>
      </c>
      <c r="H79" s="9">
        <v>0.56111111111111112</v>
      </c>
      <c r="I79" s="10">
        <f t="shared" si="8"/>
        <v>2.0833333333333259E-3</v>
      </c>
      <c r="J79" s="11">
        <v>8</v>
      </c>
      <c r="K79" s="11">
        <v>58.04</v>
      </c>
      <c r="L79" s="16">
        <f t="shared" si="9"/>
        <v>145.10000000000051</v>
      </c>
      <c r="M79" s="11"/>
      <c r="N79" s="11"/>
      <c r="O79" s="11"/>
      <c r="P79" s="11"/>
      <c r="Q79" s="11"/>
      <c r="R79" s="12"/>
      <c r="S79" s="12"/>
      <c r="T79" s="11"/>
      <c r="U79" s="11">
        <v>3</v>
      </c>
      <c r="V79" s="12"/>
      <c r="W79" s="12">
        <v>3</v>
      </c>
      <c r="X79" s="11"/>
      <c r="Y79" s="11"/>
      <c r="Z79" s="11"/>
      <c r="AA79" s="11"/>
      <c r="AB79" s="11"/>
      <c r="AC79" s="11"/>
      <c r="AD79" s="11">
        <v>3</v>
      </c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348</v>
      </c>
      <c r="F80" s="8" t="s">
        <v>42</v>
      </c>
      <c r="G80" s="9">
        <v>0.56388888888888888</v>
      </c>
      <c r="H80" s="9">
        <v>0.56597222222222221</v>
      </c>
      <c r="I80" s="10">
        <f t="shared" si="8"/>
        <v>2.0833333333333259E-3</v>
      </c>
      <c r="J80" s="11">
        <v>8</v>
      </c>
      <c r="K80" s="11">
        <v>57.2</v>
      </c>
      <c r="L80" s="16">
        <f t="shared" si="9"/>
        <v>143.00000000000051</v>
      </c>
      <c r="M80" s="11"/>
      <c r="N80" s="11"/>
      <c r="O80" s="11"/>
      <c r="P80" s="11"/>
      <c r="Q80" s="11"/>
      <c r="R80" s="12"/>
      <c r="S80" s="12"/>
      <c r="T80" s="11"/>
      <c r="U80" s="11">
        <v>3</v>
      </c>
      <c r="V80" s="12"/>
      <c r="W80" s="12">
        <v>3</v>
      </c>
      <c r="X80" s="11"/>
      <c r="Y80" s="11"/>
      <c r="Z80" s="11"/>
      <c r="AA80" s="11"/>
      <c r="AB80" s="11">
        <v>3</v>
      </c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349</v>
      </c>
      <c r="F81" s="8" t="s">
        <v>42</v>
      </c>
      <c r="G81" s="9">
        <v>0.56805555555555554</v>
      </c>
      <c r="H81" s="9">
        <v>0.57013888888888886</v>
      </c>
      <c r="I81" s="10">
        <f t="shared" si="8"/>
        <v>2.0833333333333259E-3</v>
      </c>
      <c r="J81" s="11">
        <v>8</v>
      </c>
      <c r="K81" s="11">
        <v>57.7</v>
      </c>
      <c r="L81" s="16">
        <f t="shared" si="9"/>
        <v>144.25000000000051</v>
      </c>
      <c r="M81" s="11"/>
      <c r="N81" s="11"/>
      <c r="O81" s="11"/>
      <c r="P81" s="11"/>
      <c r="Q81" s="11"/>
      <c r="R81" s="12"/>
      <c r="S81" s="12"/>
      <c r="T81" s="11"/>
      <c r="U81" s="11">
        <v>3</v>
      </c>
      <c r="V81" s="12"/>
      <c r="W81" s="12">
        <v>3</v>
      </c>
      <c r="X81" s="11"/>
      <c r="Y81" s="11"/>
      <c r="Z81" s="11"/>
      <c r="AA81" s="11"/>
      <c r="AB81" s="11"/>
      <c r="AC81" s="11"/>
      <c r="AD81" s="11">
        <v>3</v>
      </c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713</v>
      </c>
      <c r="F82" s="8" t="s">
        <v>42</v>
      </c>
      <c r="G82" s="9">
        <v>0.57222222222222219</v>
      </c>
      <c r="H82" s="9">
        <v>0.57430555555555551</v>
      </c>
      <c r="I82" s="10">
        <f t="shared" si="8"/>
        <v>2.0833333333333259E-3</v>
      </c>
      <c r="J82" s="11">
        <v>8</v>
      </c>
      <c r="K82" s="11">
        <v>55.47</v>
      </c>
      <c r="L82" s="16">
        <f t="shared" si="9"/>
        <v>138.67500000000049</v>
      </c>
      <c r="M82" s="11"/>
      <c r="N82" s="11"/>
      <c r="O82" s="11"/>
      <c r="P82" s="11"/>
      <c r="Q82" s="11"/>
      <c r="R82" s="12"/>
      <c r="S82" s="12"/>
      <c r="T82" s="11"/>
      <c r="U82" s="11">
        <v>3</v>
      </c>
      <c r="V82" s="12"/>
      <c r="W82" s="12">
        <v>3</v>
      </c>
      <c r="X82" s="11"/>
      <c r="Y82" s="11"/>
      <c r="Z82" s="11"/>
      <c r="AA82" s="11"/>
      <c r="AB82" s="11">
        <v>3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714</v>
      </c>
      <c r="F83" s="8" t="s">
        <v>42</v>
      </c>
      <c r="G83" s="9">
        <v>0.57708333333333328</v>
      </c>
      <c r="H83" s="9">
        <v>0.57916666666666672</v>
      </c>
      <c r="I83" s="10">
        <f t="shared" si="8"/>
        <v>2.083333333333437E-3</v>
      </c>
      <c r="J83" s="11">
        <v>8</v>
      </c>
      <c r="K83" s="11">
        <v>57.76</v>
      </c>
      <c r="L83" s="16">
        <f t="shared" si="9"/>
        <v>144.39999999999281</v>
      </c>
      <c r="M83" s="11"/>
      <c r="N83" s="11"/>
      <c r="O83" s="11"/>
      <c r="P83" s="11"/>
      <c r="Q83" s="11"/>
      <c r="R83" s="12"/>
      <c r="S83" s="12"/>
      <c r="T83" s="11"/>
      <c r="U83" s="11">
        <v>3</v>
      </c>
      <c r="V83" s="12"/>
      <c r="W83" s="12">
        <v>3</v>
      </c>
      <c r="X83" s="11"/>
      <c r="Y83" s="11"/>
      <c r="Z83" s="11"/>
      <c r="AA83" s="11"/>
      <c r="AB83" s="11"/>
      <c r="AC83" s="11"/>
      <c r="AD83" s="11">
        <v>3</v>
      </c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715</v>
      </c>
      <c r="F84" s="8" t="s">
        <v>42</v>
      </c>
      <c r="G84" s="9">
        <v>0.58472222222222225</v>
      </c>
      <c r="H84" s="9">
        <v>0.58680555555555558</v>
      </c>
      <c r="I84" s="10">
        <f t="shared" si="8"/>
        <v>2.0833333333333259E-3</v>
      </c>
      <c r="J84" s="11">
        <v>8</v>
      </c>
      <c r="K84" s="11">
        <v>56.49</v>
      </c>
      <c r="L84" s="16">
        <f t="shared" si="9"/>
        <v>141.22500000000051</v>
      </c>
      <c r="M84" s="11"/>
      <c r="N84" s="11"/>
      <c r="O84" s="11"/>
      <c r="P84" s="11"/>
      <c r="Q84" s="11"/>
      <c r="R84" s="12"/>
      <c r="S84" s="12"/>
      <c r="T84" s="11"/>
      <c r="U84" s="11">
        <v>3</v>
      </c>
      <c r="V84" s="12"/>
      <c r="W84" s="12">
        <v>3</v>
      </c>
      <c r="X84" s="11"/>
      <c r="Y84" s="11"/>
      <c r="Z84" s="11"/>
      <c r="AA84" s="11"/>
      <c r="AB84" s="11">
        <v>3</v>
      </c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716</v>
      </c>
      <c r="F85" s="8" t="s">
        <v>42</v>
      </c>
      <c r="G85" s="9">
        <v>0.58819444444444446</v>
      </c>
      <c r="H85" s="9">
        <v>0.59027777777777779</v>
      </c>
      <c r="I85" s="10">
        <f t="shared" si="8"/>
        <v>2.0833333333333259E-3</v>
      </c>
      <c r="J85" s="11">
        <v>8</v>
      </c>
      <c r="K85" s="11">
        <v>56.4</v>
      </c>
      <c r="L85" s="16">
        <f t="shared" si="9"/>
        <v>141.00000000000048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3</v>
      </c>
      <c r="X85" s="11"/>
      <c r="Y85" s="11"/>
      <c r="Z85" s="11"/>
      <c r="AA85" s="11"/>
      <c r="AB85" s="11"/>
      <c r="AC85" s="11"/>
      <c r="AD85" s="11">
        <v>3</v>
      </c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68</v>
      </c>
      <c r="F86" s="8" t="s">
        <v>42</v>
      </c>
      <c r="G86" s="9">
        <v>0.35972222222222222</v>
      </c>
      <c r="H86" s="9">
        <v>0.3972222222222222</v>
      </c>
      <c r="I86" s="10">
        <f t="shared" si="8"/>
        <v>3.7499999999999978E-2</v>
      </c>
      <c r="J86" s="11">
        <v>4</v>
      </c>
      <c r="K86" s="11">
        <v>203.31</v>
      </c>
      <c r="L86" s="16">
        <f t="shared" si="9"/>
        <v>56.47500000000003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/>
      <c r="Y86" s="11"/>
      <c r="Z86" s="11"/>
      <c r="AA86" s="11"/>
      <c r="AB86" s="11"/>
      <c r="AC86" s="11">
        <v>54</v>
      </c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69</v>
      </c>
      <c r="F87" s="8" t="s">
        <v>42</v>
      </c>
      <c r="G87" s="9">
        <v>0.36319444444444443</v>
      </c>
      <c r="H87" s="9">
        <v>0.3972222222222222</v>
      </c>
      <c r="I87" s="10">
        <f t="shared" si="8"/>
        <v>3.4027777777777768E-2</v>
      </c>
      <c r="J87" s="11">
        <v>4</v>
      </c>
      <c r="K87" s="11">
        <v>203.31</v>
      </c>
      <c r="L87" s="16">
        <f t="shared" si="9"/>
        <v>62.237755102040836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2</v>
      </c>
      <c r="W87" s="12"/>
      <c r="X87" s="11"/>
      <c r="Y87" s="11"/>
      <c r="Z87" s="11"/>
      <c r="AA87" s="11"/>
      <c r="AB87" s="11">
        <v>49</v>
      </c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70</v>
      </c>
      <c r="F88" s="8" t="s">
        <v>42</v>
      </c>
      <c r="G88" s="9">
        <v>0.40625</v>
      </c>
      <c r="H88" s="9">
        <v>0.43402777777777779</v>
      </c>
      <c r="I88" s="10">
        <f t="shared" si="8"/>
        <v>2.777777777777779E-2</v>
      </c>
      <c r="J88" s="11">
        <v>4</v>
      </c>
      <c r="K88" s="11">
        <v>203.05</v>
      </c>
      <c r="L88" s="16">
        <f t="shared" si="9"/>
        <v>76.143749999999969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2</v>
      </c>
      <c r="W88" s="12"/>
      <c r="X88" s="11"/>
      <c r="Y88" s="11"/>
      <c r="Z88" s="11"/>
      <c r="AA88" s="11"/>
      <c r="AB88" s="11"/>
      <c r="AC88" s="11">
        <v>40</v>
      </c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2600</v>
      </c>
      <c r="F89" s="8" t="s">
        <v>42</v>
      </c>
      <c r="G89" s="9">
        <v>0.53402777777777777</v>
      </c>
      <c r="H89" s="9">
        <v>0.56527777777777777</v>
      </c>
      <c r="I89" s="10">
        <f t="shared" si="8"/>
        <v>3.125E-2</v>
      </c>
      <c r="J89" s="11">
        <v>4</v>
      </c>
      <c r="K89" s="11">
        <v>203.5</v>
      </c>
      <c r="L89" s="16">
        <f t="shared" si="9"/>
        <v>67.833333333333329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2</v>
      </c>
      <c r="W89" s="12"/>
      <c r="X89" s="11"/>
      <c r="Y89" s="11"/>
      <c r="Z89" s="11"/>
      <c r="AA89" s="11"/>
      <c r="AB89" s="11"/>
      <c r="AC89" s="11">
        <v>45</v>
      </c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2601</v>
      </c>
      <c r="F90" s="8" t="s">
        <v>42</v>
      </c>
      <c r="G90" s="9">
        <v>0.5708333333333333</v>
      </c>
      <c r="H90" s="9">
        <v>0.59930555555555554</v>
      </c>
      <c r="I90" s="10">
        <f t="shared" si="8"/>
        <v>2.8472222222222232E-2</v>
      </c>
      <c r="J90" s="11">
        <v>4</v>
      </c>
      <c r="K90" s="11">
        <v>203.5</v>
      </c>
      <c r="L90" s="16">
        <f t="shared" si="9"/>
        <v>74.451219512195095</v>
      </c>
      <c r="M90" s="11"/>
      <c r="N90" s="11"/>
      <c r="O90" s="11"/>
      <c r="P90" s="11"/>
      <c r="Q90" s="11"/>
      <c r="R90" s="12"/>
      <c r="S90" s="12"/>
      <c r="T90" s="11"/>
      <c r="U90" s="11"/>
      <c r="V90" s="12">
        <v>2</v>
      </c>
      <c r="W90" s="12"/>
      <c r="X90" s="11"/>
      <c r="Y90" s="11"/>
      <c r="Z90" s="11"/>
      <c r="AA90" s="11"/>
      <c r="AB90" s="11"/>
      <c r="AC90" s="11">
        <v>41</v>
      </c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/>
      <c r="F91" s="8" t="s">
        <v>42</v>
      </c>
      <c r="G91" s="9"/>
      <c r="H91" s="9"/>
      <c r="I91" s="10">
        <f t="shared" si="8"/>
        <v>0</v>
      </c>
      <c r="J91" s="11"/>
      <c r="K91" s="11"/>
      <c r="L91" s="16" t="str">
        <f t="shared" si="9"/>
        <v>0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 t="s">
        <v>2219</v>
      </c>
      <c r="E92" s="19" t="s">
        <v>1090</v>
      </c>
      <c r="F92" s="8" t="s">
        <v>42</v>
      </c>
      <c r="G92" s="9">
        <v>0.34583333333333333</v>
      </c>
      <c r="H92" s="9">
        <v>0.3527777777777778</v>
      </c>
      <c r="I92" s="10">
        <f t="shared" si="8"/>
        <v>6.9444444444444753E-3</v>
      </c>
      <c r="J92" s="11">
        <v>1</v>
      </c>
      <c r="K92" s="11">
        <f>0.089*520</f>
        <v>46.28</v>
      </c>
      <c r="L92" s="16">
        <f t="shared" si="9"/>
        <v>277.67999999999876</v>
      </c>
      <c r="M92" s="11"/>
      <c r="N92" s="11"/>
      <c r="O92" s="11"/>
      <c r="P92" s="11"/>
      <c r="Q92" s="11"/>
      <c r="R92" s="12"/>
      <c r="S92" s="12"/>
      <c r="T92" s="11"/>
      <c r="U92" s="11"/>
      <c r="V92" s="12">
        <v>10</v>
      </c>
      <c r="W92" s="12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1091</v>
      </c>
      <c r="F93" s="8" t="s">
        <v>42</v>
      </c>
      <c r="G93" s="9">
        <v>0.36319444444444443</v>
      </c>
      <c r="H93" s="9">
        <v>0.37013888888888891</v>
      </c>
      <c r="I93" s="10">
        <f t="shared" si="8"/>
        <v>6.9444444444444753E-3</v>
      </c>
      <c r="J93" s="11">
        <v>1</v>
      </c>
      <c r="K93" s="11">
        <f t="shared" ref="K93:K118" si="11">0.089*520</f>
        <v>46.28</v>
      </c>
      <c r="L93" s="16">
        <f t="shared" si="9"/>
        <v>277.67999999999876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10</v>
      </c>
      <c r="W93" s="12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1092</v>
      </c>
      <c r="F94" s="8" t="s">
        <v>42</v>
      </c>
      <c r="G94" s="9">
        <v>0.38611111111111113</v>
      </c>
      <c r="H94" s="9">
        <v>0.39305555555555555</v>
      </c>
      <c r="I94" s="10">
        <f t="shared" ref="I94:I120" si="12">H94-G94</f>
        <v>6.9444444444444198E-3</v>
      </c>
      <c r="J94" s="11">
        <v>1</v>
      </c>
      <c r="K94" s="11">
        <f t="shared" si="11"/>
        <v>46.28</v>
      </c>
      <c r="L94" s="16">
        <f t="shared" ref="L94:L120" si="13">IFERROR(((K94/(J94*I94)/24)),"0")</f>
        <v>277.68000000000103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10</v>
      </c>
      <c r="W94" s="12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1093</v>
      </c>
      <c r="F95" s="8" t="s">
        <v>42</v>
      </c>
      <c r="G95" s="9">
        <v>0.41319444444444442</v>
      </c>
      <c r="H95" s="9">
        <v>0.4201388888888889</v>
      </c>
      <c r="I95" s="10">
        <f t="shared" si="12"/>
        <v>6.9444444444444753E-3</v>
      </c>
      <c r="J95" s="11">
        <v>1</v>
      </c>
      <c r="K95" s="11">
        <f t="shared" si="11"/>
        <v>46.28</v>
      </c>
      <c r="L95" s="16">
        <f t="shared" si="13"/>
        <v>277.67999999999876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10</v>
      </c>
      <c r="W95" s="12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1094</v>
      </c>
      <c r="F96" s="8" t="s">
        <v>42</v>
      </c>
      <c r="G96" s="9">
        <v>0.4375</v>
      </c>
      <c r="H96" s="9">
        <v>0.44444444444444442</v>
      </c>
      <c r="I96" s="10">
        <f t="shared" si="12"/>
        <v>6.9444444444444198E-3</v>
      </c>
      <c r="J96" s="11">
        <v>1</v>
      </c>
      <c r="K96" s="11">
        <f t="shared" si="11"/>
        <v>46.28</v>
      </c>
      <c r="L96" s="16">
        <f t="shared" si="13"/>
        <v>277.68000000000103</v>
      </c>
      <c r="M96" s="11"/>
      <c r="N96" s="11"/>
      <c r="O96" s="11"/>
      <c r="P96" s="11"/>
      <c r="Q96" s="11"/>
      <c r="R96" s="12"/>
      <c r="S96" s="12"/>
      <c r="T96" s="11"/>
      <c r="U96" s="11"/>
      <c r="V96" s="12">
        <v>10</v>
      </c>
      <c r="W96" s="12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1095</v>
      </c>
      <c r="F97" s="8" t="s">
        <v>42</v>
      </c>
      <c r="G97" s="9">
        <v>0.46666666666666667</v>
      </c>
      <c r="H97" s="9">
        <v>0.47361111111111109</v>
      </c>
      <c r="I97" s="10">
        <f t="shared" si="12"/>
        <v>6.9444444444444198E-3</v>
      </c>
      <c r="J97" s="11">
        <v>1</v>
      </c>
      <c r="K97" s="11">
        <f t="shared" si="11"/>
        <v>46.28</v>
      </c>
      <c r="L97" s="16">
        <f t="shared" si="13"/>
        <v>277.68000000000103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>
        <v>10</v>
      </c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1096</v>
      </c>
      <c r="F98" s="8" t="s">
        <v>42</v>
      </c>
      <c r="G98" s="9">
        <v>0.47013888888888888</v>
      </c>
      <c r="H98" s="9">
        <v>0.47708333333333336</v>
      </c>
      <c r="I98" s="10">
        <f t="shared" si="12"/>
        <v>6.9444444444444753E-3</v>
      </c>
      <c r="J98" s="11">
        <v>1</v>
      </c>
      <c r="K98" s="11">
        <f t="shared" si="11"/>
        <v>46.28</v>
      </c>
      <c r="L98" s="16">
        <f t="shared" si="13"/>
        <v>277.67999999999876</v>
      </c>
      <c r="M98" s="11"/>
      <c r="N98" s="11"/>
      <c r="O98" s="11"/>
      <c r="P98" s="11"/>
      <c r="Q98" s="11"/>
      <c r="R98" s="12"/>
      <c r="S98" s="12"/>
      <c r="T98" s="11"/>
      <c r="U98" s="11"/>
      <c r="V98" s="12">
        <v>10</v>
      </c>
      <c r="W98" s="12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1097</v>
      </c>
      <c r="F99" s="8" t="s">
        <v>42</v>
      </c>
      <c r="G99" s="9">
        <v>0.4777777777777778</v>
      </c>
      <c r="H99" s="9">
        <v>0.48472222222222222</v>
      </c>
      <c r="I99" s="10">
        <f t="shared" si="12"/>
        <v>6.9444444444444198E-3</v>
      </c>
      <c r="J99" s="11">
        <v>1</v>
      </c>
      <c r="K99" s="11">
        <f t="shared" si="11"/>
        <v>46.28</v>
      </c>
      <c r="L99" s="16">
        <f t="shared" si="13"/>
        <v>277.68000000000103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>
        <v>10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1098</v>
      </c>
      <c r="F100" s="8" t="s">
        <v>42</v>
      </c>
      <c r="G100" s="9">
        <v>0.54166666666666663</v>
      </c>
      <c r="H100" s="9">
        <v>0.54861111111111116</v>
      </c>
      <c r="I100" s="10">
        <f t="shared" si="12"/>
        <v>6.9444444444445308E-3</v>
      </c>
      <c r="J100" s="11">
        <v>1</v>
      </c>
      <c r="K100" s="11">
        <f t="shared" si="11"/>
        <v>46.28</v>
      </c>
      <c r="L100" s="16">
        <f t="shared" si="13"/>
        <v>277.67999999999654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>
        <v>10</v>
      </c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1099</v>
      </c>
      <c r="F101" s="8" t="s">
        <v>42</v>
      </c>
      <c r="G101" s="9">
        <v>0.5541666666666667</v>
      </c>
      <c r="H101" s="9">
        <v>0.56111111111111112</v>
      </c>
      <c r="I101" s="10">
        <f t="shared" si="12"/>
        <v>6.9444444444444198E-3</v>
      </c>
      <c r="J101" s="11">
        <v>1</v>
      </c>
      <c r="K101" s="11">
        <f t="shared" si="11"/>
        <v>46.28</v>
      </c>
      <c r="L101" s="16">
        <f t="shared" si="13"/>
        <v>277.68000000000103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10</v>
      </c>
      <c r="W101" s="12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1100</v>
      </c>
      <c r="F102" s="8" t="s">
        <v>42</v>
      </c>
      <c r="G102" s="9">
        <v>0.56597222222222221</v>
      </c>
      <c r="H102" s="9">
        <v>0.57291666666666663</v>
      </c>
      <c r="I102" s="10">
        <f t="shared" si="12"/>
        <v>6.9444444444444198E-3</v>
      </c>
      <c r="J102" s="11">
        <v>1</v>
      </c>
      <c r="K102" s="11">
        <f t="shared" si="11"/>
        <v>46.28</v>
      </c>
      <c r="L102" s="16">
        <f t="shared" si="13"/>
        <v>277.68000000000103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>
        <v>10</v>
      </c>
      <c r="W102" s="12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1101</v>
      </c>
      <c r="F103" s="8" t="s">
        <v>42</v>
      </c>
      <c r="G103" s="9">
        <v>0.58333333333333337</v>
      </c>
      <c r="H103" s="9">
        <v>0.59027777777777779</v>
      </c>
      <c r="I103" s="10">
        <f t="shared" si="12"/>
        <v>6.9444444444444198E-3</v>
      </c>
      <c r="J103" s="11">
        <v>1</v>
      </c>
      <c r="K103" s="11">
        <f t="shared" si="11"/>
        <v>46.28</v>
      </c>
      <c r="L103" s="16">
        <f t="shared" si="13"/>
        <v>277.68000000000103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10</v>
      </c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1102</v>
      </c>
      <c r="F104" s="8" t="s">
        <v>42</v>
      </c>
      <c r="G104" s="9">
        <v>0.59305555555555556</v>
      </c>
      <c r="H104" s="9">
        <v>0.6</v>
      </c>
      <c r="I104" s="10">
        <f t="shared" si="12"/>
        <v>6.9444444444444198E-3</v>
      </c>
      <c r="J104" s="11">
        <v>1</v>
      </c>
      <c r="K104" s="11">
        <f t="shared" si="11"/>
        <v>46.28</v>
      </c>
      <c r="L104" s="16">
        <f t="shared" si="13"/>
        <v>277.68000000000103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>
        <v>10</v>
      </c>
      <c r="W104" s="12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1103</v>
      </c>
      <c r="F105" s="8" t="s">
        <v>42</v>
      </c>
      <c r="G105" s="9">
        <v>0.59513888888888888</v>
      </c>
      <c r="H105" s="9">
        <v>0.6020833333333333</v>
      </c>
      <c r="I105" s="10">
        <f t="shared" si="12"/>
        <v>6.9444444444444198E-3</v>
      </c>
      <c r="J105" s="11">
        <v>1</v>
      </c>
      <c r="K105" s="11">
        <f t="shared" si="11"/>
        <v>46.28</v>
      </c>
      <c r="L105" s="16">
        <f t="shared" si="13"/>
        <v>277.68000000000103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10</v>
      </c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1104</v>
      </c>
      <c r="F106" s="8" t="s">
        <v>42</v>
      </c>
      <c r="G106" s="9">
        <v>0.60763888888888884</v>
      </c>
      <c r="H106" s="9">
        <v>0.61458333333333337</v>
      </c>
      <c r="I106" s="10">
        <f t="shared" si="12"/>
        <v>6.9444444444445308E-3</v>
      </c>
      <c r="J106" s="11">
        <v>1</v>
      </c>
      <c r="K106" s="11">
        <f t="shared" si="11"/>
        <v>46.28</v>
      </c>
      <c r="L106" s="16">
        <f t="shared" si="13"/>
        <v>277.67999999999654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>
        <v>10</v>
      </c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1257</v>
      </c>
      <c r="F107" s="8" t="s">
        <v>42</v>
      </c>
      <c r="G107" s="9">
        <v>0.62013888888888891</v>
      </c>
      <c r="H107" s="9">
        <v>0.62708333333333333</v>
      </c>
      <c r="I107" s="10">
        <f t="shared" si="12"/>
        <v>6.9444444444444198E-3</v>
      </c>
      <c r="J107" s="11">
        <v>1</v>
      </c>
      <c r="K107" s="11">
        <f t="shared" si="11"/>
        <v>46.28</v>
      </c>
      <c r="L107" s="16">
        <f t="shared" si="13"/>
        <v>277.68000000000103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>
        <v>10</v>
      </c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1258</v>
      </c>
      <c r="F108" s="8" t="s">
        <v>42</v>
      </c>
      <c r="G108" s="9">
        <v>0.62638888888888888</v>
      </c>
      <c r="H108" s="9">
        <v>0.6333333333333333</v>
      </c>
      <c r="I108" s="10">
        <f t="shared" si="12"/>
        <v>6.9444444444444198E-3</v>
      </c>
      <c r="J108" s="11">
        <v>1</v>
      </c>
      <c r="K108" s="11">
        <f t="shared" si="11"/>
        <v>46.28</v>
      </c>
      <c r="L108" s="16">
        <f t="shared" si="13"/>
        <v>277.68000000000103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>
        <v>10</v>
      </c>
      <c r="W108" s="12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1259</v>
      </c>
      <c r="F109" s="8" t="s">
        <v>42</v>
      </c>
      <c r="G109" s="9">
        <v>0.63680555555555551</v>
      </c>
      <c r="H109" s="9">
        <v>0.64375000000000004</v>
      </c>
      <c r="I109" s="10">
        <f t="shared" si="12"/>
        <v>6.9444444444445308E-3</v>
      </c>
      <c r="J109" s="11">
        <v>1</v>
      </c>
      <c r="K109" s="11">
        <f t="shared" si="11"/>
        <v>46.28</v>
      </c>
      <c r="L109" s="16">
        <f t="shared" si="13"/>
        <v>277.67999999999654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/>
      <c r="W109" s="12">
        <v>10</v>
      </c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1260</v>
      </c>
      <c r="F110" s="8" t="s">
        <v>42</v>
      </c>
      <c r="G110" s="9">
        <v>0.65347222222222223</v>
      </c>
      <c r="H110" s="9">
        <v>0.66041666666666665</v>
      </c>
      <c r="I110" s="10">
        <f t="shared" si="12"/>
        <v>6.9444444444444198E-3</v>
      </c>
      <c r="J110" s="11">
        <v>1</v>
      </c>
      <c r="K110" s="11">
        <f t="shared" si="11"/>
        <v>46.28</v>
      </c>
      <c r="L110" s="16">
        <f t="shared" si="13"/>
        <v>277.68000000000103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>
        <v>10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1261</v>
      </c>
      <c r="F111" s="8" t="s">
        <v>42</v>
      </c>
      <c r="G111" s="9">
        <v>0.66388888888888886</v>
      </c>
      <c r="H111" s="9">
        <v>0.67083333333333328</v>
      </c>
      <c r="I111" s="10">
        <f t="shared" si="12"/>
        <v>6.9444444444444198E-3</v>
      </c>
      <c r="J111" s="11">
        <v>1</v>
      </c>
      <c r="K111" s="11">
        <f t="shared" si="11"/>
        <v>46.28</v>
      </c>
      <c r="L111" s="16">
        <f t="shared" si="13"/>
        <v>277.68000000000103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>
        <v>10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1262</v>
      </c>
      <c r="F112" s="8" t="s">
        <v>42</v>
      </c>
      <c r="G112" s="9">
        <v>0.67986111111111114</v>
      </c>
      <c r="H112" s="9">
        <v>0.68680555555555556</v>
      </c>
      <c r="I112" s="10">
        <f t="shared" si="12"/>
        <v>6.9444444444444198E-3</v>
      </c>
      <c r="J112" s="11">
        <v>1</v>
      </c>
      <c r="K112" s="11">
        <f t="shared" si="11"/>
        <v>46.28</v>
      </c>
      <c r="L112" s="16">
        <f t="shared" si="13"/>
        <v>277.68000000000103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>
        <v>10</v>
      </c>
      <c r="W112" s="12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1:38" ht="25.05" customHeight="1">
      <c r="B113" s="13"/>
      <c r="C113" s="29"/>
      <c r="D113" s="30"/>
      <c r="E113" s="19" t="s">
        <v>1263</v>
      </c>
      <c r="F113" s="8" t="s">
        <v>42</v>
      </c>
      <c r="G113" s="9">
        <v>0.69097222222222221</v>
      </c>
      <c r="H113" s="9">
        <v>0.69791666666666663</v>
      </c>
      <c r="I113" s="10">
        <f t="shared" si="12"/>
        <v>6.9444444444444198E-3</v>
      </c>
      <c r="J113" s="11">
        <v>1</v>
      </c>
      <c r="K113" s="11">
        <f t="shared" si="11"/>
        <v>46.28</v>
      </c>
      <c r="L113" s="16">
        <f t="shared" si="13"/>
        <v>277.68000000000103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>
        <v>10</v>
      </c>
      <c r="W113" s="12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1:38" ht="25.05" customHeight="1">
      <c r="B114" s="13"/>
      <c r="C114" s="29"/>
      <c r="D114" s="30"/>
      <c r="E114" s="19" t="s">
        <v>1264</v>
      </c>
      <c r="F114" s="8" t="s">
        <v>42</v>
      </c>
      <c r="G114" s="9">
        <v>0.7006944444444444</v>
      </c>
      <c r="H114" s="9">
        <v>0.70763888888888893</v>
      </c>
      <c r="I114" s="10">
        <f t="shared" si="12"/>
        <v>6.9444444444445308E-3</v>
      </c>
      <c r="J114" s="11">
        <v>1</v>
      </c>
      <c r="K114" s="11">
        <f t="shared" si="11"/>
        <v>46.28</v>
      </c>
      <c r="L114" s="16">
        <f t="shared" si="13"/>
        <v>277.67999999999654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>
        <v>10</v>
      </c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1:38" ht="25.05" customHeight="1">
      <c r="B115" s="13"/>
      <c r="C115" s="29"/>
      <c r="D115" s="30"/>
      <c r="E115" s="19" t="s">
        <v>1265</v>
      </c>
      <c r="F115" s="8" t="s">
        <v>42</v>
      </c>
      <c r="G115" s="9">
        <v>0.70972222222222225</v>
      </c>
      <c r="H115" s="9">
        <v>0.71666666666666667</v>
      </c>
      <c r="I115" s="10">
        <f t="shared" si="12"/>
        <v>6.9444444444444198E-3</v>
      </c>
      <c r="J115" s="11">
        <v>1</v>
      </c>
      <c r="K115" s="11">
        <f t="shared" si="11"/>
        <v>46.28</v>
      </c>
      <c r="L115" s="16">
        <f t="shared" si="13"/>
        <v>277.68000000000103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>
        <v>10</v>
      </c>
      <c r="W115" s="12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1:38" ht="25.05" customHeight="1">
      <c r="B116" s="13"/>
      <c r="C116" s="29"/>
      <c r="D116" s="30"/>
      <c r="E116" s="19" t="s">
        <v>2602</v>
      </c>
      <c r="F116" s="8" t="s">
        <v>42</v>
      </c>
      <c r="G116" s="9">
        <v>0.71666666666666667</v>
      </c>
      <c r="H116" s="9">
        <v>0.72361111111111109</v>
      </c>
      <c r="I116" s="10">
        <f t="shared" si="12"/>
        <v>6.9444444444444198E-3</v>
      </c>
      <c r="J116" s="11">
        <v>1</v>
      </c>
      <c r="K116" s="11">
        <f t="shared" si="11"/>
        <v>46.28</v>
      </c>
      <c r="L116" s="16">
        <f t="shared" si="13"/>
        <v>277.68000000000103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10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1:38" ht="25.05" customHeight="1">
      <c r="B117" s="13"/>
      <c r="C117" s="29"/>
      <c r="D117" s="30"/>
      <c r="E117" s="19" t="s">
        <v>2603</v>
      </c>
      <c r="F117" s="8" t="s">
        <v>42</v>
      </c>
      <c r="G117" s="9">
        <v>0.72569444444444442</v>
      </c>
      <c r="H117" s="9">
        <v>0.73263888888888884</v>
      </c>
      <c r="I117" s="10">
        <f t="shared" si="12"/>
        <v>6.9444444444444198E-3</v>
      </c>
      <c r="J117" s="11">
        <v>1</v>
      </c>
      <c r="K117" s="11">
        <f t="shared" si="11"/>
        <v>46.28</v>
      </c>
      <c r="L117" s="16">
        <f t="shared" si="13"/>
        <v>277.68000000000103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>
        <v>10</v>
      </c>
      <c r="W117" s="12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1:38" ht="25.05" customHeight="1">
      <c r="B118" s="13"/>
      <c r="C118" s="29"/>
      <c r="D118" s="30"/>
      <c r="E118" s="19" t="s">
        <v>2604</v>
      </c>
      <c r="F118" s="8" t="s">
        <v>42</v>
      </c>
      <c r="G118" s="9">
        <v>0.7319444444444444</v>
      </c>
      <c r="H118" s="9">
        <v>0.73888888888888893</v>
      </c>
      <c r="I118" s="10">
        <f t="shared" si="12"/>
        <v>6.9444444444445308E-3</v>
      </c>
      <c r="J118" s="11">
        <v>1</v>
      </c>
      <c r="K118" s="11">
        <f t="shared" si="11"/>
        <v>46.28</v>
      </c>
      <c r="L118" s="16">
        <f t="shared" si="13"/>
        <v>277.67999999999654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/>
      <c r="W118" s="12">
        <v>10</v>
      </c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1:38" ht="25.05" customHeight="1">
      <c r="B119" s="13"/>
      <c r="C119" s="29"/>
      <c r="D119" s="30"/>
      <c r="E119" s="19" t="s">
        <v>2605</v>
      </c>
      <c r="F119" s="8" t="s">
        <v>42</v>
      </c>
      <c r="G119" s="9">
        <v>0.74305555555555558</v>
      </c>
      <c r="H119" s="9">
        <v>0.75</v>
      </c>
      <c r="I119" s="10">
        <f t="shared" si="12"/>
        <v>6.9444444444444198E-3</v>
      </c>
      <c r="J119" s="11">
        <v>1</v>
      </c>
      <c r="K119" s="11">
        <v>47.25</v>
      </c>
      <c r="L119" s="16">
        <f t="shared" si="13"/>
        <v>283.50000000000102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>
        <v>10</v>
      </c>
      <c r="W119" s="12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1:38" ht="25.05" customHeight="1">
      <c r="B120" s="13"/>
      <c r="C120" s="29"/>
      <c r="D120" s="30"/>
      <c r="E120" s="19"/>
      <c r="F120" s="8" t="s">
        <v>42</v>
      </c>
      <c r="G120" s="9"/>
      <c r="H120" s="9"/>
      <c r="I120" s="10">
        <f t="shared" si="12"/>
        <v>0</v>
      </c>
      <c r="J120" s="11"/>
      <c r="K120" s="11"/>
      <c r="L120" s="16" t="str">
        <f t="shared" si="13"/>
        <v>0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/>
      <c r="W120" s="12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1:38" s="28" customFormat="1" ht="25.5" customHeight="1" thickBot="1">
      <c r="A121" s="2"/>
      <c r="B121" s="32"/>
      <c r="C121" s="33"/>
      <c r="D121" s="34"/>
      <c r="E121" s="35"/>
      <c r="F121" s="35"/>
      <c r="G121" s="36"/>
      <c r="H121" s="36"/>
      <c r="I121" s="37"/>
      <c r="J121" s="38"/>
      <c r="K121" s="38">
        <f t="shared" ref="K121:AL121" si="14">SUM(K26:K120)</f>
        <v>5763.7499999999918</v>
      </c>
      <c r="L121" s="39">
        <f t="shared" si="14"/>
        <v>61492.52105794636</v>
      </c>
      <c r="M121" s="38">
        <f t="shared" si="14"/>
        <v>0</v>
      </c>
      <c r="N121" s="38">
        <f t="shared" si="14"/>
        <v>0</v>
      </c>
      <c r="O121" s="38">
        <f t="shared" si="14"/>
        <v>0</v>
      </c>
      <c r="P121" s="38">
        <f t="shared" si="14"/>
        <v>0</v>
      </c>
      <c r="Q121" s="38">
        <f t="shared" si="14"/>
        <v>0</v>
      </c>
      <c r="R121" s="38">
        <f t="shared" si="14"/>
        <v>0</v>
      </c>
      <c r="S121" s="38">
        <f t="shared" si="14"/>
        <v>0</v>
      </c>
      <c r="T121" s="38">
        <f t="shared" si="14"/>
        <v>3</v>
      </c>
      <c r="U121" s="38">
        <f t="shared" si="14"/>
        <v>39</v>
      </c>
      <c r="V121" s="38">
        <f t="shared" si="14"/>
        <v>193</v>
      </c>
      <c r="W121" s="38">
        <f t="shared" si="14"/>
        <v>278</v>
      </c>
      <c r="X121" s="38">
        <f t="shared" si="14"/>
        <v>315</v>
      </c>
      <c r="Y121" s="38">
        <f t="shared" si="14"/>
        <v>180</v>
      </c>
      <c r="Z121" s="38">
        <f t="shared" si="14"/>
        <v>360</v>
      </c>
      <c r="AA121" s="38">
        <f t="shared" si="14"/>
        <v>225</v>
      </c>
      <c r="AB121" s="38">
        <f t="shared" si="14"/>
        <v>79</v>
      </c>
      <c r="AC121" s="38">
        <f t="shared" si="14"/>
        <v>180</v>
      </c>
      <c r="AD121" s="38">
        <f t="shared" si="14"/>
        <v>48</v>
      </c>
      <c r="AE121" s="38">
        <f t="shared" si="14"/>
        <v>0</v>
      </c>
      <c r="AF121" s="38">
        <f t="shared" si="14"/>
        <v>0</v>
      </c>
      <c r="AG121" s="38">
        <f t="shared" si="14"/>
        <v>0</v>
      </c>
      <c r="AH121" s="38">
        <f t="shared" si="14"/>
        <v>0</v>
      </c>
      <c r="AI121" s="38">
        <f t="shared" si="14"/>
        <v>0</v>
      </c>
      <c r="AJ121" s="38">
        <f t="shared" si="14"/>
        <v>0</v>
      </c>
      <c r="AK121" s="38">
        <f t="shared" si="14"/>
        <v>0</v>
      </c>
      <c r="AL121" s="38">
        <f t="shared" si="14"/>
        <v>0</v>
      </c>
    </row>
    <row r="122" spans="1:38" ht="38.1" customHeight="1" thickBot="1">
      <c r="B122" s="40" t="s">
        <v>45</v>
      </c>
      <c r="C122" s="41"/>
      <c r="D122" s="41"/>
      <c r="E122" s="41"/>
      <c r="F122" s="41"/>
      <c r="G122" s="41"/>
      <c r="H122" s="41"/>
      <c r="I122" s="41"/>
      <c r="J122" s="41"/>
      <c r="K122" s="42">
        <f>K18+K25+K121</f>
        <v>9648.169999999991</v>
      </c>
      <c r="L122" s="42">
        <f>L18+L25+L121</f>
        <v>62514.918590413894</v>
      </c>
      <c r="M122" s="43">
        <f t="shared" ref="M122:AL122" si="15">(M18+M25+M121)/(480-15-30)</f>
        <v>0.24827586206896551</v>
      </c>
      <c r="N122" s="43">
        <f t="shared" si="15"/>
        <v>0</v>
      </c>
      <c r="O122" s="43">
        <f t="shared" si="15"/>
        <v>0</v>
      </c>
      <c r="P122" s="43">
        <f t="shared" si="15"/>
        <v>0</v>
      </c>
      <c r="Q122" s="43">
        <f t="shared" si="15"/>
        <v>0.27586206896551724</v>
      </c>
      <c r="R122" s="43">
        <f t="shared" si="15"/>
        <v>0</v>
      </c>
      <c r="S122" s="43">
        <f t="shared" si="15"/>
        <v>1.2873563218390804</v>
      </c>
      <c r="T122" s="43">
        <f t="shared" si="15"/>
        <v>6.8965517241379309E-3</v>
      </c>
      <c r="U122" s="43">
        <f t="shared" si="15"/>
        <v>8.9655172413793102E-2</v>
      </c>
      <c r="V122" s="43">
        <f t="shared" si="15"/>
        <v>0.44367816091954021</v>
      </c>
      <c r="W122" s="43">
        <f t="shared" si="15"/>
        <v>0.63908045977011496</v>
      </c>
      <c r="X122" s="43">
        <f t="shared" si="15"/>
        <v>0.72413793103448276</v>
      </c>
      <c r="Y122" s="43">
        <f t="shared" si="15"/>
        <v>0.41379310344827586</v>
      </c>
      <c r="Z122" s="43">
        <f t="shared" si="15"/>
        <v>0.82758620689655171</v>
      </c>
      <c r="AA122" s="43">
        <f t="shared" si="15"/>
        <v>0.51724137931034486</v>
      </c>
      <c r="AB122" s="43">
        <f t="shared" si="15"/>
        <v>0.18160919540229886</v>
      </c>
      <c r="AC122" s="43">
        <f t="shared" si="15"/>
        <v>0.41379310344827586</v>
      </c>
      <c r="AD122" s="43">
        <f t="shared" si="15"/>
        <v>0.1103448275862069</v>
      </c>
      <c r="AE122" s="43">
        <f t="shared" si="15"/>
        <v>0</v>
      </c>
      <c r="AF122" s="43">
        <f t="shared" si="15"/>
        <v>0</v>
      </c>
      <c r="AG122" s="43">
        <f t="shared" si="15"/>
        <v>0</v>
      </c>
      <c r="AH122" s="43">
        <f t="shared" si="15"/>
        <v>0</v>
      </c>
      <c r="AI122" s="43">
        <f t="shared" si="15"/>
        <v>0</v>
      </c>
      <c r="AJ122" s="43">
        <f t="shared" si="15"/>
        <v>0</v>
      </c>
      <c r="AK122" s="43">
        <f t="shared" si="15"/>
        <v>0</v>
      </c>
      <c r="AL122" s="43">
        <f t="shared" si="15"/>
        <v>0</v>
      </c>
    </row>
    <row r="123" spans="1:38" ht="25.05" customHeight="1">
      <c r="B123" s="44"/>
      <c r="C123" s="44"/>
      <c r="D123" s="44"/>
      <c r="E123" s="45"/>
      <c r="F123" s="45"/>
      <c r="G123" s="45"/>
      <c r="H123" s="45"/>
      <c r="I123" s="46"/>
      <c r="J123" s="46"/>
      <c r="K123" s="45"/>
      <c r="L123" s="47"/>
      <c r="M123" s="47"/>
      <c r="N123" s="47"/>
      <c r="O123" s="47"/>
      <c r="P123" s="47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</row>
    <row r="124" spans="1:38" ht="25.05" customHeight="1">
      <c r="B124" s="44"/>
      <c r="C124" s="44"/>
      <c r="D124" s="44"/>
      <c r="E124" s="45"/>
      <c r="F124" s="45"/>
      <c r="G124" s="45"/>
      <c r="H124" s="45"/>
      <c r="I124" s="48" t="s">
        <v>46</v>
      </c>
      <c r="J124" s="46"/>
      <c r="K124" s="45"/>
      <c r="L124" s="47"/>
      <c r="M124" s="47"/>
      <c r="N124" s="47"/>
      <c r="O124" s="47"/>
      <c r="P124" s="47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</row>
    <row r="125" spans="1:38" ht="25.05" customHeight="1">
      <c r="B125" s="44"/>
      <c r="C125" s="44"/>
      <c r="D125" s="44"/>
      <c r="E125" s="45"/>
      <c r="F125" s="45"/>
      <c r="G125" s="45"/>
      <c r="H125" s="45"/>
      <c r="I125" s="49" t="s">
        <v>47</v>
      </c>
      <c r="J125" s="9">
        <v>0</v>
      </c>
      <c r="K125" s="11">
        <v>12</v>
      </c>
      <c r="L125" s="11" t="s">
        <v>48</v>
      </c>
      <c r="M125" s="47"/>
      <c r="N125" s="14">
        <v>2</v>
      </c>
      <c r="O125" s="14"/>
      <c r="P125" s="14"/>
      <c r="Q125" s="50" t="s">
        <v>49</v>
      </c>
      <c r="R125" s="51"/>
      <c r="S125" s="45"/>
      <c r="T125" s="45"/>
      <c r="U125" s="45"/>
      <c r="V125" s="45"/>
      <c r="W125" s="45"/>
      <c r="X125" s="45"/>
      <c r="Y125" s="45"/>
      <c r="Z125" s="45"/>
      <c r="AA125" s="45"/>
      <c r="AC125" s="45"/>
      <c r="AD125" s="45"/>
      <c r="AE125" s="45"/>
      <c r="AF125" s="45"/>
      <c r="AG125" s="45"/>
      <c r="AH125" s="45"/>
    </row>
    <row r="126" spans="1:38" ht="25.05" customHeight="1">
      <c r="B126" s="44"/>
      <c r="C126" s="44"/>
      <c r="D126" s="44"/>
      <c r="E126" s="45"/>
      <c r="F126" s="45"/>
      <c r="G126" s="45"/>
      <c r="H126" s="45"/>
      <c r="I126" s="49" t="s">
        <v>50</v>
      </c>
      <c r="J126" s="9">
        <v>0</v>
      </c>
      <c r="K126" s="11">
        <v>3</v>
      </c>
      <c r="L126" s="11" t="s">
        <v>48</v>
      </c>
      <c r="M126" s="47"/>
      <c r="N126" s="14">
        <v>4</v>
      </c>
      <c r="O126" s="14"/>
      <c r="P126" s="14"/>
      <c r="Q126" s="50" t="s">
        <v>51</v>
      </c>
      <c r="R126" s="51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  <c r="AE126" s="45"/>
      <c r="AF126" s="45"/>
      <c r="AG126" s="45"/>
      <c r="AH126" s="45"/>
    </row>
    <row r="127" spans="1:38" ht="25.05" customHeight="1">
      <c r="B127" s="44"/>
      <c r="C127" s="44"/>
      <c r="D127" s="44"/>
      <c r="E127" s="45"/>
      <c r="F127" s="45"/>
      <c r="G127" s="45"/>
      <c r="H127" s="45"/>
      <c r="I127" s="49" t="s">
        <v>52</v>
      </c>
      <c r="J127" s="9">
        <v>0</v>
      </c>
      <c r="K127" s="11">
        <v>17</v>
      </c>
      <c r="L127" s="11" t="s">
        <v>48</v>
      </c>
      <c r="M127" s="47"/>
      <c r="N127" s="14">
        <v>1</v>
      </c>
      <c r="O127" s="14"/>
      <c r="P127" s="14"/>
      <c r="Q127" s="50" t="s">
        <v>53</v>
      </c>
      <c r="R127" s="51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  <c r="AE127" s="45"/>
      <c r="AF127" s="45"/>
      <c r="AG127" s="45"/>
      <c r="AH127" s="45"/>
    </row>
    <row r="128" spans="1:38" ht="25.05" customHeight="1">
      <c r="B128" s="44"/>
      <c r="C128" s="44"/>
      <c r="D128" s="44"/>
      <c r="E128" s="45"/>
      <c r="F128" s="45"/>
      <c r="G128" s="45"/>
      <c r="H128" s="45"/>
      <c r="I128" s="52" t="s">
        <v>54</v>
      </c>
      <c r="J128" s="53">
        <v>0</v>
      </c>
      <c r="K128" s="11">
        <v>6</v>
      </c>
      <c r="L128" s="54" t="s">
        <v>48</v>
      </c>
      <c r="M128" s="47"/>
      <c r="N128" s="14">
        <v>3</v>
      </c>
      <c r="O128" s="14"/>
      <c r="P128" s="14"/>
      <c r="Q128" s="50" t="s">
        <v>55</v>
      </c>
      <c r="R128" s="51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  <c r="AE128" s="45"/>
      <c r="AF128" s="45"/>
      <c r="AG128" s="45"/>
      <c r="AH128" s="45"/>
    </row>
    <row r="129" spans="2:34" ht="25.05" customHeight="1">
      <c r="B129" s="44"/>
      <c r="C129" s="44"/>
      <c r="D129" s="44"/>
      <c r="E129" s="45"/>
      <c r="F129" s="45"/>
      <c r="G129" s="45"/>
      <c r="H129" s="45"/>
      <c r="I129" s="49" t="s">
        <v>56</v>
      </c>
      <c r="J129" s="9">
        <v>0</v>
      </c>
      <c r="K129" s="11">
        <v>38</v>
      </c>
      <c r="L129" s="11" t="s">
        <v>48</v>
      </c>
      <c r="M129" s="47"/>
      <c r="N129"/>
      <c r="O129"/>
      <c r="P129"/>
      <c r="Q129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</row>
    <row r="130" spans="2:34" ht="25.05" customHeight="1">
      <c r="B130" s="44"/>
      <c r="C130" s="44"/>
      <c r="D130" s="44"/>
      <c r="E130" s="45"/>
      <c r="F130" s="45"/>
      <c r="G130" s="45"/>
      <c r="H130" s="45"/>
      <c r="M130" s="47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</row>
    <row r="131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23500-9E17-432C-81CA-F72F59A5A240}">
  <sheetPr>
    <pageSetUpPr fitToPage="1"/>
  </sheetPr>
  <dimension ref="A1:AL118"/>
  <sheetViews>
    <sheetView zoomScale="80" zoomScaleNormal="80" workbookViewId="0">
      <pane xSplit="12" ySplit="3" topLeftCell="M10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46085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0.8125</v>
      </c>
      <c r="I4" s="10">
        <f t="shared" ref="I4:I19" si="0">H4-G4</f>
        <v>2.083333333333337E-2</v>
      </c>
      <c r="J4" s="11">
        <v>7</v>
      </c>
      <c r="K4" s="11">
        <v>0</v>
      </c>
      <c r="L4" s="16">
        <f t="shared" ref="L4:L19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2464</v>
      </c>
      <c r="E5" s="15" t="s">
        <v>2519</v>
      </c>
      <c r="F5" s="55" t="s">
        <v>232</v>
      </c>
      <c r="G5" s="9">
        <v>0.8125</v>
      </c>
      <c r="H5" s="9">
        <v>0.82638888888888884</v>
      </c>
      <c r="I5" s="10">
        <f t="shared" si="0"/>
        <v>1.388888888888884E-2</v>
      </c>
      <c r="J5" s="11">
        <v>2</v>
      </c>
      <c r="K5" s="11">
        <f>5.27*12</f>
        <v>63.239999999999995</v>
      </c>
      <c r="L5" s="16">
        <f t="shared" si="1"/>
        <v>94.86000000000034</v>
      </c>
      <c r="M5" s="11">
        <v>20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5" t="s">
        <v>2520</v>
      </c>
      <c r="F6" s="8" t="s">
        <v>42</v>
      </c>
      <c r="G6" s="9">
        <v>0.81319444444444444</v>
      </c>
      <c r="H6" s="9">
        <v>0.84027777777777779</v>
      </c>
      <c r="I6" s="10">
        <f t="shared" si="0"/>
        <v>2.7083333333333348E-2</v>
      </c>
      <c r="J6" s="11">
        <v>2</v>
      </c>
      <c r="K6" s="11">
        <v>18</v>
      </c>
      <c r="L6" s="16">
        <f t="shared" si="1"/>
        <v>13.84615384615384</v>
      </c>
      <c r="M6" s="11"/>
      <c r="N6" s="11"/>
      <c r="O6" s="11"/>
      <c r="P6" s="11"/>
      <c r="Q6" s="11"/>
      <c r="R6" s="12"/>
      <c r="S6" s="12">
        <v>39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2521</v>
      </c>
      <c r="F7" s="55" t="s">
        <v>232</v>
      </c>
      <c r="G7" s="9">
        <v>0.84097222222222223</v>
      </c>
      <c r="H7" s="9">
        <v>0.85069444444444442</v>
      </c>
      <c r="I7" s="10">
        <f t="shared" si="0"/>
        <v>9.7222222222221877E-3</v>
      </c>
      <c r="J7" s="11">
        <v>2</v>
      </c>
      <c r="K7" s="11">
        <f>1.5*12</f>
        <v>18</v>
      </c>
      <c r="L7" s="16">
        <f t="shared" si="1"/>
        <v>38.571428571428704</v>
      </c>
      <c r="M7" s="11">
        <v>14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2606</v>
      </c>
      <c r="F8" s="8" t="s">
        <v>42</v>
      </c>
      <c r="G8" s="9">
        <v>0.81319444444444444</v>
      </c>
      <c r="H8" s="9">
        <v>0.875</v>
      </c>
      <c r="I8" s="10">
        <f t="shared" si="0"/>
        <v>6.1805555555555558E-2</v>
      </c>
      <c r="J8" s="11">
        <v>2</v>
      </c>
      <c r="K8" s="11">
        <v>407</v>
      </c>
      <c r="L8" s="16">
        <f t="shared" si="1"/>
        <v>137.19101123595505</v>
      </c>
      <c r="M8" s="11"/>
      <c r="N8" s="11"/>
      <c r="O8" s="11"/>
      <c r="P8" s="11"/>
      <c r="Q8" s="11"/>
      <c r="R8" s="12"/>
      <c r="S8" s="12">
        <v>89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2522</v>
      </c>
      <c r="F9" s="55" t="s">
        <v>61</v>
      </c>
      <c r="G9" s="9">
        <v>0.85069444444444442</v>
      </c>
      <c r="H9" s="9">
        <v>0.875</v>
      </c>
      <c r="I9" s="10">
        <f t="shared" si="0"/>
        <v>2.430555555555558E-2</v>
      </c>
      <c r="J9" s="11">
        <v>2</v>
      </c>
      <c r="K9" s="11">
        <f>11*12</f>
        <v>132</v>
      </c>
      <c r="L9" s="16">
        <f t="shared" si="1"/>
        <v>113.14285714285704</v>
      </c>
      <c r="M9" s="11">
        <v>35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2607</v>
      </c>
      <c r="F10" s="8" t="s">
        <v>42</v>
      </c>
      <c r="G10" s="9">
        <v>46086.09375</v>
      </c>
      <c r="H10" s="9">
        <v>46086.145833333336</v>
      </c>
      <c r="I10" s="10">
        <f t="shared" si="0"/>
        <v>5.2083333335758653E-2</v>
      </c>
      <c r="J10" s="11">
        <v>7</v>
      </c>
      <c r="K10" s="11">
        <f>60*12</f>
        <v>720</v>
      </c>
      <c r="L10" s="16">
        <f t="shared" si="1"/>
        <v>82.285714281882562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/>
      <c r="F11" s="55"/>
      <c r="G11" s="9"/>
      <c r="H11" s="9"/>
      <c r="I11" s="10">
        <f t="shared" si="0"/>
        <v>0</v>
      </c>
      <c r="J11" s="11"/>
      <c r="K11" s="11"/>
      <c r="L11" s="16" t="str">
        <f t="shared" si="1"/>
        <v>0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 t="s">
        <v>58</v>
      </c>
      <c r="E12" s="15" t="s">
        <v>2608</v>
      </c>
      <c r="F12" s="55" t="s">
        <v>59</v>
      </c>
      <c r="G12" s="9">
        <v>0.82708333333333328</v>
      </c>
      <c r="H12" s="9">
        <v>0.83680555555555558</v>
      </c>
      <c r="I12" s="10">
        <f t="shared" si="0"/>
        <v>9.7222222222222987E-3</v>
      </c>
      <c r="J12" s="11">
        <v>2</v>
      </c>
      <c r="K12" s="11">
        <f>4.4*5</f>
        <v>22</v>
      </c>
      <c r="L12" s="16">
        <f t="shared" si="1"/>
        <v>47.142857142856769</v>
      </c>
      <c r="M12" s="11">
        <v>14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2609</v>
      </c>
      <c r="F13" s="55" t="s">
        <v>59</v>
      </c>
      <c r="G13" s="9">
        <v>0.88194444444444442</v>
      </c>
      <c r="H13" s="9">
        <v>0.89583333333333337</v>
      </c>
      <c r="I13" s="10">
        <f t="shared" si="0"/>
        <v>1.3888888888888951E-2</v>
      </c>
      <c r="J13" s="11">
        <v>2</v>
      </c>
      <c r="K13" s="11">
        <f>27.5*5</f>
        <v>137.5</v>
      </c>
      <c r="L13" s="16">
        <f t="shared" si="1"/>
        <v>206.24999999999909</v>
      </c>
      <c r="M13" s="11">
        <v>20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60</v>
      </c>
      <c r="F14" s="8" t="s">
        <v>42</v>
      </c>
      <c r="G14" s="9">
        <v>0.81319444444444444</v>
      </c>
      <c r="H14" s="9">
        <v>0.875</v>
      </c>
      <c r="I14" s="10">
        <f t="shared" si="0"/>
        <v>6.1805555555555558E-2</v>
      </c>
      <c r="J14" s="11">
        <v>2</v>
      </c>
      <c r="K14" s="11">
        <f>75*4.03</f>
        <v>302.25</v>
      </c>
      <c r="L14" s="16">
        <f t="shared" si="1"/>
        <v>101.8820224719101</v>
      </c>
      <c r="M14" s="11"/>
      <c r="N14" s="11"/>
      <c r="O14" s="11"/>
      <c r="P14" s="11"/>
      <c r="Q14" s="11">
        <v>89</v>
      </c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 t="s">
        <v>2610</v>
      </c>
      <c r="F15" s="57">
        <v>0.5</v>
      </c>
      <c r="G15" s="9">
        <v>0.89652777777777781</v>
      </c>
      <c r="H15" s="9">
        <v>0.93055555555555558</v>
      </c>
      <c r="I15" s="10">
        <f t="shared" si="0"/>
        <v>3.4027777777777768E-2</v>
      </c>
      <c r="J15" s="11">
        <v>2</v>
      </c>
      <c r="K15" s="11">
        <f>60*5</f>
        <v>300</v>
      </c>
      <c r="L15" s="16">
        <f t="shared" si="1"/>
        <v>183.67346938775515</v>
      </c>
      <c r="M15" s="11">
        <v>49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2611</v>
      </c>
      <c r="F16" s="55" t="s">
        <v>61</v>
      </c>
      <c r="G16" s="9">
        <v>0.88194444444444442</v>
      </c>
      <c r="H16" s="9">
        <v>46086.013888888891</v>
      </c>
      <c r="I16" s="10">
        <f t="shared" si="0"/>
        <v>46085.131944444445</v>
      </c>
      <c r="J16" s="11">
        <v>5</v>
      </c>
      <c r="K16" s="11">
        <f>45.26*4</f>
        <v>181.04</v>
      </c>
      <c r="L16" s="16">
        <f t="shared" si="1"/>
        <v>3.2736516160686315E-5</v>
      </c>
      <c r="M16" s="11"/>
      <c r="N16" s="11"/>
      <c r="O16" s="11"/>
      <c r="P16" s="11"/>
      <c r="Q16" s="11"/>
      <c r="R16" s="12"/>
      <c r="S16" s="12">
        <v>190</v>
      </c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 t="s">
        <v>2612</v>
      </c>
      <c r="F17" s="55" t="s">
        <v>61</v>
      </c>
      <c r="G17" s="9">
        <v>46086.065972222219</v>
      </c>
      <c r="H17" s="9">
        <v>46086.090277777781</v>
      </c>
      <c r="I17" s="10">
        <f t="shared" si="0"/>
        <v>2.4305555562023073E-2</v>
      </c>
      <c r="J17" s="11">
        <v>7</v>
      </c>
      <c r="K17" s="11">
        <v>45.26</v>
      </c>
      <c r="L17" s="16">
        <f t="shared" si="1"/>
        <v>11.084081629703673</v>
      </c>
      <c r="M17" s="11"/>
      <c r="N17" s="11"/>
      <c r="O17" s="11"/>
      <c r="P17" s="11"/>
      <c r="Q17" s="11"/>
      <c r="R17" s="12"/>
      <c r="S17" s="12">
        <v>35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15"/>
      <c r="F18" s="55"/>
      <c r="G18" s="9"/>
      <c r="H18" s="9"/>
      <c r="I18" s="10">
        <f t="shared" si="0"/>
        <v>0</v>
      </c>
      <c r="J18" s="11"/>
      <c r="K18" s="11"/>
      <c r="L18" s="16" t="str">
        <f t="shared" si="1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/>
      <c r="F19" s="55"/>
      <c r="G19" s="9"/>
      <c r="H19" s="9"/>
      <c r="I19" s="10">
        <f t="shared" si="0"/>
        <v>0</v>
      </c>
      <c r="J19" s="11"/>
      <c r="K19" s="11"/>
      <c r="L19" s="16" t="str">
        <f t="shared" si="1"/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s="28" customFormat="1" ht="25.05" customHeight="1">
      <c r="A20" s="2"/>
      <c r="B20" s="21"/>
      <c r="C20" s="22"/>
      <c r="D20" s="23"/>
      <c r="E20" s="24"/>
      <c r="F20" s="24"/>
      <c r="G20" s="25"/>
      <c r="H20" s="25"/>
      <c r="I20" s="26"/>
      <c r="J20" s="27"/>
      <c r="K20" s="27">
        <f t="shared" ref="K20:AL20" si="2">SUM(K4:K19)</f>
        <v>2346.29</v>
      </c>
      <c r="L20" s="39">
        <f t="shared" si="2"/>
        <v>1029.9296284470186</v>
      </c>
      <c r="M20" s="27">
        <f t="shared" si="2"/>
        <v>152</v>
      </c>
      <c r="N20" s="27">
        <f t="shared" si="2"/>
        <v>0</v>
      </c>
      <c r="O20" s="27">
        <f t="shared" si="2"/>
        <v>0</v>
      </c>
      <c r="P20" s="27">
        <f t="shared" si="2"/>
        <v>0</v>
      </c>
      <c r="Q20" s="27">
        <f t="shared" si="2"/>
        <v>89</v>
      </c>
      <c r="R20" s="27">
        <f t="shared" si="2"/>
        <v>0</v>
      </c>
      <c r="S20" s="27">
        <f t="shared" si="2"/>
        <v>353</v>
      </c>
      <c r="T20" s="27">
        <f t="shared" si="2"/>
        <v>0</v>
      </c>
      <c r="U20" s="27">
        <f t="shared" si="2"/>
        <v>0</v>
      </c>
      <c r="V20" s="27">
        <f t="shared" si="2"/>
        <v>0</v>
      </c>
      <c r="W20" s="27">
        <f t="shared" si="2"/>
        <v>0</v>
      </c>
      <c r="X20" s="27">
        <f t="shared" si="2"/>
        <v>0</v>
      </c>
      <c r="Y20" s="27">
        <f t="shared" si="2"/>
        <v>0</v>
      </c>
      <c r="Z20" s="27">
        <f t="shared" si="2"/>
        <v>0</v>
      </c>
      <c r="AA20" s="27">
        <f t="shared" si="2"/>
        <v>0</v>
      </c>
      <c r="AB20" s="27">
        <f t="shared" si="2"/>
        <v>0</v>
      </c>
      <c r="AC20" s="27">
        <f t="shared" si="2"/>
        <v>0</v>
      </c>
      <c r="AD20" s="27">
        <f t="shared" si="2"/>
        <v>0</v>
      </c>
      <c r="AE20" s="27">
        <f t="shared" si="2"/>
        <v>0</v>
      </c>
      <c r="AF20" s="27">
        <f t="shared" si="2"/>
        <v>0</v>
      </c>
      <c r="AG20" s="27">
        <f t="shared" si="2"/>
        <v>0</v>
      </c>
      <c r="AH20" s="27">
        <f t="shared" si="2"/>
        <v>0</v>
      </c>
      <c r="AI20" s="27">
        <f t="shared" si="2"/>
        <v>0</v>
      </c>
      <c r="AJ20" s="27">
        <f t="shared" si="2"/>
        <v>0</v>
      </c>
      <c r="AK20" s="27">
        <f t="shared" si="2"/>
        <v>0</v>
      </c>
      <c r="AL20" s="27">
        <f t="shared" si="2"/>
        <v>0</v>
      </c>
    </row>
    <row r="21" spans="1:38" ht="25.05" customHeight="1">
      <c r="B21" s="13"/>
      <c r="C21" s="14" t="s">
        <v>43</v>
      </c>
      <c r="D21" s="6"/>
      <c r="E21" s="7" t="s">
        <v>41</v>
      </c>
      <c r="F21" s="8" t="s">
        <v>42</v>
      </c>
      <c r="G21" s="9"/>
      <c r="H21" s="9"/>
      <c r="I21" s="10">
        <f>H21-G21</f>
        <v>0</v>
      </c>
      <c r="J21" s="11"/>
      <c r="K21" s="11"/>
      <c r="L21" s="16" t="str">
        <f>IFERROR(((K21/(J21*I21)/24)),"0")</f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18"/>
      <c r="E22" s="6"/>
      <c r="F22" s="14"/>
      <c r="G22" s="9"/>
      <c r="H22" s="9"/>
      <c r="I22" s="10"/>
      <c r="J22" s="11"/>
      <c r="K22" s="11"/>
      <c r="L22" s="16"/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s="28" customFormat="1" ht="25.05" customHeight="1">
      <c r="A23" s="2"/>
      <c r="B23" s="21"/>
      <c r="C23" s="22"/>
      <c r="D23" s="23"/>
      <c r="E23" s="24"/>
      <c r="F23" s="22"/>
      <c r="G23" s="25"/>
      <c r="H23" s="25"/>
      <c r="I23" s="26"/>
      <c r="J23" s="27"/>
      <c r="K23" s="27">
        <f t="shared" ref="K23:AI23" si="3">SUM(K21:K22)</f>
        <v>0</v>
      </c>
      <c r="L23" s="27">
        <f t="shared" si="3"/>
        <v>0</v>
      </c>
      <c r="M23" s="27">
        <f t="shared" si="3"/>
        <v>0</v>
      </c>
      <c r="N23" s="27">
        <f t="shared" si="3"/>
        <v>0</v>
      </c>
      <c r="O23" s="27">
        <f t="shared" si="3"/>
        <v>0</v>
      </c>
      <c r="P23" s="27">
        <f t="shared" si="3"/>
        <v>0</v>
      </c>
      <c r="Q23" s="27">
        <f t="shared" si="3"/>
        <v>0</v>
      </c>
      <c r="R23" s="27">
        <f t="shared" si="3"/>
        <v>0</v>
      </c>
      <c r="S23" s="27">
        <f t="shared" si="3"/>
        <v>0</v>
      </c>
      <c r="T23" s="27">
        <f t="shared" si="3"/>
        <v>0</v>
      </c>
      <c r="U23" s="27">
        <f t="shared" si="3"/>
        <v>0</v>
      </c>
      <c r="V23" s="27">
        <f t="shared" si="3"/>
        <v>0</v>
      </c>
      <c r="W23" s="27">
        <f t="shared" si="3"/>
        <v>0</v>
      </c>
      <c r="X23" s="27">
        <f t="shared" si="3"/>
        <v>0</v>
      </c>
      <c r="Y23" s="27">
        <f t="shared" si="3"/>
        <v>0</v>
      </c>
      <c r="Z23" s="27">
        <f t="shared" si="3"/>
        <v>0</v>
      </c>
      <c r="AA23" s="27">
        <f t="shared" si="3"/>
        <v>0</v>
      </c>
      <c r="AB23" s="27">
        <f t="shared" si="3"/>
        <v>0</v>
      </c>
      <c r="AC23" s="27">
        <f t="shared" si="3"/>
        <v>0</v>
      </c>
      <c r="AD23" s="27">
        <f t="shared" si="3"/>
        <v>0</v>
      </c>
      <c r="AE23" s="27">
        <f t="shared" si="3"/>
        <v>0</v>
      </c>
      <c r="AF23" s="27">
        <f t="shared" si="3"/>
        <v>0</v>
      </c>
      <c r="AG23" s="27">
        <f t="shared" si="3"/>
        <v>0</v>
      </c>
      <c r="AH23" s="27">
        <f t="shared" si="3"/>
        <v>0</v>
      </c>
      <c r="AI23" s="27">
        <f t="shared" si="3"/>
        <v>0</v>
      </c>
      <c r="AJ23" s="27">
        <f>SUM(AJ21:AJ22)</f>
        <v>0</v>
      </c>
      <c r="AK23" s="27">
        <f>SUM(AK21:AK22)</f>
        <v>0</v>
      </c>
      <c r="AL23" s="27">
        <f>SUM(AL21:AL22)</f>
        <v>0</v>
      </c>
    </row>
    <row r="24" spans="1:38" ht="25.05" customHeight="1">
      <c r="B24" s="5">
        <v>46085</v>
      </c>
      <c r="C24" s="29" t="s">
        <v>44</v>
      </c>
      <c r="D24" s="30"/>
      <c r="E24" s="7" t="s">
        <v>41</v>
      </c>
      <c r="F24" s="8" t="s">
        <v>42</v>
      </c>
      <c r="G24" s="9">
        <v>0.79166666666666663</v>
      </c>
      <c r="H24" s="9">
        <v>0.83333333333333337</v>
      </c>
      <c r="I24" s="10">
        <f t="shared" ref="I24:I99" si="4">H24-G24</f>
        <v>4.1666666666666741E-2</v>
      </c>
      <c r="J24" s="11">
        <v>5</v>
      </c>
      <c r="K24" s="11">
        <v>0</v>
      </c>
      <c r="L24" s="16">
        <f t="shared" ref="L24:L99" si="5">IFERROR(((K24/(J24*I24)/24)),"0")</f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4"/>
    </row>
    <row r="25" spans="1:38" ht="25.05" customHeight="1">
      <c r="B25" s="13"/>
      <c r="C25" s="29"/>
      <c r="D25" s="6" t="s">
        <v>2464</v>
      </c>
      <c r="E25" s="19" t="s">
        <v>2613</v>
      </c>
      <c r="F25" s="8" t="s">
        <v>42</v>
      </c>
      <c r="G25" s="9">
        <v>0.86458333333333337</v>
      </c>
      <c r="H25" s="9">
        <v>0.87430555555555556</v>
      </c>
      <c r="I25" s="10">
        <f t="shared" si="4"/>
        <v>9.7222222222221877E-3</v>
      </c>
      <c r="J25" s="11">
        <v>4</v>
      </c>
      <c r="K25" s="11">
        <v>102.57</v>
      </c>
      <c r="L25" s="16">
        <f t="shared" si="5"/>
        <v>109.89642857142896</v>
      </c>
      <c r="M25" s="11"/>
      <c r="N25" s="11"/>
      <c r="O25" s="11"/>
      <c r="P25" s="11"/>
      <c r="Q25" s="11"/>
      <c r="R25" s="12"/>
      <c r="S25" s="12"/>
      <c r="T25" s="11"/>
      <c r="U25" s="11"/>
      <c r="V25" s="12">
        <v>2</v>
      </c>
      <c r="W25" s="12"/>
      <c r="X25" s="11"/>
      <c r="Y25" s="11"/>
      <c r="Z25" s="11"/>
      <c r="AA25" s="11"/>
      <c r="AB25" s="11">
        <v>14</v>
      </c>
      <c r="AC25" s="11"/>
      <c r="AD25" s="11"/>
      <c r="AE25" s="11"/>
      <c r="AF25" s="11"/>
      <c r="AG25" s="11"/>
      <c r="AH25" s="11"/>
      <c r="AI25" s="11"/>
      <c r="AJ25" s="11"/>
      <c r="AK25" s="11"/>
      <c r="AL25" s="14"/>
    </row>
    <row r="26" spans="1:38" ht="25.05" customHeight="1">
      <c r="B26" s="13"/>
      <c r="C26" s="29"/>
      <c r="D26" s="30"/>
      <c r="E26" s="19" t="s">
        <v>2614</v>
      </c>
      <c r="F26" s="8" t="s">
        <v>42</v>
      </c>
      <c r="G26" s="9">
        <v>0.87708333333333333</v>
      </c>
      <c r="H26" s="9">
        <v>0.88611111111111107</v>
      </c>
      <c r="I26" s="10">
        <f t="shared" si="4"/>
        <v>9.0277777777777457E-3</v>
      </c>
      <c r="J26" s="11">
        <v>4</v>
      </c>
      <c r="K26" s="11">
        <v>102.11</v>
      </c>
      <c r="L26" s="16">
        <f t="shared" si="5"/>
        <v>117.81923076923118</v>
      </c>
      <c r="M26" s="11"/>
      <c r="N26" s="11"/>
      <c r="O26" s="11"/>
      <c r="P26" s="11"/>
      <c r="Q26" s="11"/>
      <c r="R26" s="12"/>
      <c r="S26" s="12"/>
      <c r="T26" s="11"/>
      <c r="U26" s="11"/>
      <c r="V26" s="12">
        <v>2</v>
      </c>
      <c r="W26" s="12"/>
      <c r="X26" s="11"/>
      <c r="Y26" s="11"/>
      <c r="Z26" s="11"/>
      <c r="AA26" s="11"/>
      <c r="AB26" s="11">
        <v>13</v>
      </c>
      <c r="AC26" s="11"/>
      <c r="AD26" s="11"/>
      <c r="AE26" s="11"/>
      <c r="AF26" s="11"/>
      <c r="AG26" s="11"/>
      <c r="AH26" s="11"/>
      <c r="AI26" s="11"/>
      <c r="AJ26" s="11"/>
      <c r="AK26" s="11"/>
      <c r="AL26" s="14"/>
    </row>
    <row r="27" spans="1:38" ht="25.05" customHeight="1">
      <c r="B27" s="13"/>
      <c r="C27" s="29"/>
      <c r="D27" s="30"/>
      <c r="E27" s="19" t="s">
        <v>2615</v>
      </c>
      <c r="F27" s="8" t="s">
        <v>42</v>
      </c>
      <c r="G27" s="9">
        <v>0.91527777777777775</v>
      </c>
      <c r="H27" s="9">
        <v>0.94652777777777775</v>
      </c>
      <c r="I27" s="10">
        <f>H27-G27</f>
        <v>3.125E-2</v>
      </c>
      <c r="J27" s="11">
        <v>4</v>
      </c>
      <c r="K27" s="11">
        <v>80.400000000000006</v>
      </c>
      <c r="L27" s="16">
        <f t="shared" ref="L27:L39" si="6">IFERROR(((K27/(J27*I27)/24)),"0")</f>
        <v>26.8</v>
      </c>
      <c r="M27" s="11"/>
      <c r="N27" s="11"/>
      <c r="O27" s="11"/>
      <c r="P27" s="11"/>
      <c r="Q27" s="11"/>
      <c r="R27" s="12"/>
      <c r="S27" s="12"/>
      <c r="T27" s="11"/>
      <c r="U27" s="11"/>
      <c r="V27" s="12">
        <v>2</v>
      </c>
      <c r="W27" s="12"/>
      <c r="X27" s="11"/>
      <c r="Y27" s="11"/>
      <c r="Z27" s="11"/>
      <c r="AA27" s="11">
        <v>45</v>
      </c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4"/>
    </row>
    <row r="28" spans="1:38" ht="25.05" customHeight="1">
      <c r="B28" s="13"/>
      <c r="C28" s="29"/>
      <c r="D28" s="30"/>
      <c r="E28" s="19" t="s">
        <v>2616</v>
      </c>
      <c r="F28" s="8" t="s">
        <v>42</v>
      </c>
      <c r="G28" s="9">
        <v>0.92152777777777772</v>
      </c>
      <c r="H28" s="9">
        <v>0.95277777777777772</v>
      </c>
      <c r="I28" s="10">
        <f>H28-G28</f>
        <v>3.125E-2</v>
      </c>
      <c r="J28" s="11">
        <v>4</v>
      </c>
      <c r="K28" s="11">
        <v>80.400000000000006</v>
      </c>
      <c r="L28" s="16">
        <f t="shared" si="6"/>
        <v>26.8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2</v>
      </c>
      <c r="W28" s="12"/>
      <c r="X28" s="11">
        <v>45</v>
      </c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30"/>
      <c r="E29" s="19" t="s">
        <v>2617</v>
      </c>
      <c r="F29" s="8" t="s">
        <v>42</v>
      </c>
      <c r="G29" s="9">
        <v>0.92777777777777781</v>
      </c>
      <c r="H29" s="9">
        <v>0.95902777777777781</v>
      </c>
      <c r="I29" s="10">
        <f>H29-G29</f>
        <v>3.125E-2</v>
      </c>
      <c r="J29" s="11">
        <v>4</v>
      </c>
      <c r="K29" s="11">
        <v>20.100000000000001</v>
      </c>
      <c r="L29" s="16">
        <f t="shared" si="6"/>
        <v>6.7</v>
      </c>
      <c r="M29" s="11"/>
      <c r="N29" s="11"/>
      <c r="O29" s="11"/>
      <c r="P29" s="11"/>
      <c r="Q29" s="11"/>
      <c r="R29" s="12"/>
      <c r="S29" s="12"/>
      <c r="T29" s="11"/>
      <c r="U29" s="11"/>
      <c r="V29" s="12">
        <v>2</v>
      </c>
      <c r="W29" s="12"/>
      <c r="X29" s="11"/>
      <c r="Y29" s="11">
        <v>45</v>
      </c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9" t="s">
        <v>2618</v>
      </c>
      <c r="F30" s="8" t="s">
        <v>42</v>
      </c>
      <c r="G30" s="9">
        <v>0.92777777777777781</v>
      </c>
      <c r="H30" s="9">
        <v>0.95902777777777781</v>
      </c>
      <c r="I30" s="10">
        <f>H30-G30</f>
        <v>3.125E-2</v>
      </c>
      <c r="J30" s="11">
        <v>4</v>
      </c>
      <c r="K30" s="11">
        <v>60.3</v>
      </c>
      <c r="L30" s="16">
        <f t="shared" si="6"/>
        <v>20.099999999999998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/>
      <c r="Y30" s="11">
        <v>45</v>
      </c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2619</v>
      </c>
      <c r="F31" s="8" t="s">
        <v>42</v>
      </c>
      <c r="G31" s="9">
        <v>0.93611111111111112</v>
      </c>
      <c r="H31" s="9">
        <v>0.96736111111111112</v>
      </c>
      <c r="I31" s="10">
        <f>H31-G31</f>
        <v>3.125E-2</v>
      </c>
      <c r="J31" s="11">
        <v>4</v>
      </c>
      <c r="K31" s="11">
        <v>80.400000000000006</v>
      </c>
      <c r="L31" s="16">
        <f t="shared" si="6"/>
        <v>26.8</v>
      </c>
      <c r="M31" s="11"/>
      <c r="N31" s="11"/>
      <c r="O31" s="11"/>
      <c r="P31" s="11"/>
      <c r="Q31" s="11"/>
      <c r="R31" s="12"/>
      <c r="S31" s="12"/>
      <c r="T31" s="11"/>
      <c r="U31" s="11"/>
      <c r="V31" s="12">
        <v>2</v>
      </c>
      <c r="W31" s="12"/>
      <c r="X31" s="11"/>
      <c r="Y31" s="11"/>
      <c r="Z31" s="11">
        <v>45</v>
      </c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2620</v>
      </c>
      <c r="F32" s="8" t="s">
        <v>42</v>
      </c>
      <c r="G32" s="9">
        <v>0.97638888888888886</v>
      </c>
      <c r="H32" s="9">
        <v>7.6388888888888886E-3</v>
      </c>
      <c r="I32" s="10">
        <v>3.125E-2</v>
      </c>
      <c r="J32" s="11">
        <v>4</v>
      </c>
      <c r="K32" s="11">
        <v>40.200000000000003</v>
      </c>
      <c r="L32" s="16">
        <f t="shared" si="6"/>
        <v>13.4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2</v>
      </c>
      <c r="W32" s="12"/>
      <c r="X32" s="11">
        <v>45</v>
      </c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2621</v>
      </c>
      <c r="F33" s="8" t="s">
        <v>42</v>
      </c>
      <c r="G33" s="9">
        <v>0.97638888888888886</v>
      </c>
      <c r="H33" s="9">
        <v>7.6388888888888886E-3</v>
      </c>
      <c r="I33" s="10">
        <v>3.125E-2</v>
      </c>
      <c r="J33" s="11">
        <v>4</v>
      </c>
      <c r="K33" s="11">
        <v>40.200000000000003</v>
      </c>
      <c r="L33" s="16">
        <f t="shared" si="6"/>
        <v>13.4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</v>
      </c>
      <c r="W33" s="12"/>
      <c r="X33" s="11">
        <v>45</v>
      </c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2622</v>
      </c>
      <c r="F34" s="8" t="s">
        <v>42</v>
      </c>
      <c r="G34" s="9">
        <v>0.98263888888888884</v>
      </c>
      <c r="H34" s="9">
        <v>1.3888888888888888E-2</v>
      </c>
      <c r="I34" s="10">
        <v>3.125E-2</v>
      </c>
      <c r="J34" s="11">
        <v>4</v>
      </c>
      <c r="K34" s="11">
        <v>80.400000000000006</v>
      </c>
      <c r="L34" s="16">
        <f t="shared" si="6"/>
        <v>26.8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>
        <v>45</v>
      </c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2623</v>
      </c>
      <c r="F35" s="8" t="s">
        <v>42</v>
      </c>
      <c r="G35" s="9">
        <v>0.99097222222222225</v>
      </c>
      <c r="H35" s="9">
        <v>2.2222222222222223E-2</v>
      </c>
      <c r="I35" s="10">
        <v>3.125E-2</v>
      </c>
      <c r="J35" s="11">
        <v>4</v>
      </c>
      <c r="K35" s="11">
        <v>60.3</v>
      </c>
      <c r="L35" s="16">
        <f t="shared" si="6"/>
        <v>20.099999999999998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>
        <v>45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2624</v>
      </c>
      <c r="F36" s="8" t="s">
        <v>42</v>
      </c>
      <c r="G36" s="9">
        <v>0.99097222222222225</v>
      </c>
      <c r="H36" s="9">
        <v>2.2222222222222223E-2</v>
      </c>
      <c r="I36" s="10">
        <v>3.125E-2</v>
      </c>
      <c r="J36" s="11">
        <v>4</v>
      </c>
      <c r="K36" s="11">
        <v>20.100000000000001</v>
      </c>
      <c r="L36" s="16">
        <f t="shared" si="6"/>
        <v>6.7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>
        <v>45</v>
      </c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2625</v>
      </c>
      <c r="F37" s="8" t="s">
        <v>42</v>
      </c>
      <c r="G37" s="9">
        <v>0.99652777777777779</v>
      </c>
      <c r="H37" s="9">
        <v>2.7777777777777776E-2</v>
      </c>
      <c r="I37" s="10">
        <v>3.125E-2</v>
      </c>
      <c r="J37" s="11">
        <v>4</v>
      </c>
      <c r="K37" s="11">
        <v>80.400000000000006</v>
      </c>
      <c r="L37" s="16">
        <f t="shared" si="6"/>
        <v>26.8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>
        <v>45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2626</v>
      </c>
      <c r="F38" s="8" t="s">
        <v>42</v>
      </c>
      <c r="G38" s="9">
        <v>9.0277777777777769E-3</v>
      </c>
      <c r="H38" s="9">
        <v>4.027777777777778E-2</v>
      </c>
      <c r="I38" s="10">
        <f>H38-G38</f>
        <v>3.125E-2</v>
      </c>
      <c r="J38" s="11">
        <v>4</v>
      </c>
      <c r="K38" s="11">
        <v>80.400000000000006</v>
      </c>
      <c r="L38" s="16">
        <f t="shared" si="6"/>
        <v>26.8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>
        <v>45</v>
      </c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2627</v>
      </c>
      <c r="F39" s="8" t="s">
        <v>42</v>
      </c>
      <c r="G39" s="9">
        <v>0.8666666666666667</v>
      </c>
      <c r="H39" s="9">
        <v>0.88888888888888884</v>
      </c>
      <c r="I39" s="10">
        <f>H39-G39</f>
        <v>2.2222222222222143E-2</v>
      </c>
      <c r="J39" s="11">
        <v>4</v>
      </c>
      <c r="K39" s="11">
        <v>161.30000000000001</v>
      </c>
      <c r="L39" s="16">
        <f t="shared" si="6"/>
        <v>75.60937500000027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/>
      <c r="AC39" s="11"/>
      <c r="AD39" s="11">
        <v>32</v>
      </c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2628</v>
      </c>
      <c r="F40" s="8" t="s">
        <v>42</v>
      </c>
      <c r="G40" s="9">
        <v>0.88541666666666663</v>
      </c>
      <c r="H40" s="9">
        <v>0.91388888888888886</v>
      </c>
      <c r="I40" s="10">
        <f t="shared" si="4"/>
        <v>2.8472222222222232E-2</v>
      </c>
      <c r="J40" s="11">
        <v>4</v>
      </c>
      <c r="K40" s="11">
        <v>162.79</v>
      </c>
      <c r="L40" s="16">
        <f t="shared" si="5"/>
        <v>59.557317073170708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>
        <v>41</v>
      </c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2629</v>
      </c>
      <c r="F41" s="8" t="s">
        <v>42</v>
      </c>
      <c r="G41" s="9">
        <v>0.89583333333333337</v>
      </c>
      <c r="H41" s="9">
        <v>0.9194444444444444</v>
      </c>
      <c r="I41" s="10">
        <f t="shared" si="4"/>
        <v>2.3611111111111027E-2</v>
      </c>
      <c r="J41" s="11">
        <v>4</v>
      </c>
      <c r="K41" s="11">
        <v>160.31</v>
      </c>
      <c r="L41" s="16">
        <f t="shared" si="5"/>
        <v>70.72500000000025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>
        <v>34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2630</v>
      </c>
      <c r="F42" s="8" t="s">
        <v>42</v>
      </c>
      <c r="G42" s="9">
        <v>0.89722222222222225</v>
      </c>
      <c r="H42" s="9">
        <v>0.92152777777777772</v>
      </c>
      <c r="I42" s="10">
        <f t="shared" si="4"/>
        <v>2.4305555555555469E-2</v>
      </c>
      <c r="J42" s="11">
        <v>4</v>
      </c>
      <c r="K42" s="11">
        <v>159.02000000000001</v>
      </c>
      <c r="L42" s="16">
        <f t="shared" si="5"/>
        <v>68.151428571428809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/>
      <c r="Z42" s="11"/>
      <c r="AA42" s="11"/>
      <c r="AB42" s="11"/>
      <c r="AC42" s="11"/>
      <c r="AD42" s="11">
        <v>35</v>
      </c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 t="s">
        <v>2631</v>
      </c>
      <c r="F43" s="8" t="s">
        <v>42</v>
      </c>
      <c r="G43" s="9">
        <v>0.91874999999999996</v>
      </c>
      <c r="H43" s="9">
        <v>0.94791666666666663</v>
      </c>
      <c r="I43" s="10">
        <f t="shared" si="4"/>
        <v>2.9166666666666674E-2</v>
      </c>
      <c r="J43" s="11">
        <v>4</v>
      </c>
      <c r="K43" s="11">
        <v>160.22</v>
      </c>
      <c r="L43" s="16">
        <f t="shared" si="5"/>
        <v>57.221428571428561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>
        <v>42</v>
      </c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9" t="s">
        <v>2632</v>
      </c>
      <c r="F44" s="8" t="s">
        <v>42</v>
      </c>
      <c r="G44" s="9">
        <v>0.9375</v>
      </c>
      <c r="H44" s="9">
        <v>0.96388888888888891</v>
      </c>
      <c r="I44" s="10">
        <f t="shared" si="4"/>
        <v>2.6388888888888906E-2</v>
      </c>
      <c r="J44" s="11">
        <v>4</v>
      </c>
      <c r="K44" s="11">
        <v>160.38999999999999</v>
      </c>
      <c r="L44" s="16">
        <f t="shared" si="5"/>
        <v>63.311842105263111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>
        <v>38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2540</v>
      </c>
      <c r="F45" s="8" t="s">
        <v>42</v>
      </c>
      <c r="G45" s="9">
        <v>5.2083333333333336E-2</v>
      </c>
      <c r="H45" s="9">
        <v>5.7638888888888892E-2</v>
      </c>
      <c r="I45" s="10">
        <f t="shared" si="4"/>
        <v>5.5555555555555566E-3</v>
      </c>
      <c r="J45" s="11">
        <v>4</v>
      </c>
      <c r="K45" s="11">
        <v>83.36</v>
      </c>
      <c r="L45" s="16">
        <f t="shared" si="5"/>
        <v>156.29999999999998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/>
      <c r="X45" s="11"/>
      <c r="Y45" s="11"/>
      <c r="Z45" s="11"/>
      <c r="AA45" s="11"/>
      <c r="AB45" s="11">
        <v>8</v>
      </c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2541</v>
      </c>
      <c r="F46" s="8" t="s">
        <v>42</v>
      </c>
      <c r="G46" s="9">
        <v>5.4166666666666669E-2</v>
      </c>
      <c r="H46" s="9">
        <v>5.9722222222222225E-2</v>
      </c>
      <c r="I46" s="10">
        <f t="shared" si="4"/>
        <v>5.5555555555555566E-3</v>
      </c>
      <c r="J46" s="11">
        <v>4</v>
      </c>
      <c r="K46" s="11">
        <v>83.36</v>
      </c>
      <c r="L46" s="16">
        <f t="shared" si="5"/>
        <v>156.29999999999998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/>
      <c r="X46" s="11"/>
      <c r="Y46" s="11"/>
      <c r="Z46" s="11"/>
      <c r="AA46" s="11"/>
      <c r="AB46" s="11"/>
      <c r="AC46" s="11"/>
      <c r="AD46" s="11">
        <v>8</v>
      </c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2542</v>
      </c>
      <c r="F47" s="8" t="s">
        <v>42</v>
      </c>
      <c r="G47" s="9">
        <v>6.3194444444444442E-2</v>
      </c>
      <c r="H47" s="9">
        <v>6.8750000000000006E-2</v>
      </c>
      <c r="I47" s="10">
        <f t="shared" si="4"/>
        <v>5.5555555555555636E-3</v>
      </c>
      <c r="J47" s="11">
        <v>4</v>
      </c>
      <c r="K47" s="11">
        <v>83.36</v>
      </c>
      <c r="L47" s="16">
        <f t="shared" si="5"/>
        <v>156.29999999999976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>
        <v>8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2543</v>
      </c>
      <c r="F48" s="8" t="s">
        <v>42</v>
      </c>
      <c r="G48" s="9">
        <v>6.3888888888888884E-2</v>
      </c>
      <c r="H48" s="9">
        <v>6.9444444444444448E-2</v>
      </c>
      <c r="I48" s="10">
        <f t="shared" si="4"/>
        <v>5.5555555555555636E-3</v>
      </c>
      <c r="J48" s="11">
        <v>4</v>
      </c>
      <c r="K48" s="11">
        <v>83.36</v>
      </c>
      <c r="L48" s="16">
        <f t="shared" si="5"/>
        <v>156.29999999999976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/>
      <c r="X48" s="11"/>
      <c r="Y48" s="11"/>
      <c r="Z48" s="11"/>
      <c r="AA48" s="11"/>
      <c r="AB48" s="11"/>
      <c r="AC48" s="11"/>
      <c r="AD48" s="11">
        <v>8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2544</v>
      </c>
      <c r="F49" s="8" t="s">
        <v>42</v>
      </c>
      <c r="G49" s="9">
        <v>7.3611111111111113E-2</v>
      </c>
      <c r="H49" s="9">
        <v>7.9166666666666663E-2</v>
      </c>
      <c r="I49" s="10">
        <f t="shared" si="4"/>
        <v>5.5555555555555497E-3</v>
      </c>
      <c r="J49" s="11">
        <v>4</v>
      </c>
      <c r="K49" s="11">
        <v>83.36</v>
      </c>
      <c r="L49" s="16">
        <f t="shared" si="5"/>
        <v>156.30000000000015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>
        <v>8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2545</v>
      </c>
      <c r="F50" s="8" t="s">
        <v>42</v>
      </c>
      <c r="G50" s="9">
        <v>7.3611111111111113E-2</v>
      </c>
      <c r="H50" s="9">
        <v>7.9166666666666663E-2</v>
      </c>
      <c r="I50" s="10">
        <f t="shared" si="4"/>
        <v>5.5555555555555497E-3</v>
      </c>
      <c r="J50" s="11">
        <v>4</v>
      </c>
      <c r="K50" s="11">
        <v>83.36</v>
      </c>
      <c r="L50" s="16">
        <f t="shared" si="5"/>
        <v>156.30000000000015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/>
      <c r="X50" s="11"/>
      <c r="Y50" s="11"/>
      <c r="Z50" s="11"/>
      <c r="AA50" s="11"/>
      <c r="AB50" s="11"/>
      <c r="AC50" s="11"/>
      <c r="AD50" s="11">
        <v>8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2546</v>
      </c>
      <c r="F51" s="8" t="s">
        <v>42</v>
      </c>
      <c r="G51" s="9">
        <v>8.1944444444444445E-2</v>
      </c>
      <c r="H51" s="9">
        <v>8.7499999999999994E-2</v>
      </c>
      <c r="I51" s="10">
        <f t="shared" si="4"/>
        <v>5.5555555555555497E-3</v>
      </c>
      <c r="J51" s="11">
        <v>4</v>
      </c>
      <c r="K51" s="11">
        <v>83.36</v>
      </c>
      <c r="L51" s="16">
        <f t="shared" si="5"/>
        <v>156.30000000000015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/>
      <c r="X51" s="11"/>
      <c r="Y51" s="11"/>
      <c r="Z51" s="11"/>
      <c r="AA51" s="11"/>
      <c r="AB51" s="11">
        <v>8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2547</v>
      </c>
      <c r="F52" s="8" t="s">
        <v>42</v>
      </c>
      <c r="G52" s="9">
        <v>8.3333333333333329E-2</v>
      </c>
      <c r="H52" s="9">
        <v>8.8888888888888892E-2</v>
      </c>
      <c r="I52" s="10">
        <f t="shared" si="4"/>
        <v>5.5555555555555636E-3</v>
      </c>
      <c r="J52" s="11">
        <v>4</v>
      </c>
      <c r="K52" s="11">
        <v>83.36</v>
      </c>
      <c r="L52" s="16">
        <f t="shared" si="5"/>
        <v>156.29999999999976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/>
      <c r="X52" s="11"/>
      <c r="Y52" s="11"/>
      <c r="Z52" s="11"/>
      <c r="AA52" s="11"/>
      <c r="AB52" s="11"/>
      <c r="AC52" s="11"/>
      <c r="AD52" s="11">
        <v>8</v>
      </c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2548</v>
      </c>
      <c r="F53" s="8" t="s">
        <v>42</v>
      </c>
      <c r="G53" s="9">
        <v>9.6527777777777782E-2</v>
      </c>
      <c r="H53" s="9">
        <v>0.10208333333333333</v>
      </c>
      <c r="I53" s="10">
        <f t="shared" si="4"/>
        <v>5.5555555555555497E-3</v>
      </c>
      <c r="J53" s="11">
        <v>4</v>
      </c>
      <c r="K53" s="11">
        <v>83.36</v>
      </c>
      <c r="L53" s="16">
        <f t="shared" si="5"/>
        <v>156.30000000000015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/>
      <c r="X53" s="11"/>
      <c r="Y53" s="11"/>
      <c r="Z53" s="11"/>
      <c r="AA53" s="11"/>
      <c r="AB53" s="11">
        <v>8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2549</v>
      </c>
      <c r="F54" s="8" t="s">
        <v>42</v>
      </c>
      <c r="G54" s="9">
        <v>9.8611111111111108E-2</v>
      </c>
      <c r="H54" s="9">
        <v>0.10416666666666667</v>
      </c>
      <c r="I54" s="10">
        <f t="shared" si="4"/>
        <v>5.5555555555555636E-3</v>
      </c>
      <c r="J54" s="11">
        <v>4</v>
      </c>
      <c r="K54" s="11">
        <v>83.36</v>
      </c>
      <c r="L54" s="16">
        <f t="shared" si="5"/>
        <v>156.29999999999976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/>
      <c r="Y54" s="11"/>
      <c r="Z54" s="11"/>
      <c r="AA54" s="11"/>
      <c r="AB54" s="11"/>
      <c r="AC54" s="11"/>
      <c r="AD54" s="11">
        <v>8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2550</v>
      </c>
      <c r="F55" s="8" t="s">
        <v>42</v>
      </c>
      <c r="G55" s="9">
        <v>0.10902777777777778</v>
      </c>
      <c r="H55" s="9">
        <v>0.11458333333333333</v>
      </c>
      <c r="I55" s="10">
        <f t="shared" si="4"/>
        <v>5.5555555555555497E-3</v>
      </c>
      <c r="J55" s="11">
        <v>4</v>
      </c>
      <c r="K55" s="11">
        <v>83.36</v>
      </c>
      <c r="L55" s="16">
        <f t="shared" si="5"/>
        <v>156.30000000000015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/>
      <c r="Z55" s="11"/>
      <c r="AA55" s="11"/>
      <c r="AB55" s="11">
        <v>8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2551</v>
      </c>
      <c r="F56" s="8" t="s">
        <v>42</v>
      </c>
      <c r="G56" s="9">
        <v>0.1125</v>
      </c>
      <c r="H56" s="9">
        <v>0.11805555555555555</v>
      </c>
      <c r="I56" s="10">
        <f t="shared" si="4"/>
        <v>5.5555555555555497E-3</v>
      </c>
      <c r="J56" s="11">
        <v>4</v>
      </c>
      <c r="K56" s="11">
        <v>83.36</v>
      </c>
      <c r="L56" s="16">
        <f t="shared" si="5"/>
        <v>156.30000000000015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/>
      <c r="AA56" s="11"/>
      <c r="AB56" s="11"/>
      <c r="AC56" s="11"/>
      <c r="AD56" s="11">
        <v>8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2552</v>
      </c>
      <c r="F57" s="8" t="s">
        <v>42</v>
      </c>
      <c r="G57" s="9">
        <v>0.11805555555555555</v>
      </c>
      <c r="H57" s="9">
        <v>0.12361111111111112</v>
      </c>
      <c r="I57" s="10">
        <f t="shared" si="4"/>
        <v>5.5555555555555636E-3</v>
      </c>
      <c r="J57" s="11">
        <v>4</v>
      </c>
      <c r="K57" s="11">
        <v>83.36</v>
      </c>
      <c r="L57" s="16">
        <f t="shared" si="5"/>
        <v>156.29999999999976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/>
      <c r="Y57" s="11"/>
      <c r="Z57" s="11"/>
      <c r="AA57" s="11"/>
      <c r="AB57" s="11">
        <v>8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2553</v>
      </c>
      <c r="F58" s="8" t="s">
        <v>42</v>
      </c>
      <c r="G58" s="9">
        <v>0.125</v>
      </c>
      <c r="H58" s="9">
        <v>0.13055555555555556</v>
      </c>
      <c r="I58" s="10">
        <f t="shared" si="4"/>
        <v>5.5555555555555636E-3</v>
      </c>
      <c r="J58" s="11">
        <v>4</v>
      </c>
      <c r="K58" s="11">
        <v>83.36</v>
      </c>
      <c r="L58" s="16">
        <f t="shared" si="5"/>
        <v>156.29999999999976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/>
      <c r="X58" s="11"/>
      <c r="Y58" s="11"/>
      <c r="Z58" s="11"/>
      <c r="AA58" s="11"/>
      <c r="AB58" s="11"/>
      <c r="AC58" s="11"/>
      <c r="AD58" s="11">
        <v>8</v>
      </c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2554</v>
      </c>
      <c r="F59" s="8" t="s">
        <v>42</v>
      </c>
      <c r="G59" s="9">
        <v>0.13263888888888889</v>
      </c>
      <c r="H59" s="9">
        <v>0.13819444444444445</v>
      </c>
      <c r="I59" s="10">
        <f t="shared" si="4"/>
        <v>5.5555555555555636E-3</v>
      </c>
      <c r="J59" s="11">
        <v>4</v>
      </c>
      <c r="K59" s="11">
        <v>83.36</v>
      </c>
      <c r="L59" s="16">
        <f t="shared" si="5"/>
        <v>156.29999999999976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/>
      <c r="X59" s="11"/>
      <c r="Y59" s="11"/>
      <c r="Z59" s="11"/>
      <c r="AA59" s="11"/>
      <c r="AB59" s="11">
        <v>8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2555</v>
      </c>
      <c r="F60" s="8" t="s">
        <v>42</v>
      </c>
      <c r="G60" s="9">
        <v>0.13333333333333333</v>
      </c>
      <c r="H60" s="9">
        <v>0.1388888888888889</v>
      </c>
      <c r="I60" s="10">
        <f t="shared" si="4"/>
        <v>5.5555555555555636E-3</v>
      </c>
      <c r="J60" s="11">
        <v>4</v>
      </c>
      <c r="K60" s="11">
        <v>83.36</v>
      </c>
      <c r="L60" s="16">
        <f t="shared" si="5"/>
        <v>156.29999999999976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/>
      <c r="AC60" s="11"/>
      <c r="AD60" s="11">
        <v>8</v>
      </c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2556</v>
      </c>
      <c r="F61" s="8" t="s">
        <v>42</v>
      </c>
      <c r="G61" s="9">
        <v>0.14374999999999999</v>
      </c>
      <c r="H61" s="9">
        <v>0.14930555555555555</v>
      </c>
      <c r="I61" s="10">
        <f t="shared" si="4"/>
        <v>5.5555555555555636E-3</v>
      </c>
      <c r="J61" s="11">
        <v>4</v>
      </c>
      <c r="K61" s="11">
        <v>83.36</v>
      </c>
      <c r="L61" s="16">
        <f t="shared" si="5"/>
        <v>156.29999999999976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>
        <v>8</v>
      </c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2557</v>
      </c>
      <c r="F62" s="14"/>
      <c r="G62" s="9">
        <v>0.1451388888888889</v>
      </c>
      <c r="H62" s="9">
        <v>0.15069444444444444</v>
      </c>
      <c r="I62" s="10">
        <f t="shared" si="4"/>
        <v>5.5555555555555358E-3</v>
      </c>
      <c r="J62" s="11">
        <v>4</v>
      </c>
      <c r="K62" s="11">
        <v>83.36</v>
      </c>
      <c r="L62" s="16">
        <f t="shared" si="5"/>
        <v>156.30000000000055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/>
      <c r="X62" s="11"/>
      <c r="Y62" s="11"/>
      <c r="Z62" s="11"/>
      <c r="AA62" s="11"/>
      <c r="AB62" s="11"/>
      <c r="AC62" s="11"/>
      <c r="AD62" s="11">
        <v>8</v>
      </c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2558</v>
      </c>
      <c r="F63" s="8" t="s">
        <v>42</v>
      </c>
      <c r="G63" s="9">
        <v>0.15833333333333333</v>
      </c>
      <c r="H63" s="9">
        <v>0.16388888888888889</v>
      </c>
      <c r="I63" s="10">
        <f t="shared" si="4"/>
        <v>5.5555555555555636E-3</v>
      </c>
      <c r="J63" s="11">
        <v>4</v>
      </c>
      <c r="K63" s="11">
        <v>83.36</v>
      </c>
      <c r="L63" s="16">
        <f t="shared" si="5"/>
        <v>156.29999999999976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/>
      <c r="X63" s="11"/>
      <c r="Y63" s="11"/>
      <c r="Z63" s="11"/>
      <c r="AA63" s="11"/>
      <c r="AB63" s="11">
        <v>8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2559</v>
      </c>
      <c r="F64" s="8" t="s">
        <v>42</v>
      </c>
      <c r="G64" s="9">
        <v>0.15972222222222221</v>
      </c>
      <c r="H64" s="9">
        <v>0.16527777777777777</v>
      </c>
      <c r="I64" s="10">
        <f t="shared" si="4"/>
        <v>5.5555555555555636E-3</v>
      </c>
      <c r="J64" s="11">
        <v>4</v>
      </c>
      <c r="K64" s="11">
        <v>83.36</v>
      </c>
      <c r="L64" s="16">
        <f t="shared" si="5"/>
        <v>156.29999999999976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>
        <v>8</v>
      </c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2560</v>
      </c>
      <c r="F65" s="8" t="s">
        <v>42</v>
      </c>
      <c r="G65" s="9">
        <v>0.16805555555555557</v>
      </c>
      <c r="H65" s="9">
        <v>0.1736111111111111</v>
      </c>
      <c r="I65" s="10">
        <f t="shared" si="4"/>
        <v>5.5555555555555358E-3</v>
      </c>
      <c r="J65" s="11">
        <v>4</v>
      </c>
      <c r="K65" s="11">
        <v>83.36</v>
      </c>
      <c r="L65" s="16">
        <f t="shared" si="5"/>
        <v>156.30000000000055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/>
      <c r="X65" s="11"/>
      <c r="Y65" s="11"/>
      <c r="Z65" s="11"/>
      <c r="AA65" s="11"/>
      <c r="AB65" s="11">
        <v>8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2561</v>
      </c>
      <c r="F66" s="8" t="s">
        <v>42</v>
      </c>
      <c r="G66" s="9">
        <v>0.17152777777777778</v>
      </c>
      <c r="H66" s="9">
        <v>0.17708333333333334</v>
      </c>
      <c r="I66" s="10">
        <f t="shared" si="4"/>
        <v>5.5555555555555636E-3</v>
      </c>
      <c r="J66" s="11">
        <v>4</v>
      </c>
      <c r="K66" s="11">
        <v>83.36</v>
      </c>
      <c r="L66" s="16">
        <f t="shared" si="5"/>
        <v>156.29999999999976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/>
      <c r="X66" s="11"/>
      <c r="Y66" s="11"/>
      <c r="Z66" s="11"/>
      <c r="AA66" s="11"/>
      <c r="AB66" s="11"/>
      <c r="AC66" s="11"/>
      <c r="AD66" s="11">
        <v>8</v>
      </c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2562</v>
      </c>
      <c r="F67" s="8" t="s">
        <v>42</v>
      </c>
      <c r="G67" s="9">
        <v>0.17708333333333334</v>
      </c>
      <c r="H67" s="9">
        <v>0.18263888888888888</v>
      </c>
      <c r="I67" s="10">
        <f t="shared" si="4"/>
        <v>5.5555555555555358E-3</v>
      </c>
      <c r="J67" s="11">
        <v>4</v>
      </c>
      <c r="K67" s="11">
        <v>83.36</v>
      </c>
      <c r="L67" s="16">
        <f t="shared" si="5"/>
        <v>156.30000000000055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/>
      <c r="Z67" s="11"/>
      <c r="AA67" s="11"/>
      <c r="AB67" s="11">
        <v>8</v>
      </c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2563</v>
      </c>
      <c r="F68" s="8" t="s">
        <v>42</v>
      </c>
      <c r="G68" s="9">
        <v>0.18124999999999999</v>
      </c>
      <c r="H68" s="9">
        <v>0.18680555555555556</v>
      </c>
      <c r="I68" s="10">
        <f t="shared" si="4"/>
        <v>5.5555555555555636E-3</v>
      </c>
      <c r="J68" s="11">
        <v>4</v>
      </c>
      <c r="K68" s="11">
        <v>83.36</v>
      </c>
      <c r="L68" s="16">
        <f t="shared" si="5"/>
        <v>156.29999999999976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/>
      <c r="X68" s="11"/>
      <c r="Y68" s="11"/>
      <c r="Z68" s="11"/>
      <c r="AA68" s="11"/>
      <c r="AB68" s="11"/>
      <c r="AC68" s="11"/>
      <c r="AD68" s="11">
        <v>8</v>
      </c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2633</v>
      </c>
      <c r="F69" s="8" t="s">
        <v>42</v>
      </c>
      <c r="G69" s="9">
        <v>0.18611111111111112</v>
      </c>
      <c r="H69" s="9">
        <v>0.19166666666666668</v>
      </c>
      <c r="I69" s="10">
        <f t="shared" si="4"/>
        <v>5.5555555555555636E-3</v>
      </c>
      <c r="J69" s="11">
        <v>4</v>
      </c>
      <c r="K69" s="11">
        <v>83.36</v>
      </c>
      <c r="L69" s="16">
        <f t="shared" si="5"/>
        <v>156.29999999999976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/>
      <c r="X69" s="11"/>
      <c r="Y69" s="11"/>
      <c r="Z69" s="11"/>
      <c r="AA69" s="11"/>
      <c r="AB69" s="11">
        <v>8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2634</v>
      </c>
      <c r="F70" s="8" t="s">
        <v>42</v>
      </c>
      <c r="G70" s="9">
        <v>0.19166666666666668</v>
      </c>
      <c r="H70" s="9">
        <v>0.19722222222222222</v>
      </c>
      <c r="I70" s="10">
        <f t="shared" si="4"/>
        <v>5.5555555555555358E-3</v>
      </c>
      <c r="J70" s="11">
        <v>4</v>
      </c>
      <c r="K70" s="11">
        <v>83.36</v>
      </c>
      <c r="L70" s="16">
        <f t="shared" si="5"/>
        <v>156.30000000000055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/>
      <c r="X70" s="11"/>
      <c r="Y70" s="11"/>
      <c r="Z70" s="11"/>
      <c r="AA70" s="11"/>
      <c r="AB70" s="11"/>
      <c r="AC70" s="11"/>
      <c r="AD70" s="11">
        <v>8</v>
      </c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2565</v>
      </c>
      <c r="F71" s="8" t="s">
        <v>42</v>
      </c>
      <c r="G71" s="9">
        <v>6.9444444444444448E-2</v>
      </c>
      <c r="H71" s="9">
        <v>7.9861111111111105E-2</v>
      </c>
      <c r="I71" s="10">
        <f t="shared" si="4"/>
        <v>1.0416666666666657E-2</v>
      </c>
      <c r="J71" s="11">
        <v>6</v>
      </c>
      <c r="K71" s="11">
        <v>102.56</v>
      </c>
      <c r="L71" s="16">
        <f t="shared" si="5"/>
        <v>68.373333333333392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2566</v>
      </c>
      <c r="F72" s="8" t="s">
        <v>42</v>
      </c>
      <c r="G72" s="9">
        <v>7.2916666666666671E-2</v>
      </c>
      <c r="H72" s="9">
        <v>8.3333333333333329E-2</v>
      </c>
      <c r="I72" s="10">
        <f t="shared" si="4"/>
        <v>1.0416666666666657E-2</v>
      </c>
      <c r="J72" s="11">
        <v>6</v>
      </c>
      <c r="K72" s="11">
        <v>78.900000000000006</v>
      </c>
      <c r="L72" s="16">
        <f t="shared" si="5"/>
        <v>52.600000000000051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>
        <v>15</v>
      </c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2567</v>
      </c>
      <c r="F73" s="8" t="s">
        <v>42</v>
      </c>
      <c r="G73" s="9">
        <v>7.2916666666666671E-2</v>
      </c>
      <c r="H73" s="9">
        <v>8.3333333333333329E-2</v>
      </c>
      <c r="I73" s="10">
        <f t="shared" si="4"/>
        <v>1.0416666666666657E-2</v>
      </c>
      <c r="J73" s="11">
        <v>6</v>
      </c>
      <c r="K73" s="11">
        <v>93.03</v>
      </c>
      <c r="L73" s="16">
        <f t="shared" si="5"/>
        <v>62.02000000000006</v>
      </c>
      <c r="M73" s="11"/>
      <c r="N73" s="11"/>
      <c r="O73" s="11"/>
      <c r="P73" s="11"/>
      <c r="Q73" s="11"/>
      <c r="R73" s="12"/>
      <c r="S73" s="12"/>
      <c r="T73" s="11"/>
      <c r="U73" s="11"/>
      <c r="V73" s="12">
        <v>2</v>
      </c>
      <c r="W73" s="12"/>
      <c r="X73" s="11">
        <v>15</v>
      </c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2568</v>
      </c>
      <c r="F74" s="8" t="s">
        <v>42</v>
      </c>
      <c r="G74" s="9">
        <v>8.1250000000000003E-2</v>
      </c>
      <c r="H74" s="9">
        <v>9.166666666666666E-2</v>
      </c>
      <c r="I74" s="10">
        <f t="shared" si="4"/>
        <v>1.0416666666666657E-2</v>
      </c>
      <c r="J74" s="11">
        <v>6</v>
      </c>
      <c r="K74" s="11">
        <v>88.86</v>
      </c>
      <c r="L74" s="16">
        <f t="shared" si="5"/>
        <v>59.240000000000059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/>
      <c r="Z74" s="11"/>
      <c r="AA74" s="11">
        <v>15</v>
      </c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2569</v>
      </c>
      <c r="F75" s="14"/>
      <c r="G75" s="9">
        <v>8.7499999999999994E-2</v>
      </c>
      <c r="H75" s="9">
        <v>9.7916666666666666E-2</v>
      </c>
      <c r="I75" s="10">
        <f t="shared" si="4"/>
        <v>1.0416666666666671E-2</v>
      </c>
      <c r="J75" s="11">
        <v>6</v>
      </c>
      <c r="K75" s="11">
        <v>88.85</v>
      </c>
      <c r="L75" s="16">
        <f t="shared" si="5"/>
        <v>59.233333333333299</v>
      </c>
      <c r="M75" s="11"/>
      <c r="N75" s="11"/>
      <c r="O75" s="11"/>
      <c r="P75" s="11"/>
      <c r="Q75" s="11"/>
      <c r="R75" s="12"/>
      <c r="S75" s="12"/>
      <c r="T75" s="11"/>
      <c r="U75" s="11"/>
      <c r="V75" s="12">
        <v>2</v>
      </c>
      <c r="W75" s="12"/>
      <c r="X75" s="11">
        <v>15</v>
      </c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2570</v>
      </c>
      <c r="F76" s="8" t="s">
        <v>42</v>
      </c>
      <c r="G76" s="9">
        <v>8.8888888888888892E-2</v>
      </c>
      <c r="H76" s="9">
        <v>9.930555555555555E-2</v>
      </c>
      <c r="I76" s="10">
        <f t="shared" si="4"/>
        <v>1.0416666666666657E-2</v>
      </c>
      <c r="J76" s="11">
        <v>6</v>
      </c>
      <c r="K76" s="11">
        <v>88.85</v>
      </c>
      <c r="L76" s="16">
        <f t="shared" si="5"/>
        <v>59.233333333333384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>
        <v>15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2571</v>
      </c>
      <c r="F77" s="8" t="s">
        <v>42</v>
      </c>
      <c r="G77" s="9">
        <v>9.6527777777777782E-2</v>
      </c>
      <c r="H77" s="9">
        <v>0.10694444444444444</v>
      </c>
      <c r="I77" s="10">
        <f t="shared" si="4"/>
        <v>1.0416666666666657E-2</v>
      </c>
      <c r="J77" s="11">
        <v>6</v>
      </c>
      <c r="K77" s="11">
        <v>81.48</v>
      </c>
      <c r="L77" s="16">
        <f t="shared" si="5"/>
        <v>54.32000000000005</v>
      </c>
      <c r="M77" s="11"/>
      <c r="N77" s="11"/>
      <c r="O77" s="11"/>
      <c r="P77" s="11"/>
      <c r="Q77" s="11"/>
      <c r="R77" s="12"/>
      <c r="S77" s="12"/>
      <c r="T77" s="11"/>
      <c r="U77" s="11"/>
      <c r="V77" s="12">
        <v>2</v>
      </c>
      <c r="W77" s="12"/>
      <c r="X77" s="11">
        <v>15</v>
      </c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2572</v>
      </c>
      <c r="F78" s="8" t="s">
        <v>42</v>
      </c>
      <c r="G78" s="9">
        <v>9.930555555555555E-2</v>
      </c>
      <c r="H78" s="9">
        <v>0.10972222222222222</v>
      </c>
      <c r="I78" s="10">
        <f t="shared" si="4"/>
        <v>1.0416666666666671E-2</v>
      </c>
      <c r="J78" s="11">
        <v>6</v>
      </c>
      <c r="K78" s="11">
        <v>81.5</v>
      </c>
      <c r="L78" s="16">
        <f t="shared" si="5"/>
        <v>54.333333333333307</v>
      </c>
      <c r="M78" s="11"/>
      <c r="N78" s="11"/>
      <c r="O78" s="11"/>
      <c r="P78" s="11"/>
      <c r="Q78" s="11"/>
      <c r="R78" s="12"/>
      <c r="S78" s="12"/>
      <c r="T78" s="11"/>
      <c r="U78" s="11"/>
      <c r="V78" s="12"/>
      <c r="W78" s="12">
        <v>2</v>
      </c>
      <c r="X78" s="11"/>
      <c r="Y78" s="11"/>
      <c r="Z78" s="11">
        <v>15</v>
      </c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2573</v>
      </c>
      <c r="F79" s="8" t="s">
        <v>42</v>
      </c>
      <c r="G79" s="9">
        <v>0.11180555555555556</v>
      </c>
      <c r="H79" s="9">
        <v>0.12222222222222222</v>
      </c>
      <c r="I79" s="10">
        <f t="shared" si="4"/>
        <v>1.0416666666666657E-2</v>
      </c>
      <c r="J79" s="11">
        <v>6</v>
      </c>
      <c r="K79" s="11">
        <v>91.18</v>
      </c>
      <c r="L79" s="16">
        <f t="shared" si="5"/>
        <v>60.786666666666726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2</v>
      </c>
      <c r="W79" s="12"/>
      <c r="X79" s="11"/>
      <c r="Y79" s="11">
        <v>15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2574</v>
      </c>
      <c r="F80" s="8" t="s">
        <v>42</v>
      </c>
      <c r="G80" s="9">
        <v>0.11458333333333333</v>
      </c>
      <c r="H80" s="9">
        <v>0.125</v>
      </c>
      <c r="I80" s="10">
        <f t="shared" si="4"/>
        <v>1.0416666666666671E-2</v>
      </c>
      <c r="J80" s="11">
        <v>6</v>
      </c>
      <c r="K80" s="11">
        <v>91.08</v>
      </c>
      <c r="L80" s="16">
        <f t="shared" si="5"/>
        <v>60.71999999999997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>
        <v>15</v>
      </c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2575</v>
      </c>
      <c r="F81" s="8" t="s">
        <v>42</v>
      </c>
      <c r="G81" s="9">
        <v>0.12013888888888889</v>
      </c>
      <c r="H81" s="9">
        <v>0.13055555555555556</v>
      </c>
      <c r="I81" s="10">
        <f t="shared" si="4"/>
        <v>1.0416666666666671E-2</v>
      </c>
      <c r="J81" s="11">
        <v>6</v>
      </c>
      <c r="K81" s="11">
        <v>79.2</v>
      </c>
      <c r="L81" s="16">
        <f t="shared" si="5"/>
        <v>52.799999999999983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>
        <v>15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2576</v>
      </c>
      <c r="F82" s="8" t="s">
        <v>42</v>
      </c>
      <c r="G82" s="9">
        <v>0.12291666666666666</v>
      </c>
      <c r="H82" s="9">
        <v>0.13333333333333333</v>
      </c>
      <c r="I82" s="10">
        <f t="shared" si="4"/>
        <v>1.0416666666666671E-2</v>
      </c>
      <c r="J82" s="11">
        <v>6</v>
      </c>
      <c r="K82" s="11">
        <v>79.260000000000005</v>
      </c>
      <c r="L82" s="16">
        <f t="shared" si="5"/>
        <v>52.839999999999982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2</v>
      </c>
      <c r="X82" s="11"/>
      <c r="Y82" s="11"/>
      <c r="Z82" s="11"/>
      <c r="AA82" s="11">
        <v>15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2577</v>
      </c>
      <c r="F83" s="8" t="s">
        <v>42</v>
      </c>
      <c r="G83" s="9">
        <v>0.1361111111111111</v>
      </c>
      <c r="H83" s="9">
        <v>0.14652777777777778</v>
      </c>
      <c r="I83" s="10">
        <f t="shared" si="4"/>
        <v>1.0416666666666685E-2</v>
      </c>
      <c r="J83" s="11">
        <v>6</v>
      </c>
      <c r="K83" s="11">
        <v>92.08</v>
      </c>
      <c r="L83" s="16">
        <f t="shared" si="5"/>
        <v>61.386666666666549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>
        <v>15</v>
      </c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 t="s">
        <v>2578</v>
      </c>
      <c r="F84" s="8" t="s">
        <v>42</v>
      </c>
      <c r="G84" s="9">
        <v>0.1388888888888889</v>
      </c>
      <c r="H84" s="9">
        <v>0.14930555555555555</v>
      </c>
      <c r="I84" s="10">
        <f t="shared" si="4"/>
        <v>1.0416666666666657E-2</v>
      </c>
      <c r="J84" s="11">
        <v>6</v>
      </c>
      <c r="K84" s="11">
        <v>92.28</v>
      </c>
      <c r="L84" s="16">
        <f t="shared" si="5"/>
        <v>61.52000000000006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/>
      <c r="Y84" s="11"/>
      <c r="Z84" s="11">
        <v>15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19" t="s">
        <v>2579</v>
      </c>
      <c r="F85" s="8" t="s">
        <v>42</v>
      </c>
      <c r="G85" s="9">
        <v>0.14583333333333334</v>
      </c>
      <c r="H85" s="9">
        <v>0.15625</v>
      </c>
      <c r="I85" s="10">
        <f t="shared" si="4"/>
        <v>1.0416666666666657E-2</v>
      </c>
      <c r="J85" s="11">
        <v>6</v>
      </c>
      <c r="K85" s="11">
        <v>84.98</v>
      </c>
      <c r="L85" s="16">
        <f t="shared" si="5"/>
        <v>56.653333333333386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2</v>
      </c>
      <c r="W85" s="12"/>
      <c r="X85" s="11"/>
      <c r="Y85" s="11"/>
      <c r="Z85" s="11"/>
      <c r="AA85" s="11">
        <v>15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2580</v>
      </c>
      <c r="F86" s="8" t="s">
        <v>42</v>
      </c>
      <c r="G86" s="9">
        <v>0.15277777777777779</v>
      </c>
      <c r="H86" s="9">
        <v>0.16319444444444445</v>
      </c>
      <c r="I86" s="10">
        <f t="shared" si="4"/>
        <v>1.0416666666666657E-2</v>
      </c>
      <c r="J86" s="11">
        <v>6</v>
      </c>
      <c r="K86" s="11">
        <v>84.56</v>
      </c>
      <c r="L86" s="16">
        <f t="shared" si="5"/>
        <v>56.373333333333385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>
        <v>15</v>
      </c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2581</v>
      </c>
      <c r="F87" s="8" t="s">
        <v>42</v>
      </c>
      <c r="G87" s="9">
        <v>0.15972222222222221</v>
      </c>
      <c r="H87" s="9">
        <v>0.1701388888888889</v>
      </c>
      <c r="I87" s="10">
        <f t="shared" si="4"/>
        <v>1.0416666666666685E-2</v>
      </c>
      <c r="J87" s="11">
        <v>6</v>
      </c>
      <c r="K87" s="11">
        <v>110.02</v>
      </c>
      <c r="L87" s="16">
        <f t="shared" si="5"/>
        <v>73.346666666666536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2</v>
      </c>
      <c r="W87" s="12"/>
      <c r="X87" s="11">
        <v>15</v>
      </c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2582</v>
      </c>
      <c r="F88" s="8" t="s">
        <v>42</v>
      </c>
      <c r="G88" s="9">
        <v>0.16388888888888889</v>
      </c>
      <c r="H88" s="9">
        <v>0.17430555555555555</v>
      </c>
      <c r="I88" s="10">
        <f t="shared" si="4"/>
        <v>1.0416666666666657E-2</v>
      </c>
      <c r="J88" s="11">
        <v>6</v>
      </c>
      <c r="K88" s="11">
        <v>79.010000000000005</v>
      </c>
      <c r="L88" s="16">
        <f t="shared" si="5"/>
        <v>52.673333333333382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>
        <v>15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2583</v>
      </c>
      <c r="F89" s="8" t="s">
        <v>42</v>
      </c>
      <c r="G89" s="9">
        <v>0.16944444444444445</v>
      </c>
      <c r="H89" s="9">
        <v>0.17986111111111111</v>
      </c>
      <c r="I89" s="10">
        <f t="shared" si="4"/>
        <v>1.0416666666666657E-2</v>
      </c>
      <c r="J89" s="11">
        <v>6</v>
      </c>
      <c r="K89" s="11">
        <v>99.41</v>
      </c>
      <c r="L89" s="16">
        <f t="shared" si="5"/>
        <v>66.273333333333383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2</v>
      </c>
      <c r="W89" s="12"/>
      <c r="X89" s="11"/>
      <c r="Y89" s="11"/>
      <c r="Z89" s="11"/>
      <c r="AA89" s="11">
        <v>15</v>
      </c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2584</v>
      </c>
      <c r="F90" s="8" t="s">
        <v>42</v>
      </c>
      <c r="G90" s="9">
        <v>0.17430555555555555</v>
      </c>
      <c r="H90" s="9">
        <v>0.18472222222222223</v>
      </c>
      <c r="I90" s="10">
        <f t="shared" si="4"/>
        <v>1.0416666666666685E-2</v>
      </c>
      <c r="J90" s="11">
        <v>6</v>
      </c>
      <c r="K90" s="11">
        <v>82.64</v>
      </c>
      <c r="L90" s="16">
        <f t="shared" si="5"/>
        <v>55.093333333333241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>
        <v>15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2585</v>
      </c>
      <c r="F91" s="8" t="s">
        <v>42</v>
      </c>
      <c r="G91" s="9">
        <v>0.17916666666666667</v>
      </c>
      <c r="H91" s="9">
        <v>0.18958333333333333</v>
      </c>
      <c r="I91" s="10">
        <f t="shared" si="4"/>
        <v>1.0416666666666657E-2</v>
      </c>
      <c r="J91" s="11">
        <v>6</v>
      </c>
      <c r="K91" s="11">
        <v>101.86</v>
      </c>
      <c r="L91" s="16">
        <f t="shared" si="5"/>
        <v>67.906666666666723</v>
      </c>
      <c r="M91" s="11"/>
      <c r="N91" s="11"/>
      <c r="O91" s="11"/>
      <c r="P91" s="11"/>
      <c r="Q91" s="11"/>
      <c r="R91" s="12"/>
      <c r="S91" s="12"/>
      <c r="T91" s="11"/>
      <c r="U91" s="11"/>
      <c r="V91" s="12">
        <v>2</v>
      </c>
      <c r="W91" s="12"/>
      <c r="X91" s="11"/>
      <c r="Y91" s="11">
        <v>15</v>
      </c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2586</v>
      </c>
      <c r="F92" s="8" t="s">
        <v>42</v>
      </c>
      <c r="G92" s="9">
        <v>0.18402777777777779</v>
      </c>
      <c r="H92" s="9">
        <v>0.19444444444444445</v>
      </c>
      <c r="I92" s="10">
        <f t="shared" si="4"/>
        <v>1.0416666666666657E-2</v>
      </c>
      <c r="J92" s="11">
        <v>6</v>
      </c>
      <c r="K92" s="11">
        <v>82.48</v>
      </c>
      <c r="L92" s="16">
        <f t="shared" si="5"/>
        <v>54.986666666666714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/>
      <c r="Z92" s="11"/>
      <c r="AA92" s="11">
        <v>15</v>
      </c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2587</v>
      </c>
      <c r="F93" s="8" t="s">
        <v>42</v>
      </c>
      <c r="G93" s="9">
        <v>0.18888888888888888</v>
      </c>
      <c r="H93" s="9">
        <v>0.19930555555555557</v>
      </c>
      <c r="I93" s="10">
        <f t="shared" si="4"/>
        <v>1.0416666666666685E-2</v>
      </c>
      <c r="J93" s="11">
        <v>6</v>
      </c>
      <c r="K93" s="11">
        <v>103.02</v>
      </c>
      <c r="L93" s="16">
        <f t="shared" si="5"/>
        <v>68.679999999999879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2</v>
      </c>
      <c r="W93" s="12"/>
      <c r="X93" s="11"/>
      <c r="Y93" s="11"/>
      <c r="Z93" s="11">
        <v>15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2588</v>
      </c>
      <c r="F94" s="8" t="s">
        <v>42</v>
      </c>
      <c r="G94" s="9">
        <v>0.19583333333333333</v>
      </c>
      <c r="H94" s="9">
        <v>0.20624999999999999</v>
      </c>
      <c r="I94" s="10">
        <f t="shared" si="4"/>
        <v>1.0416666666666657E-2</v>
      </c>
      <c r="J94" s="11">
        <v>6</v>
      </c>
      <c r="K94" s="11">
        <v>77.45</v>
      </c>
      <c r="L94" s="16">
        <f t="shared" si="5"/>
        <v>51.633333333333383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2</v>
      </c>
      <c r="X94" s="11">
        <v>15</v>
      </c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2635</v>
      </c>
      <c r="F95" s="8" t="s">
        <v>42</v>
      </c>
      <c r="G95" s="9">
        <v>0.2</v>
      </c>
      <c r="H95" s="9">
        <v>0.21041666666666667</v>
      </c>
      <c r="I95" s="10">
        <f t="shared" si="4"/>
        <v>1.0416666666666657E-2</v>
      </c>
      <c r="J95" s="11">
        <v>6</v>
      </c>
      <c r="K95" s="11">
        <v>102.5</v>
      </c>
      <c r="L95" s="16">
        <f t="shared" si="5"/>
        <v>68.333333333333385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2</v>
      </c>
      <c r="W95" s="12"/>
      <c r="X95" s="11"/>
      <c r="Y95" s="11"/>
      <c r="Z95" s="11">
        <v>15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2636</v>
      </c>
      <c r="F96" s="8" t="s">
        <v>42</v>
      </c>
      <c r="G96" s="9">
        <v>0.2076388888888889</v>
      </c>
      <c r="H96" s="9">
        <v>0.21805555555555556</v>
      </c>
      <c r="I96" s="10">
        <f t="shared" si="4"/>
        <v>1.0416666666666657E-2</v>
      </c>
      <c r="J96" s="11">
        <v>6</v>
      </c>
      <c r="K96" s="11">
        <v>84.98</v>
      </c>
      <c r="L96" s="16">
        <f t="shared" si="5"/>
        <v>56.653333333333386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2</v>
      </c>
      <c r="X96" s="11">
        <v>15</v>
      </c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4"/>
    </row>
    <row r="97" spans="1:38" ht="25.05" customHeight="1">
      <c r="B97" s="13"/>
      <c r="C97" s="29"/>
      <c r="D97" s="30"/>
      <c r="E97" s="19"/>
      <c r="F97" s="8" t="s">
        <v>42</v>
      </c>
      <c r="G97" s="9"/>
      <c r="H97" s="9"/>
      <c r="I97" s="10">
        <f t="shared" si="4"/>
        <v>0</v>
      </c>
      <c r="J97" s="11"/>
      <c r="K97" s="11"/>
      <c r="L97" s="16" t="str">
        <f t="shared" si="5"/>
        <v>0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4"/>
    </row>
    <row r="98" spans="1:38" ht="25.05" customHeight="1">
      <c r="B98" s="13"/>
      <c r="C98" s="29"/>
      <c r="D98" s="6" t="s">
        <v>58</v>
      </c>
      <c r="E98" s="19" t="s">
        <v>2637</v>
      </c>
      <c r="F98" s="8" t="s">
        <v>42</v>
      </c>
      <c r="G98" s="9">
        <v>0.86458333333333337</v>
      </c>
      <c r="H98" s="9">
        <v>0.87013888888888891</v>
      </c>
      <c r="I98" s="10">
        <f t="shared" si="4"/>
        <v>5.5555555555555358E-3</v>
      </c>
      <c r="J98" s="11">
        <v>1</v>
      </c>
      <c r="K98" s="11">
        <f>7.73*10</f>
        <v>77.300000000000011</v>
      </c>
      <c r="L98" s="16">
        <f t="shared" si="5"/>
        <v>579.75000000000216</v>
      </c>
      <c r="M98" s="11"/>
      <c r="N98" s="11"/>
      <c r="O98" s="11"/>
      <c r="P98" s="11"/>
      <c r="Q98" s="11"/>
      <c r="R98" s="12"/>
      <c r="S98" s="12"/>
      <c r="T98" s="11"/>
      <c r="U98" s="11"/>
      <c r="V98" s="12">
        <v>8</v>
      </c>
      <c r="W98" s="12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4"/>
    </row>
    <row r="99" spans="1:38" ht="25.05" customHeight="1">
      <c r="B99" s="13"/>
      <c r="C99" s="29"/>
      <c r="D99" s="30"/>
      <c r="E99" s="19" t="s">
        <v>2638</v>
      </c>
      <c r="F99" s="8" t="s">
        <v>42</v>
      </c>
      <c r="G99" s="9">
        <v>0.93055555555555558</v>
      </c>
      <c r="H99" s="9">
        <v>0.95625000000000004</v>
      </c>
      <c r="I99" s="10">
        <f t="shared" si="4"/>
        <v>2.5694444444444464E-2</v>
      </c>
      <c r="J99" s="11">
        <v>4</v>
      </c>
      <c r="K99" s="11">
        <v>203.36</v>
      </c>
      <c r="L99" s="16">
        <f t="shared" si="5"/>
        <v>82.443243243243188</v>
      </c>
      <c r="M99" s="11"/>
      <c r="N99" s="11"/>
      <c r="O99" s="11"/>
      <c r="P99" s="11"/>
      <c r="Q99" s="11"/>
      <c r="R99" s="12"/>
      <c r="S99" s="12"/>
      <c r="T99" s="11"/>
      <c r="U99" s="11"/>
      <c r="V99" s="12">
        <v>2</v>
      </c>
      <c r="W99" s="12"/>
      <c r="X99" s="11"/>
      <c r="Y99" s="11"/>
      <c r="Z99" s="11"/>
      <c r="AA99" s="11"/>
      <c r="AB99" s="11"/>
      <c r="AC99" s="11"/>
      <c r="AD99" s="11">
        <v>37</v>
      </c>
      <c r="AE99" s="11"/>
      <c r="AF99" s="11"/>
      <c r="AG99" s="11"/>
      <c r="AH99" s="11"/>
      <c r="AI99" s="11"/>
      <c r="AJ99" s="11"/>
      <c r="AK99" s="11"/>
      <c r="AL99" s="14"/>
    </row>
    <row r="100" spans="1:38" ht="25.05" customHeight="1">
      <c r="B100" s="13"/>
      <c r="C100" s="29"/>
      <c r="D100" s="30"/>
      <c r="E100" s="19" t="s">
        <v>2639</v>
      </c>
      <c r="F100" s="8" t="s">
        <v>42</v>
      </c>
      <c r="G100" s="9">
        <v>0.96319444444444446</v>
      </c>
      <c r="H100" s="9">
        <v>0.99722222222222223</v>
      </c>
      <c r="I100" s="10">
        <f t="shared" ref="I100:I107" si="7">H100-G100</f>
        <v>3.4027777777777768E-2</v>
      </c>
      <c r="J100" s="11">
        <v>4</v>
      </c>
      <c r="K100" s="11">
        <v>203.36</v>
      </c>
      <c r="L100" s="16">
        <f t="shared" ref="L100:L107" si="8">IFERROR(((K100/(J100*I100)/24)),"0")</f>
        <v>62.253061224489819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>
        <v>2</v>
      </c>
      <c r="W100" s="12"/>
      <c r="X100" s="11"/>
      <c r="Y100" s="11"/>
      <c r="Z100" s="11"/>
      <c r="AA100" s="11"/>
      <c r="AB100" s="11"/>
      <c r="AC100" s="11">
        <v>49</v>
      </c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1:38" ht="25.05" customHeight="1">
      <c r="B101" s="13"/>
      <c r="C101" s="29"/>
      <c r="D101" s="30"/>
      <c r="E101" s="19" t="s">
        <v>2640</v>
      </c>
      <c r="F101" s="8" t="s">
        <v>42</v>
      </c>
      <c r="G101" s="9">
        <v>0.98124999999999996</v>
      </c>
      <c r="H101" s="9">
        <v>4.1666666666666666E-3</v>
      </c>
      <c r="I101" s="10">
        <v>2.2916666666666665E-2</v>
      </c>
      <c r="J101" s="11">
        <v>4</v>
      </c>
      <c r="K101" s="11">
        <v>203.42</v>
      </c>
      <c r="L101" s="16">
        <f t="shared" si="8"/>
        <v>92.463636363636354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2</v>
      </c>
      <c r="W101" s="12"/>
      <c r="X101" s="11"/>
      <c r="Y101" s="11"/>
      <c r="Z101" s="11"/>
      <c r="AA101" s="11"/>
      <c r="AB101" s="11"/>
      <c r="AC101" s="11"/>
      <c r="AD101" s="11">
        <v>33</v>
      </c>
      <c r="AE101" s="11"/>
      <c r="AF101" s="11"/>
      <c r="AG101" s="11"/>
      <c r="AH101" s="11"/>
      <c r="AI101" s="11"/>
      <c r="AJ101" s="11"/>
      <c r="AK101" s="11"/>
      <c r="AL101" s="14"/>
    </row>
    <row r="102" spans="1:38" ht="25.05" customHeight="1">
      <c r="B102" s="13"/>
      <c r="C102" s="29"/>
      <c r="D102" s="30"/>
      <c r="E102" s="19" t="s">
        <v>2641</v>
      </c>
      <c r="F102" s="8" t="s">
        <v>42</v>
      </c>
      <c r="G102" s="9">
        <v>7.3611111111111113E-2</v>
      </c>
      <c r="H102" s="9">
        <v>0.10138888888888889</v>
      </c>
      <c r="I102" s="10">
        <f t="shared" si="7"/>
        <v>2.7777777777777776E-2</v>
      </c>
      <c r="J102" s="11">
        <v>4</v>
      </c>
      <c r="K102" s="11">
        <v>203.97</v>
      </c>
      <c r="L102" s="16">
        <f t="shared" si="8"/>
        <v>76.488749999999996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>
        <v>2</v>
      </c>
      <c r="W102" s="12"/>
      <c r="X102" s="11"/>
      <c r="Y102" s="11"/>
      <c r="Z102" s="11"/>
      <c r="AA102" s="11"/>
      <c r="AB102" s="11"/>
      <c r="AC102" s="11">
        <v>40</v>
      </c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1:38" ht="25.05" customHeight="1">
      <c r="B103" s="13"/>
      <c r="C103" s="29"/>
      <c r="D103" s="30"/>
      <c r="E103" s="19" t="s">
        <v>2642</v>
      </c>
      <c r="F103" s="8" t="s">
        <v>42</v>
      </c>
      <c r="G103" s="9">
        <v>0.10902777777777778</v>
      </c>
      <c r="H103" s="9">
        <v>0.13750000000000001</v>
      </c>
      <c r="I103" s="10">
        <f t="shared" si="7"/>
        <v>2.8472222222222232E-2</v>
      </c>
      <c r="J103" s="11">
        <v>4</v>
      </c>
      <c r="K103" s="11">
        <v>203.4</v>
      </c>
      <c r="L103" s="16">
        <f t="shared" si="8"/>
        <v>74.414634146341442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>
        <v>2</v>
      </c>
      <c r="W103" s="12"/>
      <c r="X103" s="11"/>
      <c r="Y103" s="11"/>
      <c r="Z103" s="11"/>
      <c r="AA103" s="11"/>
      <c r="AB103" s="11"/>
      <c r="AC103" s="11">
        <v>41</v>
      </c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1:38" ht="25.05" customHeight="1">
      <c r="B104" s="13"/>
      <c r="C104" s="29"/>
      <c r="D104" s="30"/>
      <c r="E104" s="19"/>
      <c r="F104" s="8" t="s">
        <v>42</v>
      </c>
      <c r="G104" s="9"/>
      <c r="H104" s="9"/>
      <c r="I104" s="10">
        <f t="shared" si="7"/>
        <v>0</v>
      </c>
      <c r="J104" s="11"/>
      <c r="K104" s="11"/>
      <c r="L104" s="16" t="str">
        <f t="shared" si="8"/>
        <v>0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1:38" ht="25.05" customHeight="1">
      <c r="B105" s="13"/>
      <c r="C105" s="29"/>
      <c r="D105" s="30" t="s">
        <v>2069</v>
      </c>
      <c r="E105" s="19" t="s">
        <v>2643</v>
      </c>
      <c r="F105" s="8" t="s">
        <v>42</v>
      </c>
      <c r="G105" s="87">
        <v>0.79861111111111116</v>
      </c>
      <c r="H105" s="9">
        <v>0.86805555555555558</v>
      </c>
      <c r="I105" s="10">
        <f t="shared" si="7"/>
        <v>6.944444444444442E-2</v>
      </c>
      <c r="J105" s="11">
        <v>3</v>
      </c>
      <c r="K105" s="11">
        <v>57.78</v>
      </c>
      <c r="L105" s="16">
        <f t="shared" si="8"/>
        <v>11.556000000000004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>
        <v>2</v>
      </c>
      <c r="W105" s="12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1:38" ht="25.05" customHeight="1">
      <c r="B106" s="13"/>
      <c r="C106" s="29"/>
      <c r="D106" s="30"/>
      <c r="E106" s="19"/>
      <c r="F106" s="8" t="s">
        <v>42</v>
      </c>
      <c r="G106" s="9"/>
      <c r="H106" s="9"/>
      <c r="I106" s="10">
        <f t="shared" si="7"/>
        <v>0</v>
      </c>
      <c r="J106" s="11"/>
      <c r="K106" s="11"/>
      <c r="L106" s="16" t="str">
        <f t="shared" si="8"/>
        <v>0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1:38" ht="25.05" customHeight="1">
      <c r="B107" s="13"/>
      <c r="C107" s="29"/>
      <c r="D107" s="30"/>
      <c r="E107" s="19"/>
      <c r="F107" s="8" t="s">
        <v>42</v>
      </c>
      <c r="G107" s="9"/>
      <c r="H107" s="9"/>
      <c r="I107" s="10">
        <f t="shared" si="7"/>
        <v>0</v>
      </c>
      <c r="J107" s="11"/>
      <c r="K107" s="11"/>
      <c r="L107" s="16" t="str">
        <f t="shared" si="8"/>
        <v>0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1:38" s="28" customFormat="1" ht="25.5" customHeight="1" thickBot="1">
      <c r="A108" s="2"/>
      <c r="B108" s="32"/>
      <c r="C108" s="33"/>
      <c r="D108" s="34"/>
      <c r="E108" s="35"/>
      <c r="F108" s="35"/>
      <c r="G108" s="36"/>
      <c r="H108" s="36"/>
      <c r="I108" s="37"/>
      <c r="J108" s="38"/>
      <c r="K108" s="38">
        <f t="shared" ref="K108:AL108" si="9">SUM(K24:K107)</f>
        <v>7534.2800000000016</v>
      </c>
      <c r="L108" s="39">
        <f t="shared" si="9"/>
        <v>7454.6747089729988</v>
      </c>
      <c r="M108" s="38">
        <f t="shared" si="9"/>
        <v>0</v>
      </c>
      <c r="N108" s="38">
        <f t="shared" si="9"/>
        <v>0</v>
      </c>
      <c r="O108" s="38">
        <f t="shared" si="9"/>
        <v>0</v>
      </c>
      <c r="P108" s="38">
        <f t="shared" si="9"/>
        <v>0</v>
      </c>
      <c r="Q108" s="38">
        <f t="shared" si="9"/>
        <v>0</v>
      </c>
      <c r="R108" s="38">
        <f t="shared" si="9"/>
        <v>0</v>
      </c>
      <c r="S108" s="38">
        <f t="shared" si="9"/>
        <v>0</v>
      </c>
      <c r="T108" s="38">
        <f t="shared" si="9"/>
        <v>0</v>
      </c>
      <c r="U108" s="38">
        <f t="shared" si="9"/>
        <v>0</v>
      </c>
      <c r="V108" s="38">
        <f t="shared" si="9"/>
        <v>80</v>
      </c>
      <c r="W108" s="38">
        <f t="shared" si="9"/>
        <v>32</v>
      </c>
      <c r="X108" s="38">
        <f t="shared" si="9"/>
        <v>285</v>
      </c>
      <c r="Y108" s="38">
        <f t="shared" si="9"/>
        <v>210</v>
      </c>
      <c r="Z108" s="38">
        <f t="shared" si="9"/>
        <v>210</v>
      </c>
      <c r="AA108" s="38">
        <f t="shared" si="9"/>
        <v>210</v>
      </c>
      <c r="AB108" s="38">
        <f t="shared" si="9"/>
        <v>203</v>
      </c>
      <c r="AC108" s="38">
        <f t="shared" si="9"/>
        <v>213</v>
      </c>
      <c r="AD108" s="38">
        <f t="shared" si="9"/>
        <v>241</v>
      </c>
      <c r="AE108" s="38">
        <f t="shared" si="9"/>
        <v>0</v>
      </c>
      <c r="AF108" s="38">
        <f t="shared" si="9"/>
        <v>0</v>
      </c>
      <c r="AG108" s="38">
        <f t="shared" si="9"/>
        <v>0</v>
      </c>
      <c r="AH108" s="38">
        <f t="shared" si="9"/>
        <v>0</v>
      </c>
      <c r="AI108" s="38">
        <f t="shared" si="9"/>
        <v>0</v>
      </c>
      <c r="AJ108" s="38">
        <f t="shared" si="9"/>
        <v>0</v>
      </c>
      <c r="AK108" s="38">
        <f t="shared" si="9"/>
        <v>0</v>
      </c>
      <c r="AL108" s="38">
        <f t="shared" si="9"/>
        <v>0</v>
      </c>
    </row>
    <row r="109" spans="1:38" ht="38.1" customHeight="1" thickBot="1">
      <c r="B109" s="40" t="s">
        <v>45</v>
      </c>
      <c r="C109" s="41"/>
      <c r="D109" s="41"/>
      <c r="E109" s="41"/>
      <c r="F109" s="41"/>
      <c r="G109" s="41"/>
      <c r="H109" s="41"/>
      <c r="I109" s="41"/>
      <c r="J109" s="41"/>
      <c r="K109" s="42">
        <f>K20+K23+K108</f>
        <v>9880.5700000000015</v>
      </c>
      <c r="L109" s="42">
        <f>L20+L23+L108</f>
        <v>8484.6043374200181</v>
      </c>
      <c r="M109" s="43">
        <f t="shared" ref="M109:AL109" si="10">(M20+M23+M108)/(480-15-30)</f>
        <v>0.34942528735632183</v>
      </c>
      <c r="N109" s="43">
        <f t="shared" si="10"/>
        <v>0</v>
      </c>
      <c r="O109" s="43">
        <f t="shared" si="10"/>
        <v>0</v>
      </c>
      <c r="P109" s="43">
        <f t="shared" si="10"/>
        <v>0</v>
      </c>
      <c r="Q109" s="43">
        <f t="shared" si="10"/>
        <v>0.2045977011494253</v>
      </c>
      <c r="R109" s="43">
        <f t="shared" si="10"/>
        <v>0</v>
      </c>
      <c r="S109" s="43">
        <f t="shared" si="10"/>
        <v>0.81149425287356325</v>
      </c>
      <c r="T109" s="43">
        <f t="shared" si="10"/>
        <v>0</v>
      </c>
      <c r="U109" s="43">
        <f t="shared" si="10"/>
        <v>0</v>
      </c>
      <c r="V109" s="43">
        <f t="shared" si="10"/>
        <v>0.18390804597701149</v>
      </c>
      <c r="W109" s="43">
        <f t="shared" si="10"/>
        <v>7.3563218390804597E-2</v>
      </c>
      <c r="X109" s="43">
        <f t="shared" si="10"/>
        <v>0.65517241379310343</v>
      </c>
      <c r="Y109" s="43">
        <f t="shared" si="10"/>
        <v>0.48275862068965519</v>
      </c>
      <c r="Z109" s="43">
        <f t="shared" si="10"/>
        <v>0.48275862068965519</v>
      </c>
      <c r="AA109" s="43">
        <f t="shared" si="10"/>
        <v>0.48275862068965519</v>
      </c>
      <c r="AB109" s="43">
        <f t="shared" si="10"/>
        <v>0.46666666666666667</v>
      </c>
      <c r="AC109" s="43">
        <f t="shared" si="10"/>
        <v>0.48965517241379308</v>
      </c>
      <c r="AD109" s="43">
        <f t="shared" si="10"/>
        <v>0.55402298850574716</v>
      </c>
      <c r="AE109" s="43">
        <f t="shared" si="10"/>
        <v>0</v>
      </c>
      <c r="AF109" s="43">
        <f t="shared" si="10"/>
        <v>0</v>
      </c>
      <c r="AG109" s="43">
        <f t="shared" si="10"/>
        <v>0</v>
      </c>
      <c r="AH109" s="43">
        <f t="shared" si="10"/>
        <v>0</v>
      </c>
      <c r="AI109" s="43">
        <f t="shared" si="10"/>
        <v>0</v>
      </c>
      <c r="AJ109" s="43">
        <f t="shared" si="10"/>
        <v>0</v>
      </c>
      <c r="AK109" s="43">
        <f t="shared" si="10"/>
        <v>0</v>
      </c>
      <c r="AL109" s="43">
        <f t="shared" si="10"/>
        <v>0</v>
      </c>
    </row>
    <row r="110" spans="1:38" ht="25.05" customHeight="1">
      <c r="B110" s="44"/>
      <c r="C110" s="44"/>
      <c r="D110" s="44"/>
      <c r="E110" s="45"/>
      <c r="F110" s="45"/>
      <c r="G110" s="45"/>
      <c r="H110" s="45"/>
      <c r="I110" s="46"/>
      <c r="J110" s="46"/>
      <c r="K110" s="45"/>
      <c r="L110" s="47"/>
      <c r="M110" s="47"/>
      <c r="N110" s="47"/>
      <c r="O110" s="47"/>
      <c r="P110" s="47"/>
      <c r="Q110" s="45"/>
      <c r="R110" s="45"/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  <c r="AE110" s="45"/>
      <c r="AF110" s="45"/>
      <c r="AG110" s="45"/>
      <c r="AH110" s="45"/>
      <c r="AI110" s="45"/>
      <c r="AJ110" s="45"/>
    </row>
    <row r="111" spans="1:38" ht="25.05" customHeight="1">
      <c r="B111" s="44"/>
      <c r="C111" s="44"/>
      <c r="D111" s="44"/>
      <c r="E111" s="45"/>
      <c r="F111" s="45"/>
      <c r="G111" s="45"/>
      <c r="H111" s="45"/>
      <c r="I111" s="48" t="s">
        <v>46</v>
      </c>
      <c r="J111" s="46"/>
      <c r="K111" s="45"/>
      <c r="L111" s="47"/>
      <c r="M111" s="47"/>
      <c r="N111" s="47"/>
      <c r="O111" s="47"/>
      <c r="P111" s="47"/>
      <c r="Q111" s="45"/>
      <c r="R111" s="45"/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  <c r="AE111" s="45"/>
      <c r="AF111" s="45"/>
      <c r="AG111" s="45"/>
      <c r="AH111" s="45"/>
      <c r="AI111" s="45"/>
      <c r="AJ111" s="45"/>
    </row>
    <row r="112" spans="1:38" ht="25.05" customHeight="1">
      <c r="B112" s="44"/>
      <c r="C112" s="44"/>
      <c r="D112" s="44"/>
      <c r="E112" s="45"/>
      <c r="F112" s="45"/>
      <c r="G112" s="45"/>
      <c r="H112" s="45"/>
      <c r="I112" s="49" t="s">
        <v>47</v>
      </c>
      <c r="J112" s="9">
        <v>0</v>
      </c>
      <c r="K112" s="11">
        <v>7</v>
      </c>
      <c r="L112" s="11" t="s">
        <v>48</v>
      </c>
      <c r="M112" s="47"/>
      <c r="N112" s="14">
        <v>2</v>
      </c>
      <c r="O112" s="14"/>
      <c r="P112" s="14"/>
      <c r="Q112" s="50" t="s">
        <v>49</v>
      </c>
      <c r="R112" s="51"/>
      <c r="S112" s="45"/>
      <c r="T112" s="45"/>
      <c r="U112" s="45"/>
      <c r="V112" s="45"/>
      <c r="W112" s="45"/>
      <c r="X112" s="45"/>
      <c r="Y112" s="45"/>
      <c r="Z112" s="45"/>
      <c r="AA112" s="45"/>
      <c r="AC112" s="45"/>
      <c r="AD112" s="45"/>
      <c r="AE112" s="45"/>
      <c r="AF112" s="45"/>
      <c r="AG112" s="45"/>
      <c r="AH112" s="45"/>
    </row>
    <row r="113" spans="2:34" ht="25.05" customHeight="1">
      <c r="B113" s="44"/>
      <c r="C113" s="44"/>
      <c r="D113" s="44"/>
      <c r="E113" s="45"/>
      <c r="F113" s="45"/>
      <c r="G113" s="45"/>
      <c r="H113" s="45"/>
      <c r="I113" s="49" t="s">
        <v>50</v>
      </c>
      <c r="J113" s="9">
        <v>0</v>
      </c>
      <c r="K113" s="11">
        <v>0</v>
      </c>
      <c r="L113" s="11" t="s">
        <v>48</v>
      </c>
      <c r="M113" s="47"/>
      <c r="N113" s="14">
        <v>0</v>
      </c>
      <c r="O113" s="14"/>
      <c r="P113" s="14"/>
      <c r="Q113" s="50" t="s">
        <v>51</v>
      </c>
      <c r="R113" s="51"/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  <c r="AE113" s="45"/>
      <c r="AF113" s="45"/>
      <c r="AG113" s="45"/>
      <c r="AH113" s="45"/>
    </row>
    <row r="114" spans="2:34" ht="25.05" customHeight="1">
      <c r="B114" s="44"/>
      <c r="C114" s="44"/>
      <c r="D114" s="44"/>
      <c r="E114" s="45"/>
      <c r="F114" s="45"/>
      <c r="G114" s="45"/>
      <c r="H114" s="45"/>
      <c r="I114" s="49" t="s">
        <v>52</v>
      </c>
      <c r="J114" s="9">
        <v>0</v>
      </c>
      <c r="K114" s="11">
        <v>19</v>
      </c>
      <c r="L114" s="11" t="s">
        <v>48</v>
      </c>
      <c r="M114" s="47"/>
      <c r="N114" s="14">
        <v>0</v>
      </c>
      <c r="O114" s="14"/>
      <c r="P114" s="14"/>
      <c r="Q114" s="50" t="s">
        <v>53</v>
      </c>
      <c r="R114" s="51"/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  <c r="AE114" s="45"/>
      <c r="AF114" s="45"/>
      <c r="AG114" s="45"/>
      <c r="AH114" s="45"/>
    </row>
    <row r="115" spans="2:34" ht="25.05" customHeight="1">
      <c r="B115" s="44"/>
      <c r="C115" s="44"/>
      <c r="D115" s="44"/>
      <c r="E115" s="45"/>
      <c r="F115" s="45"/>
      <c r="G115" s="45"/>
      <c r="H115" s="45"/>
      <c r="I115" s="52" t="s">
        <v>54</v>
      </c>
      <c r="J115" s="53">
        <v>0</v>
      </c>
      <c r="K115" s="11">
        <v>2</v>
      </c>
      <c r="L115" s="54" t="s">
        <v>48</v>
      </c>
      <c r="M115" s="47"/>
      <c r="N115" s="14">
        <v>3</v>
      </c>
      <c r="O115" s="14"/>
      <c r="P115" s="14"/>
      <c r="Q115" s="50" t="s">
        <v>55</v>
      </c>
      <c r="R115" s="51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  <c r="AE115" s="45"/>
      <c r="AF115" s="45"/>
      <c r="AG115" s="45"/>
      <c r="AH115" s="45"/>
    </row>
    <row r="116" spans="2:34" ht="25.05" customHeight="1">
      <c r="B116" s="44"/>
      <c r="C116" s="44"/>
      <c r="D116" s="44"/>
      <c r="E116" s="45"/>
      <c r="F116" s="45"/>
      <c r="G116" s="45"/>
      <c r="H116" s="45"/>
      <c r="I116" s="49" t="s">
        <v>56</v>
      </c>
      <c r="J116" s="9">
        <v>0</v>
      </c>
      <c r="K116" s="11">
        <v>28</v>
      </c>
      <c r="L116" s="11" t="s">
        <v>48</v>
      </c>
      <c r="M116" s="47"/>
      <c r="N116"/>
      <c r="O116"/>
      <c r="P116"/>
      <c r="Q116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  <c r="AE116" s="45"/>
      <c r="AF116" s="45"/>
      <c r="AG116" s="45"/>
      <c r="AH116" s="45"/>
    </row>
    <row r="117" spans="2:34" ht="25.05" customHeight="1">
      <c r="B117" s="44"/>
      <c r="C117" s="44"/>
      <c r="D117" s="44"/>
      <c r="E117" s="45"/>
      <c r="F117" s="45"/>
      <c r="G117" s="45"/>
      <c r="H117" s="45"/>
      <c r="M117" s="47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  <c r="AE117" s="45"/>
      <c r="AF117" s="45"/>
      <c r="AG117" s="45"/>
      <c r="AH117" s="45"/>
    </row>
    <row r="118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B995A-74FD-445B-AE90-84DC07C3BC06}">
  <sheetPr>
    <pageSetUpPr fitToPage="1"/>
  </sheetPr>
  <dimension ref="A1:AL154"/>
  <sheetViews>
    <sheetView zoomScale="85" zoomScaleNormal="85" workbookViewId="0">
      <pane xSplit="12" ySplit="3" topLeftCell="M61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46085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0" si="0">H4-G4</f>
        <v>2.0833333333333315E-2</v>
      </c>
      <c r="J4" s="11">
        <v>1</v>
      </c>
      <c r="K4" s="62" t="s">
        <v>42</v>
      </c>
      <c r="L4" s="64" t="s">
        <v>42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2069</v>
      </c>
      <c r="E5" s="83" t="s">
        <v>2216</v>
      </c>
      <c r="F5" s="8" t="s">
        <v>42</v>
      </c>
      <c r="G5" s="9">
        <v>0.29166666666666669</v>
      </c>
      <c r="H5" s="9">
        <v>0.29652777777777778</v>
      </c>
      <c r="I5" s="10">
        <f t="shared" si="0"/>
        <v>4.8611111111110938E-3</v>
      </c>
      <c r="J5" s="11">
        <v>1</v>
      </c>
      <c r="K5" s="11">
        <v>4</v>
      </c>
      <c r="L5" s="16">
        <f t="shared" ref="L5:L20" si="1">IFERROR(((K5/(J5*I5)/24)),"0")</f>
        <v>34.285714285714405</v>
      </c>
      <c r="M5" s="11">
        <v>7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83" t="s">
        <v>2293</v>
      </c>
      <c r="F6" s="8" t="s">
        <v>42</v>
      </c>
      <c r="G6" s="9">
        <v>0.29791666666666666</v>
      </c>
      <c r="H6" s="9">
        <v>0.30902777777777779</v>
      </c>
      <c r="I6" s="10">
        <f t="shared" si="0"/>
        <v>1.1111111111111127E-2</v>
      </c>
      <c r="J6" s="11">
        <v>1</v>
      </c>
      <c r="K6" s="11">
        <v>2</v>
      </c>
      <c r="L6" s="16">
        <f t="shared" si="1"/>
        <v>7.4999999999999893</v>
      </c>
      <c r="M6" s="11">
        <v>16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30" t="s">
        <v>2644</v>
      </c>
      <c r="E7" s="17" t="s">
        <v>2294</v>
      </c>
      <c r="F7" s="8" t="s">
        <v>42</v>
      </c>
      <c r="G7" s="9">
        <v>0.29166666666666669</v>
      </c>
      <c r="H7" s="9">
        <v>0.30208333333333331</v>
      </c>
      <c r="I7" s="10">
        <f t="shared" si="0"/>
        <v>1.041666666666663E-2</v>
      </c>
      <c r="J7" s="11">
        <v>1</v>
      </c>
      <c r="K7" s="11">
        <v>0.84</v>
      </c>
      <c r="L7" s="16">
        <f t="shared" si="1"/>
        <v>3.3600000000000119</v>
      </c>
      <c r="M7" s="11"/>
      <c r="N7" s="11"/>
      <c r="O7" s="11"/>
      <c r="P7" s="11"/>
      <c r="Q7" s="11"/>
      <c r="R7" s="12"/>
      <c r="S7" s="12">
        <v>15</v>
      </c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2645</v>
      </c>
      <c r="F8" s="8" t="s">
        <v>42</v>
      </c>
      <c r="G8" s="9">
        <v>0.29166666666666669</v>
      </c>
      <c r="H8" s="9">
        <v>0.33333333333333331</v>
      </c>
      <c r="I8" s="10">
        <f t="shared" si="0"/>
        <v>4.166666666666663E-2</v>
      </c>
      <c r="J8" s="11">
        <v>8</v>
      </c>
      <c r="K8" s="11">
        <v>11</v>
      </c>
      <c r="L8" s="16">
        <f t="shared" si="1"/>
        <v>1.3750000000000011</v>
      </c>
      <c r="M8" s="11"/>
      <c r="N8" s="11"/>
      <c r="O8" s="11"/>
      <c r="P8" s="11"/>
      <c r="Q8" s="11"/>
      <c r="R8" s="12"/>
      <c r="S8" s="12">
        <v>60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20" t="s">
        <v>2646</v>
      </c>
      <c r="F9" s="8" t="s">
        <v>42</v>
      </c>
      <c r="G9" s="9">
        <v>0.29166666666666669</v>
      </c>
      <c r="H9" s="9">
        <v>0.3125</v>
      </c>
      <c r="I9" s="10">
        <f t="shared" si="0"/>
        <v>2.0833333333333315E-2</v>
      </c>
      <c r="J9" s="11">
        <v>2</v>
      </c>
      <c r="K9" s="11">
        <v>107</v>
      </c>
      <c r="L9" s="16">
        <f t="shared" si="1"/>
        <v>107.0000000000001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1321</v>
      </c>
      <c r="F10" s="8" t="s">
        <v>42</v>
      </c>
      <c r="G10" s="9">
        <v>0.30694444444444446</v>
      </c>
      <c r="H10" s="9">
        <v>0.31597222222222221</v>
      </c>
      <c r="I10" s="10">
        <f t="shared" si="0"/>
        <v>9.0277777777777457E-3</v>
      </c>
      <c r="J10" s="11">
        <v>2</v>
      </c>
      <c r="K10" s="11">
        <v>31</v>
      </c>
      <c r="L10" s="16">
        <f t="shared" si="1"/>
        <v>71.538461538461789</v>
      </c>
      <c r="M10" s="11"/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2647</v>
      </c>
      <c r="F11" s="8" t="s">
        <v>42</v>
      </c>
      <c r="G11" s="9">
        <v>0.29166666666666669</v>
      </c>
      <c r="H11" s="9">
        <v>0.30902777777777779</v>
      </c>
      <c r="I11" s="10">
        <f t="shared" si="0"/>
        <v>1.7361111111111105E-2</v>
      </c>
      <c r="J11" s="11">
        <v>2</v>
      </c>
      <c r="K11" s="11">
        <v>35.64</v>
      </c>
      <c r="L11" s="16">
        <f t="shared" si="1"/>
        <v>42.768000000000022</v>
      </c>
      <c r="M11" s="11"/>
      <c r="N11" s="11"/>
      <c r="O11" s="11">
        <v>25</v>
      </c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 t="s">
        <v>2648</v>
      </c>
      <c r="E12" s="15" t="s">
        <v>2649</v>
      </c>
      <c r="F12" s="8" t="s">
        <v>42</v>
      </c>
      <c r="G12" s="9">
        <v>0.3125</v>
      </c>
      <c r="H12" s="9">
        <v>0.32291666666666669</v>
      </c>
      <c r="I12" s="10">
        <f>H12-G12</f>
        <v>1.0416666666666685E-2</v>
      </c>
      <c r="J12" s="11">
        <v>1</v>
      </c>
      <c r="K12" s="11">
        <v>2</v>
      </c>
      <c r="L12" s="16">
        <f t="shared" si="1"/>
        <v>7.9999999999999858</v>
      </c>
      <c r="M12" s="11"/>
      <c r="N12" s="11"/>
      <c r="O12" s="11">
        <v>15</v>
      </c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6" t="s">
        <v>94</v>
      </c>
      <c r="F13" s="8" t="s">
        <v>42</v>
      </c>
      <c r="G13" s="9">
        <v>0.34722222222222221</v>
      </c>
      <c r="H13" s="9">
        <v>0.41666666666666669</v>
      </c>
      <c r="I13" s="10">
        <f t="shared" si="0"/>
        <v>6.9444444444444475E-2</v>
      </c>
      <c r="J13" s="11">
        <v>10</v>
      </c>
      <c r="K13" s="62" t="s">
        <v>42</v>
      </c>
      <c r="L13" s="16" t="str">
        <f t="shared" si="1"/>
        <v>0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84" t="s">
        <v>42</v>
      </c>
      <c r="F14" s="8" t="s">
        <v>42</v>
      </c>
      <c r="G14" s="9">
        <v>0.41666666666666669</v>
      </c>
      <c r="H14" s="9">
        <v>0.45833333333333331</v>
      </c>
      <c r="I14" s="10">
        <f t="shared" si="0"/>
        <v>4.166666666666663E-2</v>
      </c>
      <c r="J14" s="11">
        <v>14</v>
      </c>
      <c r="K14" s="62" t="s">
        <v>42</v>
      </c>
      <c r="L14" s="16" t="str">
        <f t="shared" si="1"/>
        <v>0</v>
      </c>
      <c r="M14" s="11"/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 t="s">
        <v>2650</v>
      </c>
      <c r="E15" s="15" t="s">
        <v>2651</v>
      </c>
      <c r="F15" s="8" t="s">
        <v>42</v>
      </c>
      <c r="G15" s="9">
        <v>0.45833333333333331</v>
      </c>
      <c r="H15" s="9">
        <v>0.61111111111111116</v>
      </c>
      <c r="I15" s="10">
        <f t="shared" si="0"/>
        <v>0.15277777777777785</v>
      </c>
      <c r="J15" s="11">
        <v>13</v>
      </c>
      <c r="K15" s="11">
        <v>817</v>
      </c>
      <c r="L15" s="16">
        <f t="shared" si="1"/>
        <v>17.139860139860133</v>
      </c>
      <c r="M15" s="11"/>
      <c r="N15" s="11"/>
      <c r="O15" s="11"/>
      <c r="P15" s="11"/>
      <c r="Q15" s="11"/>
      <c r="R15" s="12"/>
      <c r="S15" s="12">
        <v>220</v>
      </c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84" t="s">
        <v>42</v>
      </c>
      <c r="F16" s="8" t="s">
        <v>42</v>
      </c>
      <c r="G16" s="9">
        <v>0.64583333333333337</v>
      </c>
      <c r="H16" s="9">
        <v>0.66666666666666663</v>
      </c>
      <c r="I16" s="10">
        <f t="shared" si="0"/>
        <v>2.0833333333333259E-2</v>
      </c>
      <c r="J16" s="11">
        <v>3</v>
      </c>
      <c r="K16" s="62" t="s">
        <v>42</v>
      </c>
      <c r="L16" s="64" t="s">
        <v>42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6" t="s">
        <v>94</v>
      </c>
      <c r="F17" s="8" t="s">
        <v>42</v>
      </c>
      <c r="G17" s="9">
        <v>0.64583333333333337</v>
      </c>
      <c r="H17" s="9">
        <v>0.75</v>
      </c>
      <c r="I17" s="10">
        <f t="shared" si="0"/>
        <v>0.10416666666666663</v>
      </c>
      <c r="J17" s="11">
        <v>10</v>
      </c>
      <c r="K17" s="62" t="s">
        <v>42</v>
      </c>
      <c r="L17" s="64" t="s">
        <v>42</v>
      </c>
      <c r="M17" s="11"/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/>
      <c r="E18" s="15"/>
      <c r="F18" s="8" t="s">
        <v>42</v>
      </c>
      <c r="G18" s="9"/>
      <c r="H18" s="9"/>
      <c r="I18" s="10">
        <f t="shared" si="0"/>
        <v>0</v>
      </c>
      <c r="J18" s="11"/>
      <c r="K18" s="11"/>
      <c r="L18" s="16" t="str">
        <f t="shared" si="1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6"/>
      <c r="E19" s="15"/>
      <c r="F19" s="8" t="s">
        <v>42</v>
      </c>
      <c r="G19" s="9"/>
      <c r="H19" s="9"/>
      <c r="I19" s="10">
        <f t="shared" si="0"/>
        <v>0</v>
      </c>
      <c r="J19" s="11"/>
      <c r="K19" s="11"/>
      <c r="L19" s="16" t="str">
        <f t="shared" si="1"/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/>
      <c r="F20" s="8" t="s">
        <v>42</v>
      </c>
      <c r="G20" s="9"/>
      <c r="H20" s="9"/>
      <c r="I20" s="10">
        <f t="shared" si="0"/>
        <v>0</v>
      </c>
      <c r="J20" s="11"/>
      <c r="K20" s="11"/>
      <c r="L20" s="16" t="str">
        <f t="shared" si="1"/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s="28" customFormat="1" ht="25.05" customHeight="1">
      <c r="A21" s="2"/>
      <c r="B21" s="21"/>
      <c r="C21" s="22"/>
      <c r="D21" s="23"/>
      <c r="E21" s="24"/>
      <c r="F21" s="24"/>
      <c r="G21" s="25"/>
      <c r="H21" s="25"/>
      <c r="I21" s="26"/>
      <c r="J21" s="27"/>
      <c r="K21" s="27">
        <f t="shared" ref="K21:AL21" si="2">SUM(K4:K17)</f>
        <v>1010.48</v>
      </c>
      <c r="L21" s="39">
        <f t="shared" si="2"/>
        <v>292.96703596403643</v>
      </c>
      <c r="M21" s="27">
        <f t="shared" si="2"/>
        <v>23</v>
      </c>
      <c r="N21" s="27">
        <f t="shared" si="2"/>
        <v>0</v>
      </c>
      <c r="O21" s="27">
        <f t="shared" si="2"/>
        <v>40</v>
      </c>
      <c r="P21" s="27">
        <f t="shared" si="2"/>
        <v>0</v>
      </c>
      <c r="Q21" s="27">
        <f t="shared" si="2"/>
        <v>0</v>
      </c>
      <c r="R21" s="27">
        <f t="shared" si="2"/>
        <v>0</v>
      </c>
      <c r="S21" s="27">
        <f t="shared" si="2"/>
        <v>295</v>
      </c>
      <c r="T21" s="27">
        <f t="shared" si="2"/>
        <v>0</v>
      </c>
      <c r="U21" s="27">
        <f t="shared" si="2"/>
        <v>0</v>
      </c>
      <c r="V21" s="27">
        <f t="shared" si="2"/>
        <v>0</v>
      </c>
      <c r="W21" s="27">
        <f t="shared" si="2"/>
        <v>0</v>
      </c>
      <c r="X21" s="27">
        <f t="shared" si="2"/>
        <v>0</v>
      </c>
      <c r="Y21" s="27">
        <f t="shared" si="2"/>
        <v>0</v>
      </c>
      <c r="Z21" s="27">
        <f t="shared" si="2"/>
        <v>0</v>
      </c>
      <c r="AA21" s="27">
        <f t="shared" si="2"/>
        <v>0</v>
      </c>
      <c r="AB21" s="27">
        <f t="shared" si="2"/>
        <v>0</v>
      </c>
      <c r="AC21" s="27">
        <f t="shared" si="2"/>
        <v>0</v>
      </c>
      <c r="AD21" s="27">
        <f t="shared" si="2"/>
        <v>0</v>
      </c>
      <c r="AE21" s="27">
        <f t="shared" si="2"/>
        <v>0</v>
      </c>
      <c r="AF21" s="27">
        <f t="shared" si="2"/>
        <v>0</v>
      </c>
      <c r="AG21" s="27">
        <f t="shared" si="2"/>
        <v>0</v>
      </c>
      <c r="AH21" s="27">
        <f t="shared" si="2"/>
        <v>0</v>
      </c>
      <c r="AI21" s="27">
        <f t="shared" si="2"/>
        <v>0</v>
      </c>
      <c r="AJ21" s="27">
        <f t="shared" si="2"/>
        <v>0</v>
      </c>
      <c r="AK21" s="27">
        <f t="shared" si="2"/>
        <v>0</v>
      </c>
      <c r="AL21" s="27">
        <f t="shared" si="2"/>
        <v>0</v>
      </c>
    </row>
    <row r="22" spans="1:38" ht="25.05" customHeight="1">
      <c r="B22" s="13"/>
      <c r="C22" s="14" t="s">
        <v>43</v>
      </c>
      <c r="D22" s="6"/>
      <c r="E22" s="7" t="s">
        <v>41</v>
      </c>
      <c r="F22" s="8" t="s">
        <v>42</v>
      </c>
      <c r="G22" s="9">
        <v>0.29166666666666669</v>
      </c>
      <c r="H22" s="9">
        <v>0.33333333333333331</v>
      </c>
      <c r="I22" s="10">
        <f t="shared" ref="I22:I27" si="3">H22-G22</f>
        <v>4.166666666666663E-2</v>
      </c>
      <c r="J22" s="11">
        <v>6</v>
      </c>
      <c r="K22" s="62" t="s">
        <v>42</v>
      </c>
      <c r="L22" s="64" t="s">
        <v>42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30" t="s">
        <v>2300</v>
      </c>
      <c r="E23" s="85" t="s">
        <v>2652</v>
      </c>
      <c r="F23" s="8" t="s">
        <v>42</v>
      </c>
      <c r="G23" s="9">
        <v>0.33333333333333331</v>
      </c>
      <c r="H23" s="9">
        <v>0.49305555555555558</v>
      </c>
      <c r="I23" s="10">
        <f t="shared" si="3"/>
        <v>0.15972222222222227</v>
      </c>
      <c r="J23" s="11">
        <v>12</v>
      </c>
      <c r="K23" s="11">
        <v>117.28</v>
      </c>
      <c r="L23" s="16" t="str">
        <f>IFERROR(((K21/(J21*I21)/24)),"0")</f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86" t="s">
        <v>42</v>
      </c>
      <c r="F24" s="8" t="s">
        <v>42</v>
      </c>
      <c r="G24" s="9">
        <v>0.5</v>
      </c>
      <c r="H24" s="9">
        <v>0.54166666666666663</v>
      </c>
      <c r="I24" s="10">
        <f t="shared" si="3"/>
        <v>4.166666666666663E-2</v>
      </c>
      <c r="J24" s="11">
        <v>12</v>
      </c>
      <c r="K24" s="62" t="s">
        <v>42</v>
      </c>
      <c r="L24" s="16" t="str">
        <f>IFERROR(((K22/(J22*I22)/24)),"0")</f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30" t="s">
        <v>2219</v>
      </c>
      <c r="E25" s="19" t="s">
        <v>503</v>
      </c>
      <c r="F25" s="8" t="s">
        <v>42</v>
      </c>
      <c r="G25" s="9">
        <v>0.54513888888888884</v>
      </c>
      <c r="H25" s="9">
        <v>0.82986111111111116</v>
      </c>
      <c r="I25" s="10">
        <f t="shared" si="3"/>
        <v>0.28472222222222232</v>
      </c>
      <c r="J25" s="11">
        <v>12</v>
      </c>
      <c r="K25" s="11">
        <v>1350</v>
      </c>
      <c r="L25" s="16">
        <f>IFERROR(((K23/(J23*I23)/24)),"0")</f>
        <v>2.5495652173913039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7"/>
      <c r="F26" s="8" t="s">
        <v>42</v>
      </c>
      <c r="G26" s="9"/>
      <c r="H26" s="9"/>
      <c r="I26" s="10">
        <f t="shared" si="3"/>
        <v>0</v>
      </c>
      <c r="J26" s="11"/>
      <c r="K26" s="11"/>
      <c r="L26" s="16" t="str">
        <f>IFERROR(((K24/(J24*I24)/24)),"0")</f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18"/>
      <c r="E27" s="6"/>
      <c r="F27" s="8" t="s">
        <v>42</v>
      </c>
      <c r="G27" s="9"/>
      <c r="H27" s="9"/>
      <c r="I27" s="10">
        <f t="shared" si="3"/>
        <v>0</v>
      </c>
      <c r="J27" s="11"/>
      <c r="K27" s="11"/>
      <c r="L27" s="16" t="str">
        <f>IFERROR(((#REF!/(#REF!*#REF!)/24)),"0")</f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s="28" customFormat="1" ht="25.05" customHeight="1">
      <c r="A28" s="2"/>
      <c r="B28" s="21"/>
      <c r="C28" s="22"/>
      <c r="D28" s="23"/>
      <c r="E28" s="24"/>
      <c r="F28" s="22"/>
      <c r="G28" s="25"/>
      <c r="H28" s="25"/>
      <c r="I28" s="26"/>
      <c r="J28" s="27"/>
      <c r="K28" s="27">
        <f t="shared" ref="K28:AL28" si="4">SUM(K22:K27)</f>
        <v>1467.28</v>
      </c>
      <c r="L28" s="27">
        <f t="shared" si="4"/>
        <v>2.5495652173913039</v>
      </c>
      <c r="M28" s="27">
        <f t="shared" si="4"/>
        <v>0</v>
      </c>
      <c r="N28" s="27">
        <f t="shared" si="4"/>
        <v>0</v>
      </c>
      <c r="O28" s="27">
        <f t="shared" si="4"/>
        <v>0</v>
      </c>
      <c r="P28" s="27">
        <f t="shared" si="4"/>
        <v>0</v>
      </c>
      <c r="Q28" s="27">
        <f t="shared" si="4"/>
        <v>0</v>
      </c>
      <c r="R28" s="27">
        <f t="shared" si="4"/>
        <v>0</v>
      </c>
      <c r="S28" s="27">
        <f t="shared" si="4"/>
        <v>0</v>
      </c>
      <c r="T28" s="27">
        <f t="shared" si="4"/>
        <v>0</v>
      </c>
      <c r="U28" s="27">
        <f t="shared" si="4"/>
        <v>0</v>
      </c>
      <c r="V28" s="27">
        <f t="shared" si="4"/>
        <v>0</v>
      </c>
      <c r="W28" s="27">
        <f t="shared" si="4"/>
        <v>0</v>
      </c>
      <c r="X28" s="27">
        <f t="shared" si="4"/>
        <v>0</v>
      </c>
      <c r="Y28" s="27">
        <f t="shared" si="4"/>
        <v>0</v>
      </c>
      <c r="Z28" s="27">
        <f t="shared" si="4"/>
        <v>0</v>
      </c>
      <c r="AA28" s="27">
        <f t="shared" si="4"/>
        <v>0</v>
      </c>
      <c r="AB28" s="27">
        <f t="shared" si="4"/>
        <v>0</v>
      </c>
      <c r="AC28" s="27">
        <f t="shared" si="4"/>
        <v>0</v>
      </c>
      <c r="AD28" s="27">
        <f t="shared" si="4"/>
        <v>0</v>
      </c>
      <c r="AE28" s="27">
        <f t="shared" si="4"/>
        <v>0</v>
      </c>
      <c r="AF28" s="27">
        <f t="shared" si="4"/>
        <v>0</v>
      </c>
      <c r="AG28" s="27">
        <f t="shared" si="4"/>
        <v>0</v>
      </c>
      <c r="AH28" s="27">
        <f t="shared" si="4"/>
        <v>0</v>
      </c>
      <c r="AI28" s="27">
        <f t="shared" si="4"/>
        <v>0</v>
      </c>
      <c r="AJ28" s="27">
        <f t="shared" si="4"/>
        <v>0</v>
      </c>
      <c r="AK28" s="27">
        <f t="shared" si="4"/>
        <v>0</v>
      </c>
      <c r="AL28" s="27">
        <f t="shared" si="4"/>
        <v>0</v>
      </c>
    </row>
    <row r="29" spans="1:38" ht="25.05" customHeight="1">
      <c r="B29" s="5">
        <v>46085</v>
      </c>
      <c r="C29" s="29" t="s">
        <v>44</v>
      </c>
      <c r="D29" s="30"/>
      <c r="E29" s="7" t="s">
        <v>41</v>
      </c>
      <c r="F29" s="8" t="s">
        <v>42</v>
      </c>
      <c r="G29" s="9">
        <v>0.29166666666666669</v>
      </c>
      <c r="H29" s="9">
        <v>0.2986111111111111</v>
      </c>
      <c r="I29" s="10">
        <f t="shared" ref="I29:I94" si="5">H29-G29</f>
        <v>6.9444444444444198E-3</v>
      </c>
      <c r="J29" s="11">
        <v>4</v>
      </c>
      <c r="K29" s="62" t="s">
        <v>42</v>
      </c>
      <c r="L29" s="64" t="s">
        <v>42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 t="s">
        <v>2653</v>
      </c>
      <c r="E30" s="19" t="s">
        <v>2654</v>
      </c>
      <c r="F30" s="8" t="s">
        <v>42</v>
      </c>
      <c r="G30" s="9">
        <v>0.34166666666666667</v>
      </c>
      <c r="H30" s="9">
        <v>0.34375</v>
      </c>
      <c r="I30" s="10">
        <f t="shared" si="5"/>
        <v>2.0833333333333259E-3</v>
      </c>
      <c r="J30" s="11">
        <v>1</v>
      </c>
      <c r="K30" s="11">
        <v>30.96</v>
      </c>
      <c r="L30" s="16">
        <f t="shared" ref="L30:L94" si="6">IFERROR(((K30/(J30*I30)/24)),"0")</f>
        <v>619.20000000000221</v>
      </c>
      <c r="M30" s="11"/>
      <c r="N30" s="11"/>
      <c r="O30" s="11"/>
      <c r="P30" s="11"/>
      <c r="Q30" s="11"/>
      <c r="R30" s="12"/>
      <c r="S30" s="12"/>
      <c r="T30" s="11"/>
      <c r="U30" s="11"/>
      <c r="V30" s="12">
        <v>2</v>
      </c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9" t="s">
        <v>1018</v>
      </c>
      <c r="F31" s="8" t="s">
        <v>42</v>
      </c>
      <c r="G31" s="9">
        <v>0.61944444444444446</v>
      </c>
      <c r="H31" s="9">
        <v>0.61944444444444446</v>
      </c>
      <c r="I31" s="10">
        <f t="shared" si="5"/>
        <v>0</v>
      </c>
      <c r="J31" s="11">
        <v>4</v>
      </c>
      <c r="K31" s="11">
        <v>8.3800000000000008</v>
      </c>
      <c r="L31" s="16" t="str">
        <f t="shared" si="6"/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>
        <v>2</v>
      </c>
      <c r="X31" s="11"/>
      <c r="Y31" s="11"/>
      <c r="Z31" s="11"/>
      <c r="AA31" s="11"/>
      <c r="AB31" s="11"/>
      <c r="AC31" s="11">
        <v>5</v>
      </c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9" t="s">
        <v>1019</v>
      </c>
      <c r="F32" s="8" t="s">
        <v>42</v>
      </c>
      <c r="G32" s="9">
        <v>0.62013888888888891</v>
      </c>
      <c r="H32" s="9">
        <v>0.62013888888888891</v>
      </c>
      <c r="I32" s="10">
        <f t="shared" si="5"/>
        <v>0</v>
      </c>
      <c r="J32" s="11">
        <v>4</v>
      </c>
      <c r="K32" s="11">
        <v>8.34</v>
      </c>
      <c r="L32" s="16" t="str">
        <f t="shared" si="6"/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2</v>
      </c>
      <c r="X32" s="11"/>
      <c r="Y32" s="11"/>
      <c r="Z32" s="11"/>
      <c r="AA32" s="11"/>
      <c r="AB32" s="11"/>
      <c r="AC32" s="11">
        <v>5</v>
      </c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1020</v>
      </c>
      <c r="F33" s="8" t="s">
        <v>42</v>
      </c>
      <c r="G33" s="9">
        <v>0.62083333333333302</v>
      </c>
      <c r="H33" s="9">
        <v>0.62083333333333302</v>
      </c>
      <c r="I33" s="10">
        <f t="shared" si="5"/>
        <v>0</v>
      </c>
      <c r="J33" s="11">
        <v>4</v>
      </c>
      <c r="K33" s="11">
        <v>8.52</v>
      </c>
      <c r="L33" s="16" t="str">
        <f t="shared" si="6"/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>
        <v>2</v>
      </c>
      <c r="X33" s="11"/>
      <c r="Y33" s="11"/>
      <c r="Z33" s="11"/>
      <c r="AA33" s="11"/>
      <c r="AB33" s="11"/>
      <c r="AC33" s="11">
        <v>5</v>
      </c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9" t="s">
        <v>1021</v>
      </c>
      <c r="F34" s="8" t="s">
        <v>42</v>
      </c>
      <c r="G34" s="9">
        <v>0.62152777777777801</v>
      </c>
      <c r="H34" s="9">
        <v>0.62152777777777801</v>
      </c>
      <c r="I34" s="10">
        <f t="shared" si="5"/>
        <v>0</v>
      </c>
      <c r="J34" s="11">
        <v>4</v>
      </c>
      <c r="K34" s="11">
        <v>8.58</v>
      </c>
      <c r="L34" s="16" t="str">
        <f t="shared" si="6"/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/>
      <c r="AA34" s="11"/>
      <c r="AB34" s="11"/>
      <c r="AC34" s="11">
        <v>5</v>
      </c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9" t="s">
        <v>1729</v>
      </c>
      <c r="F35" s="8" t="s">
        <v>42</v>
      </c>
      <c r="G35" s="9">
        <v>0.56944444444444442</v>
      </c>
      <c r="H35" s="9">
        <v>0.56944444444444442</v>
      </c>
      <c r="I35" s="10">
        <f t="shared" si="5"/>
        <v>0</v>
      </c>
      <c r="J35" s="11">
        <v>4</v>
      </c>
      <c r="K35" s="11">
        <v>71.94</v>
      </c>
      <c r="L35" s="16" t="str">
        <f t="shared" si="6"/>
        <v>0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/>
      <c r="AA35" s="11"/>
      <c r="AB35" s="11"/>
      <c r="AC35" s="11">
        <v>15</v>
      </c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9" t="s">
        <v>1731</v>
      </c>
      <c r="F36" s="8" t="s">
        <v>42</v>
      </c>
      <c r="G36" s="9">
        <v>0.57986111111111116</v>
      </c>
      <c r="H36" s="9">
        <v>0.57986111111111116</v>
      </c>
      <c r="I36" s="10">
        <f t="shared" si="5"/>
        <v>0</v>
      </c>
      <c r="J36" s="11">
        <v>4</v>
      </c>
      <c r="K36" s="11">
        <v>69.36</v>
      </c>
      <c r="L36" s="16" t="str">
        <f t="shared" si="6"/>
        <v>0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/>
      <c r="AB36" s="11"/>
      <c r="AC36" s="11">
        <v>15</v>
      </c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9" t="s">
        <v>1732</v>
      </c>
      <c r="F37" s="8" t="s">
        <v>42</v>
      </c>
      <c r="G37" s="9">
        <v>0.58680555555555558</v>
      </c>
      <c r="H37" s="9">
        <v>0.58680555555555558</v>
      </c>
      <c r="I37" s="10">
        <f t="shared" si="5"/>
        <v>0</v>
      </c>
      <c r="J37" s="11">
        <v>4</v>
      </c>
      <c r="K37" s="11">
        <v>70.819999999999993</v>
      </c>
      <c r="L37" s="16" t="str">
        <f t="shared" si="6"/>
        <v>0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2</v>
      </c>
      <c r="X37" s="11"/>
      <c r="Y37" s="11"/>
      <c r="Z37" s="11"/>
      <c r="AA37" s="11"/>
      <c r="AB37" s="11"/>
      <c r="AC37" s="11">
        <v>15</v>
      </c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9" t="s">
        <v>1733</v>
      </c>
      <c r="F38" s="8" t="s">
        <v>42</v>
      </c>
      <c r="G38" s="9">
        <v>0.60416666666666663</v>
      </c>
      <c r="H38" s="9">
        <v>0.60416666666666663</v>
      </c>
      <c r="I38" s="10">
        <f t="shared" si="5"/>
        <v>0</v>
      </c>
      <c r="J38" s="11">
        <v>4</v>
      </c>
      <c r="K38" s="11">
        <v>73.040000000000006</v>
      </c>
      <c r="L38" s="16" t="str">
        <f t="shared" si="6"/>
        <v>0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/>
      <c r="Z38" s="11"/>
      <c r="AA38" s="11"/>
      <c r="AB38" s="11"/>
      <c r="AC38" s="11">
        <v>15</v>
      </c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9" t="s">
        <v>2111</v>
      </c>
      <c r="F39" s="8" t="s">
        <v>42</v>
      </c>
      <c r="G39" s="9">
        <v>0.57847222222222228</v>
      </c>
      <c r="H39" s="9">
        <v>0.59097222222222223</v>
      </c>
      <c r="I39" s="10">
        <f t="shared" si="5"/>
        <v>1.2499999999999956E-2</v>
      </c>
      <c r="J39" s="11">
        <v>4</v>
      </c>
      <c r="K39" s="11">
        <v>125</v>
      </c>
      <c r="L39" s="16">
        <f t="shared" si="6"/>
        <v>104.16666666666704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>
        <v>18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9" t="s">
        <v>2655</v>
      </c>
      <c r="F40" s="8" t="s">
        <v>42</v>
      </c>
      <c r="G40" s="9">
        <v>0.59444444444444444</v>
      </c>
      <c r="H40" s="9">
        <v>0.60624999999999996</v>
      </c>
      <c r="I40" s="10">
        <f t="shared" si="5"/>
        <v>1.1805555555555514E-2</v>
      </c>
      <c r="J40" s="11">
        <v>4</v>
      </c>
      <c r="K40" s="11">
        <v>126</v>
      </c>
      <c r="L40" s="16">
        <f t="shared" si="6"/>
        <v>111.17647058823569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>
        <v>17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9" t="s">
        <v>2656</v>
      </c>
      <c r="F41" s="8" t="s">
        <v>42</v>
      </c>
      <c r="G41" s="9">
        <v>0.61805555555555558</v>
      </c>
      <c r="H41" s="9">
        <v>0.62847222222222221</v>
      </c>
      <c r="I41" s="10">
        <f t="shared" si="5"/>
        <v>1.041666666666663E-2</v>
      </c>
      <c r="J41" s="11">
        <v>4</v>
      </c>
      <c r="K41" s="11">
        <v>125.3</v>
      </c>
      <c r="L41" s="16">
        <f t="shared" si="6"/>
        <v>125.30000000000045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>
        <v>15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9" t="s">
        <v>2657</v>
      </c>
      <c r="F42" s="8" t="s">
        <v>42</v>
      </c>
      <c r="G42" s="9">
        <v>0.63124999999999998</v>
      </c>
      <c r="H42" s="9">
        <v>0.6430555555555556</v>
      </c>
      <c r="I42" s="10">
        <f t="shared" si="5"/>
        <v>1.1805555555555625E-2</v>
      </c>
      <c r="J42" s="11">
        <v>4</v>
      </c>
      <c r="K42" s="11">
        <v>124.34</v>
      </c>
      <c r="L42" s="16">
        <f t="shared" si="6"/>
        <v>109.71176470588171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>
        <v>17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9"/>
      <c r="F43" s="63"/>
      <c r="G43" s="19"/>
      <c r="H43" s="19"/>
      <c r="I43" s="19"/>
      <c r="J43" s="19"/>
      <c r="K43" s="19"/>
      <c r="L43" s="19"/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6" t="s">
        <v>2658</v>
      </c>
      <c r="E44" s="19" t="s">
        <v>2659</v>
      </c>
      <c r="F44" s="8" t="s">
        <v>42</v>
      </c>
      <c r="G44" s="9">
        <v>0.34652777777777777</v>
      </c>
      <c r="H44" s="9">
        <v>0.34861111111111109</v>
      </c>
      <c r="I44" s="10">
        <f t="shared" si="5"/>
        <v>2.0833333333333259E-3</v>
      </c>
      <c r="J44" s="11">
        <v>4</v>
      </c>
      <c r="K44" s="11">
        <v>48</v>
      </c>
      <c r="L44" s="16">
        <f t="shared" si="6"/>
        <v>240.00000000000082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3</v>
      </c>
      <c r="W44" s="12"/>
      <c r="X44" s="11"/>
      <c r="Y44" s="11"/>
      <c r="Z44" s="11"/>
      <c r="AA44" s="11"/>
      <c r="AB44" s="11">
        <v>3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 t="s">
        <v>2660</v>
      </c>
      <c r="F45" s="8" t="s">
        <v>42</v>
      </c>
      <c r="G45" s="9">
        <v>0.35347222222222224</v>
      </c>
      <c r="H45" s="9">
        <v>0.35555555555555557</v>
      </c>
      <c r="I45" s="10">
        <f t="shared" si="5"/>
        <v>2.0833333333333259E-3</v>
      </c>
      <c r="J45" s="11">
        <v>4</v>
      </c>
      <c r="K45" s="11">
        <v>47.9</v>
      </c>
      <c r="L45" s="16">
        <f t="shared" si="6"/>
        <v>239.50000000000082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3</v>
      </c>
      <c r="X45" s="11"/>
      <c r="Y45" s="11"/>
      <c r="Z45" s="11"/>
      <c r="AA45" s="11"/>
      <c r="AB45" s="11"/>
      <c r="AC45" s="11">
        <v>3</v>
      </c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2661</v>
      </c>
      <c r="F46" s="8" t="s">
        <v>42</v>
      </c>
      <c r="G46" s="9">
        <v>0.35833333333333334</v>
      </c>
      <c r="H46" s="9">
        <v>0.36041666666666666</v>
      </c>
      <c r="I46" s="10">
        <f t="shared" si="5"/>
        <v>2.0833333333333259E-3</v>
      </c>
      <c r="J46" s="11">
        <v>4</v>
      </c>
      <c r="K46" s="11">
        <v>48.26</v>
      </c>
      <c r="L46" s="16">
        <f t="shared" si="6"/>
        <v>241.30000000000086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3</v>
      </c>
      <c r="W46" s="12"/>
      <c r="X46" s="11"/>
      <c r="Y46" s="11"/>
      <c r="Z46" s="11"/>
      <c r="AA46" s="11"/>
      <c r="AB46" s="11"/>
      <c r="AC46" s="11"/>
      <c r="AD46" s="11">
        <v>3</v>
      </c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2662</v>
      </c>
      <c r="F47" s="8" t="s">
        <v>42</v>
      </c>
      <c r="G47" s="9">
        <v>0.36180555555555555</v>
      </c>
      <c r="H47" s="9">
        <v>0.36388888888888887</v>
      </c>
      <c r="I47" s="10">
        <f t="shared" si="5"/>
        <v>2.0833333333333259E-3</v>
      </c>
      <c r="J47" s="11">
        <v>4</v>
      </c>
      <c r="K47" s="11">
        <v>48.84</v>
      </c>
      <c r="L47" s="16">
        <f t="shared" si="6"/>
        <v>244.20000000000087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3</v>
      </c>
      <c r="W47" s="12"/>
      <c r="X47" s="11"/>
      <c r="Y47" s="11"/>
      <c r="Z47" s="11"/>
      <c r="AA47" s="11"/>
      <c r="AB47" s="11">
        <v>3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2663</v>
      </c>
      <c r="F48" s="8" t="s">
        <v>42</v>
      </c>
      <c r="G48" s="9">
        <v>0.36666666666666664</v>
      </c>
      <c r="H48" s="9">
        <v>0.36875000000000002</v>
      </c>
      <c r="I48" s="10">
        <f t="shared" si="5"/>
        <v>2.0833333333333814E-3</v>
      </c>
      <c r="J48" s="11">
        <v>4</v>
      </c>
      <c r="K48" s="11">
        <v>48.04</v>
      </c>
      <c r="L48" s="16">
        <f t="shared" si="6"/>
        <v>240.19999999999445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3</v>
      </c>
      <c r="X48" s="11"/>
      <c r="Y48" s="11"/>
      <c r="Z48" s="11"/>
      <c r="AA48" s="11"/>
      <c r="AB48" s="11"/>
      <c r="AC48" s="11">
        <v>3</v>
      </c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2664</v>
      </c>
      <c r="F49" s="8" t="s">
        <v>42</v>
      </c>
      <c r="G49" s="9">
        <v>0.37083333333333335</v>
      </c>
      <c r="H49" s="9">
        <v>0.37291666666666667</v>
      </c>
      <c r="I49" s="10">
        <f t="shared" si="5"/>
        <v>2.0833333333333259E-3</v>
      </c>
      <c r="J49" s="11">
        <v>4</v>
      </c>
      <c r="K49" s="11">
        <v>48.42</v>
      </c>
      <c r="L49" s="16">
        <f t="shared" si="6"/>
        <v>242.10000000000085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3</v>
      </c>
      <c r="X49" s="11"/>
      <c r="Y49" s="11"/>
      <c r="Z49" s="11"/>
      <c r="AA49" s="11"/>
      <c r="AB49" s="11"/>
      <c r="AC49" s="11"/>
      <c r="AD49" s="11">
        <v>3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2665</v>
      </c>
      <c r="F50" s="8" t="s">
        <v>42</v>
      </c>
      <c r="G50" s="9">
        <v>0.375</v>
      </c>
      <c r="H50" s="9">
        <v>0.37708333333333333</v>
      </c>
      <c r="I50" s="10">
        <f t="shared" si="5"/>
        <v>2.0833333333333259E-3</v>
      </c>
      <c r="J50" s="11">
        <v>4</v>
      </c>
      <c r="K50" s="11">
        <v>48.2</v>
      </c>
      <c r="L50" s="16">
        <f t="shared" si="6"/>
        <v>241.00000000000088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3</v>
      </c>
      <c r="W50" s="12"/>
      <c r="X50" s="11"/>
      <c r="Y50" s="11"/>
      <c r="Z50" s="11"/>
      <c r="AA50" s="11"/>
      <c r="AB50" s="11">
        <v>3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2666</v>
      </c>
      <c r="F51" s="8" t="s">
        <v>42</v>
      </c>
      <c r="G51" s="9">
        <v>0.37986111111111109</v>
      </c>
      <c r="H51" s="9">
        <v>0.38194444444444442</v>
      </c>
      <c r="I51" s="10">
        <f t="shared" si="5"/>
        <v>2.0833333333333259E-3</v>
      </c>
      <c r="J51" s="11">
        <v>4</v>
      </c>
      <c r="K51" s="11">
        <v>48.66</v>
      </c>
      <c r="L51" s="16">
        <f t="shared" si="6"/>
        <v>243.30000000000086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3</v>
      </c>
      <c r="X51" s="11"/>
      <c r="Y51" s="11"/>
      <c r="Z51" s="11"/>
      <c r="AA51" s="11"/>
      <c r="AB51" s="11"/>
      <c r="AC51" s="11">
        <v>3</v>
      </c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2667</v>
      </c>
      <c r="F52" s="8" t="s">
        <v>42</v>
      </c>
      <c r="G52" s="9">
        <v>0.3840277777777778</v>
      </c>
      <c r="H52" s="9">
        <v>0.38611111111111113</v>
      </c>
      <c r="I52" s="10">
        <f t="shared" si="5"/>
        <v>2.0833333333333259E-3</v>
      </c>
      <c r="J52" s="11">
        <v>4</v>
      </c>
      <c r="K52" s="11">
        <v>47.89</v>
      </c>
      <c r="L52" s="16">
        <f t="shared" si="6"/>
        <v>239.45000000000084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3</v>
      </c>
      <c r="X52" s="11"/>
      <c r="Y52" s="11"/>
      <c r="Z52" s="11"/>
      <c r="AA52" s="11"/>
      <c r="AB52" s="11"/>
      <c r="AC52" s="11"/>
      <c r="AD52" s="11">
        <v>3</v>
      </c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2668</v>
      </c>
      <c r="F53" s="8" t="s">
        <v>42</v>
      </c>
      <c r="G53" s="9">
        <v>0.3888888888888889</v>
      </c>
      <c r="H53" s="9">
        <v>0.39097222222222222</v>
      </c>
      <c r="I53" s="10">
        <f t="shared" si="5"/>
        <v>2.0833333333333259E-3</v>
      </c>
      <c r="J53" s="11">
        <v>4</v>
      </c>
      <c r="K53" s="11">
        <v>49.52</v>
      </c>
      <c r="L53" s="16">
        <f t="shared" si="6"/>
        <v>247.6000000000009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3</v>
      </c>
      <c r="X53" s="11"/>
      <c r="Y53" s="11"/>
      <c r="Z53" s="11"/>
      <c r="AA53" s="11"/>
      <c r="AB53" s="11">
        <v>3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2669</v>
      </c>
      <c r="F54" s="8" t="s">
        <v>42</v>
      </c>
      <c r="G54" s="9">
        <v>0.39374999999999999</v>
      </c>
      <c r="H54" s="9">
        <v>0.39583333333333331</v>
      </c>
      <c r="I54" s="10">
        <f t="shared" si="5"/>
        <v>2.0833333333333259E-3</v>
      </c>
      <c r="J54" s="11">
        <v>4</v>
      </c>
      <c r="K54" s="11">
        <v>48.18</v>
      </c>
      <c r="L54" s="16">
        <f t="shared" si="6"/>
        <v>240.90000000000086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3</v>
      </c>
      <c r="X54" s="11"/>
      <c r="Y54" s="11"/>
      <c r="Z54" s="11"/>
      <c r="AA54" s="11"/>
      <c r="AB54" s="11"/>
      <c r="AC54" s="11">
        <v>3</v>
      </c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2670</v>
      </c>
      <c r="F55" s="14"/>
      <c r="G55" s="9">
        <v>0.3972222222222222</v>
      </c>
      <c r="H55" s="9">
        <v>0.39930555555555558</v>
      </c>
      <c r="I55" s="10">
        <f t="shared" si="5"/>
        <v>2.0833333333333814E-3</v>
      </c>
      <c r="J55" s="11">
        <v>4</v>
      </c>
      <c r="K55" s="11">
        <v>48.47</v>
      </c>
      <c r="L55" s="16">
        <f t="shared" si="6"/>
        <v>242.34999999999442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3</v>
      </c>
      <c r="X55" s="11"/>
      <c r="Y55" s="11"/>
      <c r="Z55" s="11"/>
      <c r="AA55" s="11"/>
      <c r="AB55" s="11"/>
      <c r="AC55" s="11"/>
      <c r="AD55" s="11">
        <v>3</v>
      </c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2671</v>
      </c>
      <c r="F56" s="8" t="s">
        <v>42</v>
      </c>
      <c r="G56" s="9">
        <v>0.40138888888888891</v>
      </c>
      <c r="H56" s="9">
        <v>0.40347222222222223</v>
      </c>
      <c r="I56" s="10">
        <f t="shared" si="5"/>
        <v>2.0833333333333259E-3</v>
      </c>
      <c r="J56" s="11">
        <v>4</v>
      </c>
      <c r="K56" s="11">
        <v>47.71</v>
      </c>
      <c r="L56" s="16">
        <f t="shared" si="6"/>
        <v>238.55000000000086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3</v>
      </c>
      <c r="X56" s="11"/>
      <c r="Y56" s="11"/>
      <c r="Z56" s="11"/>
      <c r="AA56" s="11"/>
      <c r="AB56" s="11">
        <v>3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2672</v>
      </c>
      <c r="F57" s="8" t="s">
        <v>42</v>
      </c>
      <c r="G57" s="9">
        <v>0.40625</v>
      </c>
      <c r="H57" s="9">
        <v>0.40833333333333333</v>
      </c>
      <c r="I57" s="10">
        <f t="shared" si="5"/>
        <v>2.0833333333333259E-3</v>
      </c>
      <c r="J57" s="11">
        <v>4</v>
      </c>
      <c r="K57" s="11">
        <v>49.36</v>
      </c>
      <c r="L57" s="16">
        <f t="shared" si="6"/>
        <v>246.80000000000086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3</v>
      </c>
      <c r="X57" s="11"/>
      <c r="Y57" s="11"/>
      <c r="Z57" s="11"/>
      <c r="AA57" s="11"/>
      <c r="AB57" s="11"/>
      <c r="AC57" s="11">
        <v>3</v>
      </c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2673</v>
      </c>
      <c r="F58" s="8" t="s">
        <v>42</v>
      </c>
      <c r="G58" s="9">
        <v>0.41041666666666665</v>
      </c>
      <c r="H58" s="9">
        <v>0.41249999999999998</v>
      </c>
      <c r="I58" s="10">
        <f t="shared" si="5"/>
        <v>2.0833333333333259E-3</v>
      </c>
      <c r="J58" s="11">
        <v>4</v>
      </c>
      <c r="K58" s="11">
        <v>48.22</v>
      </c>
      <c r="L58" s="16">
        <f t="shared" si="6"/>
        <v>241.10000000000085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3</v>
      </c>
      <c r="X58" s="11"/>
      <c r="Y58" s="11"/>
      <c r="Z58" s="11"/>
      <c r="AA58" s="11"/>
      <c r="AB58" s="11"/>
      <c r="AC58" s="11"/>
      <c r="AD58" s="11">
        <v>3</v>
      </c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2674</v>
      </c>
      <c r="F59" s="8" t="s">
        <v>42</v>
      </c>
      <c r="G59" s="9">
        <v>0.4152777777777778</v>
      </c>
      <c r="H59" s="9">
        <v>0.41736111111111113</v>
      </c>
      <c r="I59" s="10">
        <f t="shared" si="5"/>
        <v>2.0833333333333259E-3</v>
      </c>
      <c r="J59" s="11">
        <v>4</v>
      </c>
      <c r="K59" s="11">
        <v>49.9</v>
      </c>
      <c r="L59" s="16">
        <f t="shared" si="6"/>
        <v>249.50000000000088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3</v>
      </c>
      <c r="X59" s="11"/>
      <c r="Y59" s="11"/>
      <c r="Z59" s="11"/>
      <c r="AA59" s="11"/>
      <c r="AB59" s="11">
        <v>3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2675</v>
      </c>
      <c r="F60" s="8" t="s">
        <v>42</v>
      </c>
      <c r="G60" s="9">
        <v>0.41944444444444445</v>
      </c>
      <c r="H60" s="9">
        <v>0.42152777777777778</v>
      </c>
      <c r="I60" s="10">
        <f t="shared" si="5"/>
        <v>2.0833333333333259E-3</v>
      </c>
      <c r="J60" s="11">
        <v>4</v>
      </c>
      <c r="K60" s="11">
        <v>48.18</v>
      </c>
      <c r="L60" s="16">
        <f t="shared" si="6"/>
        <v>240.90000000000086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3</v>
      </c>
      <c r="X60" s="11"/>
      <c r="Y60" s="11"/>
      <c r="Z60" s="11"/>
      <c r="AA60" s="11"/>
      <c r="AB60" s="11"/>
      <c r="AC60" s="11">
        <v>3</v>
      </c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2676</v>
      </c>
      <c r="F61" s="8" t="s">
        <v>42</v>
      </c>
      <c r="G61" s="9">
        <v>0.42569444444444443</v>
      </c>
      <c r="H61" s="9">
        <v>0.42777777777777776</v>
      </c>
      <c r="I61" s="10">
        <f t="shared" si="5"/>
        <v>2.0833333333333259E-3</v>
      </c>
      <c r="J61" s="11">
        <v>4</v>
      </c>
      <c r="K61" s="11">
        <v>48.16</v>
      </c>
      <c r="L61" s="16">
        <f t="shared" si="6"/>
        <v>240.80000000000084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3</v>
      </c>
      <c r="X61" s="11"/>
      <c r="Y61" s="11"/>
      <c r="Z61" s="11"/>
      <c r="AA61" s="11"/>
      <c r="AB61" s="11"/>
      <c r="AC61" s="11"/>
      <c r="AD61" s="11">
        <v>3</v>
      </c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2677</v>
      </c>
      <c r="F62" s="8" t="s">
        <v>42</v>
      </c>
      <c r="G62" s="9">
        <v>0.4284722222222222</v>
      </c>
      <c r="H62" s="9">
        <v>0.43055555555555558</v>
      </c>
      <c r="I62" s="10">
        <f t="shared" si="5"/>
        <v>2.0833333333333814E-3</v>
      </c>
      <c r="J62" s="11">
        <v>4</v>
      </c>
      <c r="K62" s="11">
        <v>47.92</v>
      </c>
      <c r="L62" s="16">
        <f t="shared" si="6"/>
        <v>239.59999999999448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3</v>
      </c>
      <c r="X62" s="11"/>
      <c r="Y62" s="11"/>
      <c r="Z62" s="11"/>
      <c r="AA62" s="11"/>
      <c r="AB62" s="11">
        <v>3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2678</v>
      </c>
      <c r="F63" s="8" t="s">
        <v>42</v>
      </c>
      <c r="G63" s="9">
        <v>0.43472222222222223</v>
      </c>
      <c r="H63" s="9">
        <v>0.43680555555555556</v>
      </c>
      <c r="I63" s="10">
        <f t="shared" si="5"/>
        <v>2.0833333333333259E-3</v>
      </c>
      <c r="J63" s="11">
        <v>4</v>
      </c>
      <c r="K63" s="11">
        <v>48.72</v>
      </c>
      <c r="L63" s="16">
        <f t="shared" si="6"/>
        <v>243.60000000000085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3</v>
      </c>
      <c r="X63" s="11"/>
      <c r="Y63" s="11"/>
      <c r="Z63" s="11"/>
      <c r="AA63" s="11"/>
      <c r="AB63" s="11"/>
      <c r="AC63" s="11">
        <v>3</v>
      </c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2679</v>
      </c>
      <c r="F64" s="8" t="s">
        <v>42</v>
      </c>
      <c r="G64" s="9">
        <v>0.43819444444444444</v>
      </c>
      <c r="H64" s="9">
        <v>0.44027777777777777</v>
      </c>
      <c r="I64" s="10">
        <f t="shared" si="5"/>
        <v>2.0833333333333259E-3</v>
      </c>
      <c r="J64" s="11">
        <v>4</v>
      </c>
      <c r="K64" s="11">
        <v>48.7</v>
      </c>
      <c r="L64" s="16">
        <f t="shared" si="6"/>
        <v>243.50000000000088</v>
      </c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>
        <v>3</v>
      </c>
      <c r="X64" s="11"/>
      <c r="Y64" s="11"/>
      <c r="Z64" s="11"/>
      <c r="AA64" s="11"/>
      <c r="AB64" s="11"/>
      <c r="AC64" s="11"/>
      <c r="AD64" s="11">
        <v>3</v>
      </c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2680</v>
      </c>
      <c r="F65" s="8" t="s">
        <v>42</v>
      </c>
      <c r="G65" s="9">
        <v>0.44305555555555554</v>
      </c>
      <c r="H65" s="9">
        <v>0.44513888888888886</v>
      </c>
      <c r="I65" s="10">
        <f t="shared" si="5"/>
        <v>2.0833333333333259E-3</v>
      </c>
      <c r="J65" s="11">
        <v>4</v>
      </c>
      <c r="K65" s="11">
        <v>48.92</v>
      </c>
      <c r="L65" s="16">
        <f t="shared" si="6"/>
        <v>244.6000000000009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3</v>
      </c>
      <c r="X65" s="11"/>
      <c r="Y65" s="11"/>
      <c r="Z65" s="11"/>
      <c r="AA65" s="11"/>
      <c r="AB65" s="11">
        <v>3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2681</v>
      </c>
      <c r="F66" s="8" t="s">
        <v>42</v>
      </c>
      <c r="G66" s="9">
        <v>0.4465277777777778</v>
      </c>
      <c r="H66" s="9">
        <v>0.44861111111111113</v>
      </c>
      <c r="I66" s="10">
        <f t="shared" si="5"/>
        <v>2.0833333333333259E-3</v>
      </c>
      <c r="J66" s="11">
        <v>4</v>
      </c>
      <c r="K66" s="11">
        <v>48.82</v>
      </c>
      <c r="L66" s="16">
        <f t="shared" si="6"/>
        <v>244.10000000000085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3</v>
      </c>
      <c r="X66" s="11"/>
      <c r="Y66" s="11"/>
      <c r="Z66" s="11"/>
      <c r="AA66" s="11"/>
      <c r="AB66" s="11"/>
      <c r="AC66" s="11">
        <v>3</v>
      </c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2682</v>
      </c>
      <c r="F67" s="8" t="s">
        <v>42</v>
      </c>
      <c r="G67" s="9">
        <v>0.4513888888888889</v>
      </c>
      <c r="H67" s="9">
        <v>0.45347222222222222</v>
      </c>
      <c r="I67" s="10">
        <f t="shared" si="5"/>
        <v>2.0833333333333259E-3</v>
      </c>
      <c r="J67" s="11">
        <v>4</v>
      </c>
      <c r="K67" s="11">
        <v>48.62</v>
      </c>
      <c r="L67" s="16">
        <f t="shared" si="6"/>
        <v>243.10000000000085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3</v>
      </c>
      <c r="X67" s="11"/>
      <c r="Y67" s="11"/>
      <c r="Z67" s="11"/>
      <c r="AA67" s="11"/>
      <c r="AB67" s="11"/>
      <c r="AC67" s="11"/>
      <c r="AD67" s="11">
        <v>3</v>
      </c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2683</v>
      </c>
      <c r="F68" s="14"/>
      <c r="G68" s="9">
        <v>0.45555555555555555</v>
      </c>
      <c r="H68" s="9">
        <v>0.45763888888888887</v>
      </c>
      <c r="I68" s="10">
        <f t="shared" si="5"/>
        <v>2.0833333333333259E-3</v>
      </c>
      <c r="J68" s="11">
        <v>4</v>
      </c>
      <c r="K68" s="11">
        <v>48.16</v>
      </c>
      <c r="L68" s="16">
        <f t="shared" si="6"/>
        <v>240.80000000000084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3</v>
      </c>
      <c r="X68" s="11"/>
      <c r="Y68" s="11"/>
      <c r="Z68" s="11"/>
      <c r="AA68" s="11"/>
      <c r="AB68" s="11">
        <v>3</v>
      </c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2684</v>
      </c>
      <c r="F69" s="8" t="s">
        <v>42</v>
      </c>
      <c r="G69" s="9">
        <v>0.4597222222222222</v>
      </c>
      <c r="H69" s="9">
        <v>0.46180555555555558</v>
      </c>
      <c r="I69" s="10">
        <f t="shared" si="5"/>
        <v>2.0833333333333814E-3</v>
      </c>
      <c r="J69" s="11">
        <v>4</v>
      </c>
      <c r="K69" s="11">
        <v>48.68</v>
      </c>
      <c r="L69" s="16">
        <f t="shared" si="6"/>
        <v>243.39999999999438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3</v>
      </c>
      <c r="W69" s="12"/>
      <c r="X69" s="11"/>
      <c r="Y69" s="11"/>
      <c r="Z69" s="11"/>
      <c r="AA69" s="11"/>
      <c r="AB69" s="11"/>
      <c r="AC69" s="11">
        <v>3</v>
      </c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2685</v>
      </c>
      <c r="F70" s="8" t="s">
        <v>42</v>
      </c>
      <c r="G70" s="9">
        <v>0.46458333333333335</v>
      </c>
      <c r="H70" s="9">
        <v>0.46666666666666667</v>
      </c>
      <c r="I70" s="10">
        <f t="shared" si="5"/>
        <v>2.0833333333333259E-3</v>
      </c>
      <c r="J70" s="11">
        <v>4</v>
      </c>
      <c r="K70" s="11">
        <v>48.39</v>
      </c>
      <c r="L70" s="16">
        <f t="shared" si="6"/>
        <v>241.95000000000087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3</v>
      </c>
      <c r="X70" s="11"/>
      <c r="Y70" s="11"/>
      <c r="Z70" s="11"/>
      <c r="AA70" s="11"/>
      <c r="AB70" s="11"/>
      <c r="AC70" s="11"/>
      <c r="AD70" s="11">
        <v>3</v>
      </c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2686</v>
      </c>
      <c r="F71" s="8" t="s">
        <v>42</v>
      </c>
      <c r="G71" s="9">
        <v>0.46736111111111112</v>
      </c>
      <c r="H71" s="9">
        <v>0.46944444444444444</v>
      </c>
      <c r="I71" s="10">
        <f t="shared" si="5"/>
        <v>2.0833333333333259E-3</v>
      </c>
      <c r="J71" s="11">
        <v>4</v>
      </c>
      <c r="K71" s="11">
        <v>48.5</v>
      </c>
      <c r="L71" s="16">
        <f t="shared" si="6"/>
        <v>242.50000000000088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3</v>
      </c>
      <c r="X71" s="11"/>
      <c r="Y71" s="11"/>
      <c r="Z71" s="11"/>
      <c r="AA71" s="11"/>
      <c r="AB71" s="11"/>
      <c r="AC71" s="11">
        <v>3</v>
      </c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2687</v>
      </c>
      <c r="F72" s="8" t="s">
        <v>42</v>
      </c>
      <c r="G72" s="9">
        <v>0.47152777777777777</v>
      </c>
      <c r="H72" s="9">
        <v>0.47361111111111109</v>
      </c>
      <c r="I72" s="10">
        <f t="shared" si="5"/>
        <v>2.0833333333333259E-3</v>
      </c>
      <c r="J72" s="11">
        <v>4</v>
      </c>
      <c r="K72" s="11">
        <v>48.02</v>
      </c>
      <c r="L72" s="16">
        <f t="shared" si="6"/>
        <v>240.10000000000085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3</v>
      </c>
      <c r="X72" s="11"/>
      <c r="Y72" s="11"/>
      <c r="Z72" s="11"/>
      <c r="AA72" s="11"/>
      <c r="AB72" s="11">
        <v>3</v>
      </c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2688</v>
      </c>
      <c r="F73" s="8" t="s">
        <v>42</v>
      </c>
      <c r="G73" s="9">
        <v>0.47569444444444442</v>
      </c>
      <c r="H73" s="9">
        <v>0.4777777777777778</v>
      </c>
      <c r="I73" s="10">
        <f t="shared" si="5"/>
        <v>2.0833333333333814E-3</v>
      </c>
      <c r="J73" s="11">
        <v>4</v>
      </c>
      <c r="K73" s="11">
        <v>48.4</v>
      </c>
      <c r="L73" s="16">
        <f t="shared" si="6"/>
        <v>241.9999999999944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3</v>
      </c>
      <c r="X73" s="11"/>
      <c r="Y73" s="11"/>
      <c r="Z73" s="11"/>
      <c r="AA73" s="11"/>
      <c r="AB73" s="11"/>
      <c r="AC73" s="11">
        <v>3</v>
      </c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2689</v>
      </c>
      <c r="F74" s="8" t="s">
        <v>42</v>
      </c>
      <c r="G74" s="9">
        <v>0.47916666666666669</v>
      </c>
      <c r="H74" s="9">
        <v>0.48125000000000001</v>
      </c>
      <c r="I74" s="10">
        <f t="shared" si="5"/>
        <v>2.0833333333333259E-3</v>
      </c>
      <c r="J74" s="11">
        <v>4</v>
      </c>
      <c r="K74" s="11">
        <v>48.52</v>
      </c>
      <c r="L74" s="16">
        <f t="shared" si="6"/>
        <v>242.6000000000009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3</v>
      </c>
      <c r="W74" s="12"/>
      <c r="X74" s="11"/>
      <c r="Y74" s="11"/>
      <c r="Z74" s="11"/>
      <c r="AA74" s="11"/>
      <c r="AB74" s="11"/>
      <c r="AC74" s="11"/>
      <c r="AD74" s="11">
        <v>3</v>
      </c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2690</v>
      </c>
      <c r="F75" s="8" t="s">
        <v>42</v>
      </c>
      <c r="G75" s="9">
        <v>0.48333333333333334</v>
      </c>
      <c r="H75" s="9">
        <v>0.48541666666666666</v>
      </c>
      <c r="I75" s="10">
        <f t="shared" si="5"/>
        <v>2.0833333333333259E-3</v>
      </c>
      <c r="J75" s="11">
        <v>4</v>
      </c>
      <c r="K75" s="11">
        <v>48.28</v>
      </c>
      <c r="L75" s="16">
        <f t="shared" si="6"/>
        <v>241.40000000000086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3</v>
      </c>
      <c r="X75" s="11"/>
      <c r="Y75" s="11"/>
      <c r="Z75" s="11"/>
      <c r="AA75" s="11"/>
      <c r="AB75" s="11"/>
      <c r="AC75" s="11">
        <v>3</v>
      </c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2691</v>
      </c>
      <c r="F76" s="8" t="s">
        <v>42</v>
      </c>
      <c r="G76" s="9">
        <v>0.55347222222222225</v>
      </c>
      <c r="H76" s="9">
        <v>0.55555555555555558</v>
      </c>
      <c r="I76" s="10">
        <f t="shared" si="5"/>
        <v>2.0833333333333259E-3</v>
      </c>
      <c r="J76" s="11">
        <v>4</v>
      </c>
      <c r="K76" s="11">
        <v>48.65</v>
      </c>
      <c r="L76" s="16">
        <f t="shared" si="6"/>
        <v>243.25000000000088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3</v>
      </c>
      <c r="W76" s="12"/>
      <c r="X76" s="11"/>
      <c r="Y76" s="11"/>
      <c r="Z76" s="11"/>
      <c r="AA76" s="11"/>
      <c r="AB76" s="11">
        <v>3</v>
      </c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2692</v>
      </c>
      <c r="F77" s="8" t="s">
        <v>42</v>
      </c>
      <c r="G77" s="9">
        <v>0.55625000000000002</v>
      </c>
      <c r="H77" s="9">
        <v>0.55833333333333335</v>
      </c>
      <c r="I77" s="10">
        <f t="shared" si="5"/>
        <v>2.0833333333333259E-3</v>
      </c>
      <c r="J77" s="11">
        <v>4</v>
      </c>
      <c r="K77" s="11">
        <v>49.29</v>
      </c>
      <c r="L77" s="16">
        <f t="shared" si="6"/>
        <v>246.45000000000087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3</v>
      </c>
      <c r="X77" s="11"/>
      <c r="Y77" s="11"/>
      <c r="Z77" s="11"/>
      <c r="AA77" s="11"/>
      <c r="AB77" s="11"/>
      <c r="AC77" s="11">
        <v>3</v>
      </c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2693</v>
      </c>
      <c r="F78" s="8" t="s">
        <v>42</v>
      </c>
      <c r="G78" s="9">
        <v>0.56180555555555556</v>
      </c>
      <c r="H78" s="9">
        <v>0.56388888888888888</v>
      </c>
      <c r="I78" s="10">
        <f t="shared" si="5"/>
        <v>2.0833333333333259E-3</v>
      </c>
      <c r="J78" s="11">
        <v>4</v>
      </c>
      <c r="K78" s="11">
        <v>48.22</v>
      </c>
      <c r="L78" s="16">
        <f t="shared" si="6"/>
        <v>241.10000000000085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3</v>
      </c>
      <c r="W78" s="12"/>
      <c r="X78" s="11"/>
      <c r="Y78" s="11"/>
      <c r="Z78" s="11"/>
      <c r="AA78" s="11"/>
      <c r="AB78" s="11"/>
      <c r="AC78" s="11"/>
      <c r="AD78" s="11">
        <v>3</v>
      </c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2694</v>
      </c>
      <c r="F79" s="8" t="s">
        <v>42</v>
      </c>
      <c r="G79" s="9">
        <v>0.56458333333333333</v>
      </c>
      <c r="H79" s="9">
        <v>0.56666666666666665</v>
      </c>
      <c r="I79" s="10">
        <f t="shared" si="5"/>
        <v>2.0833333333333259E-3</v>
      </c>
      <c r="J79" s="11">
        <v>4</v>
      </c>
      <c r="K79" s="11">
        <v>48.67</v>
      </c>
      <c r="L79" s="16">
        <f t="shared" si="6"/>
        <v>243.35000000000085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3</v>
      </c>
      <c r="X79" s="11"/>
      <c r="Y79" s="11"/>
      <c r="Z79" s="11"/>
      <c r="AA79" s="11"/>
      <c r="AB79" s="11">
        <v>3</v>
      </c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2695</v>
      </c>
      <c r="F80" s="8" t="s">
        <v>42</v>
      </c>
      <c r="G80" s="9">
        <v>0.59791666666666665</v>
      </c>
      <c r="H80" s="9">
        <v>0.6</v>
      </c>
      <c r="I80" s="10">
        <f t="shared" si="5"/>
        <v>2.0833333333333259E-3</v>
      </c>
      <c r="J80" s="11">
        <v>4</v>
      </c>
      <c r="K80" s="11">
        <v>49.18</v>
      </c>
      <c r="L80" s="16">
        <f t="shared" si="6"/>
        <v>245.90000000000089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3</v>
      </c>
      <c r="W80" s="12"/>
      <c r="X80" s="11"/>
      <c r="Y80" s="11"/>
      <c r="Z80" s="11"/>
      <c r="AA80" s="11"/>
      <c r="AB80" s="11"/>
      <c r="AC80" s="11">
        <v>3</v>
      </c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2696</v>
      </c>
      <c r="F81" s="8" t="s">
        <v>42</v>
      </c>
      <c r="G81" s="9">
        <v>0.60902777777777772</v>
      </c>
      <c r="H81" s="9">
        <v>0.61111111111111116</v>
      </c>
      <c r="I81" s="10">
        <f t="shared" si="5"/>
        <v>2.083333333333437E-3</v>
      </c>
      <c r="J81" s="11">
        <v>4</v>
      </c>
      <c r="K81" s="11">
        <v>49.19</v>
      </c>
      <c r="L81" s="16">
        <f t="shared" si="6"/>
        <v>245.94999999998777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3</v>
      </c>
      <c r="X81" s="11"/>
      <c r="Y81" s="11"/>
      <c r="Z81" s="11"/>
      <c r="AA81" s="11"/>
      <c r="AB81" s="11"/>
      <c r="AC81" s="11"/>
      <c r="AD81" s="11">
        <v>3</v>
      </c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19" t="s">
        <v>2697</v>
      </c>
      <c r="F82" s="8" t="s">
        <v>42</v>
      </c>
      <c r="G82" s="9">
        <v>0.38541666666666669</v>
      </c>
      <c r="H82" s="9">
        <v>0.40069444444444446</v>
      </c>
      <c r="I82" s="10">
        <f t="shared" si="5"/>
        <v>1.5277777777777779E-2</v>
      </c>
      <c r="J82" s="11">
        <v>4</v>
      </c>
      <c r="K82" s="11">
        <v>138.28</v>
      </c>
      <c r="L82" s="16">
        <f t="shared" si="6"/>
        <v>94.281818181818167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/>
      <c r="AB82" s="11"/>
      <c r="AC82" s="11">
        <v>22</v>
      </c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19" t="s">
        <v>2698</v>
      </c>
      <c r="F83" s="8" t="s">
        <v>42</v>
      </c>
      <c r="G83" s="9">
        <v>0.40972222222222221</v>
      </c>
      <c r="H83" s="9">
        <v>0.42291666666666666</v>
      </c>
      <c r="I83" s="10">
        <f t="shared" si="5"/>
        <v>1.3194444444444453E-2</v>
      </c>
      <c r="J83" s="11">
        <v>4</v>
      </c>
      <c r="K83" s="11">
        <v>138.02000000000001</v>
      </c>
      <c r="L83" s="16">
        <f t="shared" si="6"/>
        <v>108.96315789473677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/>
      <c r="AB83" s="11"/>
      <c r="AC83" s="11">
        <v>19</v>
      </c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19"/>
      <c r="F84" s="63"/>
      <c r="G84" s="19"/>
      <c r="H84" s="19"/>
      <c r="I84" s="19"/>
      <c r="J84" s="19"/>
      <c r="K84" s="19"/>
      <c r="L84" s="19"/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 t="s">
        <v>2699</v>
      </c>
      <c r="E85" s="19" t="s">
        <v>1484</v>
      </c>
      <c r="F85" s="8" t="s">
        <v>42</v>
      </c>
      <c r="G85" s="9">
        <v>0.66319444444444442</v>
      </c>
      <c r="H85" s="9">
        <v>0.66319444444444442</v>
      </c>
      <c r="I85" s="10">
        <f t="shared" si="5"/>
        <v>0</v>
      </c>
      <c r="J85" s="11">
        <v>4</v>
      </c>
      <c r="K85" s="11">
        <v>3.2</v>
      </c>
      <c r="L85" s="16" t="str">
        <f t="shared" si="6"/>
        <v>0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2</v>
      </c>
      <c r="W85" s="12"/>
      <c r="X85" s="11"/>
      <c r="Y85" s="11"/>
      <c r="Z85" s="11"/>
      <c r="AA85" s="11"/>
      <c r="AB85" s="11"/>
      <c r="AC85" s="11">
        <v>1</v>
      </c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9" t="s">
        <v>2700</v>
      </c>
      <c r="F86" s="8" t="s">
        <v>42</v>
      </c>
      <c r="G86" s="9">
        <v>0.66388888888888886</v>
      </c>
      <c r="H86" s="9">
        <v>0.66388888888888886</v>
      </c>
      <c r="I86" s="10">
        <f t="shared" si="5"/>
        <v>0</v>
      </c>
      <c r="J86" s="11">
        <v>4</v>
      </c>
      <c r="K86" s="11">
        <v>3.4</v>
      </c>
      <c r="L86" s="16" t="str">
        <f t="shared" si="6"/>
        <v>0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/>
      <c r="Y86" s="11"/>
      <c r="Z86" s="11"/>
      <c r="AA86" s="11"/>
      <c r="AB86" s="11"/>
      <c r="AC86" s="11">
        <v>1</v>
      </c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9" t="s">
        <v>2701</v>
      </c>
      <c r="F87" s="8" t="s">
        <v>42</v>
      </c>
      <c r="G87" s="9">
        <v>0.6645833333333333</v>
      </c>
      <c r="H87" s="9">
        <v>0.6645833333333333</v>
      </c>
      <c r="I87" s="10">
        <f t="shared" si="5"/>
        <v>0</v>
      </c>
      <c r="J87" s="11">
        <v>4</v>
      </c>
      <c r="K87" s="11">
        <v>3.5</v>
      </c>
      <c r="L87" s="16" t="str">
        <f t="shared" si="6"/>
        <v>0</v>
      </c>
      <c r="M87" s="11"/>
      <c r="N87" s="11"/>
      <c r="O87" s="11"/>
      <c r="P87" s="11"/>
      <c r="Q87" s="11"/>
      <c r="R87" s="12"/>
      <c r="S87" s="12"/>
      <c r="T87" s="11"/>
      <c r="U87" s="11"/>
      <c r="V87" s="12">
        <v>2</v>
      </c>
      <c r="W87" s="12"/>
      <c r="X87" s="11"/>
      <c r="Y87" s="11"/>
      <c r="Z87" s="11"/>
      <c r="AA87" s="11"/>
      <c r="AB87" s="11"/>
      <c r="AC87" s="11">
        <v>1</v>
      </c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9" t="s">
        <v>2702</v>
      </c>
      <c r="F88" s="8" t="s">
        <v>42</v>
      </c>
      <c r="G88" s="9">
        <v>0.66111111111111109</v>
      </c>
      <c r="H88" s="9">
        <v>0.66111111111111109</v>
      </c>
      <c r="I88" s="10">
        <f t="shared" si="5"/>
        <v>0</v>
      </c>
      <c r="J88" s="11">
        <v>4</v>
      </c>
      <c r="K88" s="11">
        <v>3.35</v>
      </c>
      <c r="L88" s="16" t="str">
        <f t="shared" si="6"/>
        <v>0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2</v>
      </c>
      <c r="W88" s="12"/>
      <c r="X88" s="11"/>
      <c r="Y88" s="11"/>
      <c r="Z88" s="11"/>
      <c r="AA88" s="11"/>
      <c r="AB88" s="11"/>
      <c r="AC88" s="11">
        <v>1</v>
      </c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9" t="s">
        <v>2703</v>
      </c>
      <c r="F89" s="8" t="s">
        <v>42</v>
      </c>
      <c r="G89" s="9">
        <v>0.66597222222222219</v>
      </c>
      <c r="H89" s="9">
        <v>0.66597222222222219</v>
      </c>
      <c r="I89" s="10">
        <f t="shared" si="5"/>
        <v>0</v>
      </c>
      <c r="J89" s="11">
        <v>4</v>
      </c>
      <c r="K89" s="11">
        <v>3.7</v>
      </c>
      <c r="L89" s="16" t="str">
        <f t="shared" si="6"/>
        <v>0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2</v>
      </c>
      <c r="W89" s="12"/>
      <c r="X89" s="11"/>
      <c r="Y89" s="11"/>
      <c r="Z89" s="11"/>
      <c r="AA89" s="11"/>
      <c r="AB89" s="11"/>
      <c r="AC89" s="11">
        <v>1</v>
      </c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9" t="s">
        <v>2704</v>
      </c>
      <c r="F90" s="8" t="s">
        <v>42</v>
      </c>
      <c r="G90" s="9">
        <v>0.66666666666666663</v>
      </c>
      <c r="H90" s="9">
        <v>0.66666666666666663</v>
      </c>
      <c r="I90" s="10">
        <f t="shared" si="5"/>
        <v>0</v>
      </c>
      <c r="J90" s="11">
        <v>4</v>
      </c>
      <c r="K90" s="11">
        <v>3.35</v>
      </c>
      <c r="L90" s="16" t="str">
        <f t="shared" si="6"/>
        <v>0</v>
      </c>
      <c r="M90" s="11"/>
      <c r="N90" s="11"/>
      <c r="O90" s="11"/>
      <c r="P90" s="11"/>
      <c r="Q90" s="11"/>
      <c r="R90" s="12"/>
      <c r="S90" s="12"/>
      <c r="T90" s="11"/>
      <c r="U90" s="11"/>
      <c r="V90" s="12">
        <v>2</v>
      </c>
      <c r="W90" s="12"/>
      <c r="X90" s="11"/>
      <c r="Y90" s="11"/>
      <c r="Z90" s="11"/>
      <c r="AA90" s="11"/>
      <c r="AB90" s="11"/>
      <c r="AC90" s="11">
        <v>1</v>
      </c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9" t="s">
        <v>2114</v>
      </c>
      <c r="F91" s="8" t="s">
        <v>42</v>
      </c>
      <c r="G91" s="9">
        <v>0.64583333333333337</v>
      </c>
      <c r="H91" s="9">
        <v>0.64583333333333337</v>
      </c>
      <c r="I91" s="10">
        <f t="shared" si="5"/>
        <v>0</v>
      </c>
      <c r="J91" s="11">
        <v>4</v>
      </c>
      <c r="K91" s="11">
        <v>1.57</v>
      </c>
      <c r="L91" s="16" t="str">
        <f t="shared" si="6"/>
        <v>0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/>
      <c r="Y91" s="11"/>
      <c r="Z91" s="11"/>
      <c r="AA91" s="11"/>
      <c r="AB91" s="11"/>
      <c r="AC91" s="11">
        <v>1</v>
      </c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 t="s">
        <v>2705</v>
      </c>
      <c r="F92" s="8" t="s">
        <v>42</v>
      </c>
      <c r="G92" s="9">
        <v>0.64652777777777781</v>
      </c>
      <c r="H92" s="9">
        <v>0.64652777777777781</v>
      </c>
      <c r="I92" s="10">
        <f t="shared" si="5"/>
        <v>0</v>
      </c>
      <c r="J92" s="11">
        <v>4</v>
      </c>
      <c r="K92" s="11">
        <v>1.64</v>
      </c>
      <c r="L92" s="16" t="str">
        <f t="shared" si="6"/>
        <v>0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/>
      <c r="Z92" s="11"/>
      <c r="AA92" s="11"/>
      <c r="AB92" s="11"/>
      <c r="AC92" s="11">
        <v>1</v>
      </c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9" t="s">
        <v>2706</v>
      </c>
      <c r="F93" s="8" t="s">
        <v>42</v>
      </c>
      <c r="G93" s="9">
        <v>0.64722222222222225</v>
      </c>
      <c r="H93" s="9">
        <v>0.64722222222222225</v>
      </c>
      <c r="I93" s="10">
        <f t="shared" si="5"/>
        <v>0</v>
      </c>
      <c r="J93" s="11">
        <v>4</v>
      </c>
      <c r="K93" s="11">
        <v>1.61</v>
      </c>
      <c r="L93" s="16" t="str">
        <f t="shared" si="6"/>
        <v>0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2</v>
      </c>
      <c r="X93" s="11"/>
      <c r="Y93" s="11"/>
      <c r="Z93" s="11"/>
      <c r="AA93" s="11"/>
      <c r="AB93" s="11"/>
      <c r="AC93" s="11">
        <v>1</v>
      </c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2707</v>
      </c>
      <c r="F94" s="8" t="s">
        <v>42</v>
      </c>
      <c r="G94" s="9">
        <v>0.6479166666666667</v>
      </c>
      <c r="H94" s="9">
        <v>0.6479166666666667</v>
      </c>
      <c r="I94" s="10">
        <f t="shared" si="5"/>
        <v>0</v>
      </c>
      <c r="J94" s="11">
        <v>4</v>
      </c>
      <c r="K94" s="11">
        <v>1.72</v>
      </c>
      <c r="L94" s="16" t="str">
        <f t="shared" si="6"/>
        <v>0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2</v>
      </c>
      <c r="X94" s="11"/>
      <c r="Y94" s="11"/>
      <c r="Z94" s="11"/>
      <c r="AA94" s="11"/>
      <c r="AB94" s="11"/>
      <c r="AC94" s="11">
        <v>1</v>
      </c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2708</v>
      </c>
      <c r="F95" s="8" t="s">
        <v>42</v>
      </c>
      <c r="G95" s="9">
        <v>0.64861111111111114</v>
      </c>
      <c r="H95" s="9">
        <v>0.64861111111111114</v>
      </c>
      <c r="I95" s="10">
        <f t="shared" ref="I95:I135" si="7">H95-G95</f>
        <v>0</v>
      </c>
      <c r="J95" s="11">
        <v>4</v>
      </c>
      <c r="K95" s="11">
        <v>1.54</v>
      </c>
      <c r="L95" s="16" t="str">
        <f t="shared" ref="L95:L135" si="8">IFERROR(((K95/(J95*I95)/24)),"0")</f>
        <v>0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>
        <v>2</v>
      </c>
      <c r="X95" s="11"/>
      <c r="Y95" s="11"/>
      <c r="Z95" s="11"/>
      <c r="AA95" s="11"/>
      <c r="AB95" s="11"/>
      <c r="AC95" s="11">
        <v>1</v>
      </c>
      <c r="AD95" s="11"/>
      <c r="AE95" s="11"/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2709</v>
      </c>
      <c r="F96" s="8" t="s">
        <v>42</v>
      </c>
      <c r="G96" s="9">
        <v>0.64930555555555558</v>
      </c>
      <c r="H96" s="9">
        <v>0.64930555555555558</v>
      </c>
      <c r="I96" s="10">
        <f t="shared" si="7"/>
        <v>0</v>
      </c>
      <c r="J96" s="11">
        <v>4</v>
      </c>
      <c r="K96" s="11">
        <v>1.56</v>
      </c>
      <c r="L96" s="16" t="str">
        <f t="shared" si="8"/>
        <v>0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2</v>
      </c>
      <c r="X96" s="11"/>
      <c r="Y96" s="11"/>
      <c r="Z96" s="11"/>
      <c r="AA96" s="11"/>
      <c r="AB96" s="11"/>
      <c r="AC96" s="11">
        <v>1</v>
      </c>
      <c r="AD96" s="11"/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2113</v>
      </c>
      <c r="F97" s="8" t="s">
        <v>42</v>
      </c>
      <c r="G97" s="9">
        <v>0.64166666666666672</v>
      </c>
      <c r="H97" s="9">
        <v>0.64166666666666672</v>
      </c>
      <c r="I97" s="10">
        <f t="shared" si="7"/>
        <v>0</v>
      </c>
      <c r="J97" s="11">
        <v>4</v>
      </c>
      <c r="K97" s="11">
        <v>1.84</v>
      </c>
      <c r="L97" s="16" t="str">
        <f t="shared" si="8"/>
        <v>0</v>
      </c>
      <c r="M97" s="11"/>
      <c r="N97" s="11"/>
      <c r="O97" s="11"/>
      <c r="P97" s="11"/>
      <c r="Q97" s="11"/>
      <c r="R97" s="12"/>
      <c r="S97" s="12"/>
      <c r="T97" s="11"/>
      <c r="U97" s="11"/>
      <c r="V97" s="12">
        <v>2</v>
      </c>
      <c r="W97" s="12"/>
      <c r="X97" s="11"/>
      <c r="Y97" s="11"/>
      <c r="Z97" s="11"/>
      <c r="AA97" s="11"/>
      <c r="AB97" s="11"/>
      <c r="AC97" s="11">
        <v>1</v>
      </c>
      <c r="AD97" s="11"/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2710</v>
      </c>
      <c r="F98" s="8" t="s">
        <v>42</v>
      </c>
      <c r="G98" s="9">
        <v>0.64236111111111116</v>
      </c>
      <c r="H98" s="9">
        <v>0.64236111111111116</v>
      </c>
      <c r="I98" s="10">
        <f t="shared" si="7"/>
        <v>0</v>
      </c>
      <c r="J98" s="11">
        <v>4</v>
      </c>
      <c r="K98" s="11">
        <v>1.81</v>
      </c>
      <c r="L98" s="16" t="str">
        <f t="shared" si="8"/>
        <v>0</v>
      </c>
      <c r="M98" s="11"/>
      <c r="N98" s="11"/>
      <c r="O98" s="11"/>
      <c r="P98" s="11"/>
      <c r="Q98" s="11"/>
      <c r="R98" s="12"/>
      <c r="S98" s="12"/>
      <c r="T98" s="11"/>
      <c r="U98" s="11"/>
      <c r="V98" s="12">
        <v>2</v>
      </c>
      <c r="W98" s="12"/>
      <c r="X98" s="11"/>
      <c r="Y98" s="11"/>
      <c r="Z98" s="11"/>
      <c r="AA98" s="11"/>
      <c r="AB98" s="11"/>
      <c r="AC98" s="11">
        <v>1</v>
      </c>
      <c r="AD98" s="11"/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2711</v>
      </c>
      <c r="F99" s="8" t="s">
        <v>42</v>
      </c>
      <c r="G99" s="9">
        <v>0.6430555555555556</v>
      </c>
      <c r="H99" s="9">
        <v>0.6430555555555556</v>
      </c>
      <c r="I99" s="10">
        <f t="shared" si="7"/>
        <v>0</v>
      </c>
      <c r="J99" s="11">
        <v>4</v>
      </c>
      <c r="K99" s="11">
        <v>1.9</v>
      </c>
      <c r="L99" s="16" t="str">
        <f t="shared" si="8"/>
        <v>0</v>
      </c>
      <c r="M99" s="11"/>
      <c r="N99" s="11"/>
      <c r="O99" s="11"/>
      <c r="P99" s="11"/>
      <c r="Q99" s="11"/>
      <c r="R99" s="12"/>
      <c r="S99" s="12"/>
      <c r="T99" s="11"/>
      <c r="U99" s="11"/>
      <c r="V99" s="12">
        <v>2</v>
      </c>
      <c r="W99" s="12"/>
      <c r="X99" s="11"/>
      <c r="Y99" s="11"/>
      <c r="Z99" s="11"/>
      <c r="AA99" s="11"/>
      <c r="AB99" s="11"/>
      <c r="AC99" s="11">
        <v>1</v>
      </c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2712</v>
      </c>
      <c r="F100" s="8" t="s">
        <v>42</v>
      </c>
      <c r="G100" s="9">
        <v>0.64375000000000004</v>
      </c>
      <c r="H100" s="9">
        <v>0.64375000000000004</v>
      </c>
      <c r="I100" s="10">
        <f t="shared" si="7"/>
        <v>0</v>
      </c>
      <c r="J100" s="11">
        <v>4</v>
      </c>
      <c r="K100" s="11">
        <v>1.88</v>
      </c>
      <c r="L100" s="16" t="str">
        <f t="shared" si="8"/>
        <v>0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>
        <v>2</v>
      </c>
      <c r="W100" s="12"/>
      <c r="X100" s="11"/>
      <c r="Y100" s="11"/>
      <c r="Z100" s="11"/>
      <c r="AA100" s="11"/>
      <c r="AB100" s="11"/>
      <c r="AC100" s="11">
        <v>1</v>
      </c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2713</v>
      </c>
      <c r="F101" s="8" t="s">
        <v>42</v>
      </c>
      <c r="G101" s="9">
        <v>0.64444444444444449</v>
      </c>
      <c r="H101" s="9">
        <v>0.64444444444444449</v>
      </c>
      <c r="I101" s="10">
        <f t="shared" si="7"/>
        <v>0</v>
      </c>
      <c r="J101" s="11">
        <v>4</v>
      </c>
      <c r="K101" s="11">
        <v>1.9</v>
      </c>
      <c r="L101" s="16" t="str">
        <f t="shared" si="8"/>
        <v>0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2</v>
      </c>
      <c r="W101" s="12"/>
      <c r="X101" s="11"/>
      <c r="Y101" s="11"/>
      <c r="Z101" s="11"/>
      <c r="AA101" s="11"/>
      <c r="AB101" s="11"/>
      <c r="AC101" s="11">
        <v>1</v>
      </c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2714</v>
      </c>
      <c r="F102" s="8" t="s">
        <v>42</v>
      </c>
      <c r="G102" s="9">
        <v>0.64513888888888893</v>
      </c>
      <c r="H102" s="9">
        <v>0.64513888888888893</v>
      </c>
      <c r="I102" s="10">
        <f t="shared" si="7"/>
        <v>0</v>
      </c>
      <c r="J102" s="11">
        <v>4</v>
      </c>
      <c r="K102" s="11">
        <v>1.82</v>
      </c>
      <c r="L102" s="16" t="str">
        <f t="shared" si="8"/>
        <v>0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>
        <v>2</v>
      </c>
      <c r="W102" s="12"/>
      <c r="X102" s="11"/>
      <c r="Y102" s="11"/>
      <c r="Z102" s="11"/>
      <c r="AA102" s="11"/>
      <c r="AB102" s="11"/>
      <c r="AC102" s="11">
        <v>1</v>
      </c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2715</v>
      </c>
      <c r="F103" s="8" t="s">
        <v>42</v>
      </c>
      <c r="G103" s="9">
        <v>0.65416666666666667</v>
      </c>
      <c r="H103" s="9">
        <v>0.65416666666666667</v>
      </c>
      <c r="I103" s="10">
        <f t="shared" si="7"/>
        <v>0</v>
      </c>
      <c r="J103" s="11">
        <v>4</v>
      </c>
      <c r="K103" s="11">
        <v>1.99</v>
      </c>
      <c r="L103" s="16" t="str">
        <f t="shared" si="8"/>
        <v>0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>
        <v>2</v>
      </c>
      <c r="X103" s="11"/>
      <c r="Y103" s="11"/>
      <c r="Z103" s="11"/>
      <c r="AA103" s="11"/>
      <c r="AB103" s="11"/>
      <c r="AC103" s="11">
        <v>1</v>
      </c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2716</v>
      </c>
      <c r="F104" s="8" t="s">
        <v>42</v>
      </c>
      <c r="G104" s="9">
        <v>0.65416666666666667</v>
      </c>
      <c r="H104" s="9">
        <v>0.65416666666666667</v>
      </c>
      <c r="I104" s="10">
        <f t="shared" si="7"/>
        <v>0</v>
      </c>
      <c r="J104" s="11">
        <v>4</v>
      </c>
      <c r="K104" s="11">
        <v>1.82</v>
      </c>
      <c r="L104" s="16" t="str">
        <f t="shared" si="8"/>
        <v>0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>
        <v>2</v>
      </c>
      <c r="X104" s="11"/>
      <c r="Y104" s="11"/>
      <c r="Z104" s="11"/>
      <c r="AA104" s="11"/>
      <c r="AB104" s="11"/>
      <c r="AC104" s="11">
        <v>1</v>
      </c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2717</v>
      </c>
      <c r="F105" s="8" t="s">
        <v>42</v>
      </c>
      <c r="G105" s="9">
        <v>0.65486111111111112</v>
      </c>
      <c r="H105" s="9">
        <v>0.65486111111111112</v>
      </c>
      <c r="I105" s="10">
        <f t="shared" si="7"/>
        <v>0</v>
      </c>
      <c r="J105" s="11">
        <v>4</v>
      </c>
      <c r="K105" s="11">
        <v>2.06</v>
      </c>
      <c r="L105" s="16" t="str">
        <f t="shared" si="8"/>
        <v>0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2</v>
      </c>
      <c r="X105" s="11"/>
      <c r="Y105" s="11"/>
      <c r="Z105" s="11"/>
      <c r="AA105" s="11"/>
      <c r="AB105" s="11"/>
      <c r="AC105" s="11">
        <v>1</v>
      </c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2718</v>
      </c>
      <c r="F106" s="8" t="s">
        <v>42</v>
      </c>
      <c r="G106" s="9">
        <v>0.65486111111111112</v>
      </c>
      <c r="H106" s="9">
        <v>0.65486111111111112</v>
      </c>
      <c r="I106" s="10">
        <f t="shared" si="7"/>
        <v>0</v>
      </c>
      <c r="J106" s="11">
        <v>4</v>
      </c>
      <c r="K106" s="11">
        <v>2.06</v>
      </c>
      <c r="L106" s="16" t="str">
        <f t="shared" si="8"/>
        <v>0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/>
      <c r="W106" s="12">
        <v>2</v>
      </c>
      <c r="X106" s="11"/>
      <c r="Y106" s="11"/>
      <c r="Z106" s="11"/>
      <c r="AA106" s="11"/>
      <c r="AB106" s="11"/>
      <c r="AC106" s="11">
        <v>1</v>
      </c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2719</v>
      </c>
      <c r="F107" s="8" t="s">
        <v>42</v>
      </c>
      <c r="G107" s="9">
        <v>0.65555555555555556</v>
      </c>
      <c r="H107" s="9">
        <v>0.65555555555555556</v>
      </c>
      <c r="I107" s="10">
        <f t="shared" si="7"/>
        <v>0</v>
      </c>
      <c r="J107" s="11">
        <v>4</v>
      </c>
      <c r="K107" s="11">
        <v>2.2000000000000002</v>
      </c>
      <c r="L107" s="16" t="str">
        <f t="shared" si="8"/>
        <v>0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>
        <v>2</v>
      </c>
      <c r="X107" s="11"/>
      <c r="Y107" s="11"/>
      <c r="Z107" s="11"/>
      <c r="AA107" s="11"/>
      <c r="AB107" s="11"/>
      <c r="AC107" s="11">
        <v>1</v>
      </c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 t="s">
        <v>2720</v>
      </c>
      <c r="F108" s="8" t="s">
        <v>42</v>
      </c>
      <c r="G108" s="9">
        <v>0.65555555555555556</v>
      </c>
      <c r="H108" s="9">
        <v>0.65555555555555556</v>
      </c>
      <c r="I108" s="10">
        <f t="shared" si="7"/>
        <v>0</v>
      </c>
      <c r="J108" s="11">
        <v>4</v>
      </c>
      <c r="K108" s="11">
        <v>2.11</v>
      </c>
      <c r="L108" s="16" t="str">
        <f t="shared" si="8"/>
        <v>0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>
        <v>2</v>
      </c>
      <c r="X108" s="11"/>
      <c r="Y108" s="11"/>
      <c r="Z108" s="11"/>
      <c r="AA108" s="11"/>
      <c r="AB108" s="11"/>
      <c r="AC108" s="11">
        <v>1</v>
      </c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30"/>
      <c r="E109" s="19" t="s">
        <v>2721</v>
      </c>
      <c r="F109" s="8" t="s">
        <v>42</v>
      </c>
      <c r="G109" s="9">
        <v>0.63055555555555554</v>
      </c>
      <c r="H109" s="9">
        <v>0.63263888888888886</v>
      </c>
      <c r="I109" s="10">
        <f t="shared" si="7"/>
        <v>2.0833333333333259E-3</v>
      </c>
      <c r="J109" s="11">
        <v>4</v>
      </c>
      <c r="K109" s="11">
        <v>64.099999999999994</v>
      </c>
      <c r="L109" s="16">
        <f t="shared" si="8"/>
        <v>320.50000000000108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>
        <v>2</v>
      </c>
      <c r="W109" s="12"/>
      <c r="X109" s="11"/>
      <c r="Y109" s="11"/>
      <c r="Z109" s="11"/>
      <c r="AA109" s="11"/>
      <c r="AB109" s="11"/>
      <c r="AC109" s="11"/>
      <c r="AD109" s="11">
        <v>3</v>
      </c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2722</v>
      </c>
      <c r="F110" s="8" t="s">
        <v>42</v>
      </c>
      <c r="G110" s="9">
        <v>0.6381944444444444</v>
      </c>
      <c r="H110" s="9">
        <v>0.64097222222222228</v>
      </c>
      <c r="I110" s="10">
        <f t="shared" si="7"/>
        <v>2.7777777777778789E-3</v>
      </c>
      <c r="J110" s="11">
        <v>4</v>
      </c>
      <c r="K110" s="11">
        <v>67.48</v>
      </c>
      <c r="L110" s="16">
        <f t="shared" si="8"/>
        <v>253.04999999999077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>
        <v>2</v>
      </c>
      <c r="W110" s="12"/>
      <c r="X110" s="11"/>
      <c r="Y110" s="11"/>
      <c r="Z110" s="11"/>
      <c r="AA110" s="11"/>
      <c r="AB110" s="11"/>
      <c r="AC110" s="11"/>
      <c r="AD110" s="11">
        <v>4</v>
      </c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2723</v>
      </c>
      <c r="F111" s="8" t="s">
        <v>42</v>
      </c>
      <c r="G111" s="9">
        <v>0.64722222222222225</v>
      </c>
      <c r="H111" s="9">
        <v>0.64930555555555558</v>
      </c>
      <c r="I111" s="10">
        <f t="shared" si="7"/>
        <v>2.0833333333333259E-3</v>
      </c>
      <c r="J111" s="11">
        <v>4</v>
      </c>
      <c r="K111" s="11">
        <v>67.319999999999993</v>
      </c>
      <c r="L111" s="16">
        <f t="shared" si="8"/>
        <v>336.60000000000116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>
        <v>2</v>
      </c>
      <c r="W111" s="12"/>
      <c r="X111" s="11"/>
      <c r="Y111" s="11"/>
      <c r="Z111" s="11"/>
      <c r="AA111" s="11"/>
      <c r="AB111" s="11"/>
      <c r="AC111" s="11"/>
      <c r="AD111" s="11">
        <v>3</v>
      </c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2724</v>
      </c>
      <c r="F112" s="8" t="s">
        <v>42</v>
      </c>
      <c r="G112" s="9">
        <v>0.65555555555555556</v>
      </c>
      <c r="H112" s="9">
        <v>0.65763888888888888</v>
      </c>
      <c r="I112" s="10">
        <f t="shared" si="7"/>
        <v>2.0833333333333259E-3</v>
      </c>
      <c r="J112" s="11">
        <v>4</v>
      </c>
      <c r="K112" s="11">
        <v>70.14</v>
      </c>
      <c r="L112" s="16">
        <f t="shared" si="8"/>
        <v>350.70000000000124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>
        <v>2</v>
      </c>
      <c r="W112" s="12"/>
      <c r="X112" s="11"/>
      <c r="Y112" s="11"/>
      <c r="Z112" s="11"/>
      <c r="AA112" s="11"/>
      <c r="AB112" s="11"/>
      <c r="AC112" s="11"/>
      <c r="AD112" s="11">
        <v>3</v>
      </c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9" t="s">
        <v>2725</v>
      </c>
      <c r="F113" s="8" t="s">
        <v>42</v>
      </c>
      <c r="G113" s="9">
        <v>0.66527777777777775</v>
      </c>
      <c r="H113" s="9">
        <v>0.66736111111111107</v>
      </c>
      <c r="I113" s="10">
        <f t="shared" si="7"/>
        <v>2.0833333333333259E-3</v>
      </c>
      <c r="J113" s="11">
        <v>4</v>
      </c>
      <c r="K113" s="11">
        <v>70.709999999999994</v>
      </c>
      <c r="L113" s="16">
        <f t="shared" si="8"/>
        <v>353.55000000000126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>
        <v>2</v>
      </c>
      <c r="W113" s="12"/>
      <c r="X113" s="11"/>
      <c r="Y113" s="11"/>
      <c r="Z113" s="11"/>
      <c r="AA113" s="11"/>
      <c r="AB113" s="11"/>
      <c r="AC113" s="11"/>
      <c r="AD113" s="11">
        <v>3</v>
      </c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 t="s">
        <v>2726</v>
      </c>
      <c r="F114" s="8" t="s">
        <v>42</v>
      </c>
      <c r="G114" s="9">
        <v>0.71111111111111114</v>
      </c>
      <c r="H114" s="9">
        <v>0.71388888888888891</v>
      </c>
      <c r="I114" s="10">
        <f t="shared" si="7"/>
        <v>2.7777777777777679E-3</v>
      </c>
      <c r="J114" s="11">
        <v>4</v>
      </c>
      <c r="K114" s="11">
        <v>70.27</v>
      </c>
      <c r="L114" s="16">
        <f t="shared" si="8"/>
        <v>263.5125000000009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>
        <v>2</v>
      </c>
      <c r="W114" s="12"/>
      <c r="X114" s="11"/>
      <c r="Y114" s="11"/>
      <c r="Z114" s="11"/>
      <c r="AA114" s="11"/>
      <c r="AB114" s="11"/>
      <c r="AC114" s="11"/>
      <c r="AD114" s="11">
        <v>4</v>
      </c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9" t="s">
        <v>2111</v>
      </c>
      <c r="F115" s="8" t="s">
        <v>42</v>
      </c>
      <c r="G115" s="9">
        <v>0.67500000000000004</v>
      </c>
      <c r="H115" s="9">
        <v>0.68333333333333335</v>
      </c>
      <c r="I115" s="10">
        <f t="shared" si="7"/>
        <v>8.3333333333333037E-3</v>
      </c>
      <c r="J115" s="11">
        <v>8</v>
      </c>
      <c r="K115" s="11">
        <v>161.69</v>
      </c>
      <c r="L115" s="16">
        <f t="shared" si="8"/>
        <v>101.05625000000036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>
        <v>2</v>
      </c>
      <c r="W115" s="12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2:38" ht="25.05" customHeight="1">
      <c r="B116" s="13"/>
      <c r="C116" s="29"/>
      <c r="D116" s="30"/>
      <c r="E116" s="19" t="s">
        <v>2655</v>
      </c>
      <c r="F116" s="8" t="s">
        <v>42</v>
      </c>
      <c r="G116" s="9">
        <v>0.68680555555555556</v>
      </c>
      <c r="H116" s="9">
        <v>0.69722222222222219</v>
      </c>
      <c r="I116" s="10">
        <f t="shared" si="7"/>
        <v>1.041666666666663E-2</v>
      </c>
      <c r="J116" s="11">
        <v>8</v>
      </c>
      <c r="K116" s="11">
        <v>165.01</v>
      </c>
      <c r="L116" s="16">
        <f t="shared" si="8"/>
        <v>82.505000000000294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>
        <v>2</v>
      </c>
      <c r="W116" s="12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2:38" ht="25.05" customHeight="1">
      <c r="B117" s="13"/>
      <c r="C117" s="29"/>
      <c r="D117" s="30"/>
      <c r="E117" s="19" t="s">
        <v>2656</v>
      </c>
      <c r="F117" s="8" t="s">
        <v>42</v>
      </c>
      <c r="G117" s="9">
        <v>0.7006944444444444</v>
      </c>
      <c r="H117" s="9">
        <v>0.71180555555555558</v>
      </c>
      <c r="I117" s="10">
        <f t="shared" si="7"/>
        <v>1.1111111111111183E-2</v>
      </c>
      <c r="J117" s="11">
        <v>8</v>
      </c>
      <c r="K117" s="11">
        <v>164.35</v>
      </c>
      <c r="L117" s="16">
        <f t="shared" si="8"/>
        <v>77.039062499999503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>
        <v>2</v>
      </c>
      <c r="W117" s="12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2:38" ht="25.05" customHeight="1">
      <c r="B118" s="13"/>
      <c r="C118" s="29"/>
      <c r="D118" s="30"/>
      <c r="E118" s="19" t="s">
        <v>2657</v>
      </c>
      <c r="F118" s="8" t="s">
        <v>42</v>
      </c>
      <c r="G118" s="9">
        <v>0.71458333333333335</v>
      </c>
      <c r="H118" s="9">
        <v>0.72499999999999998</v>
      </c>
      <c r="I118" s="10">
        <f t="shared" si="7"/>
        <v>1.041666666666663E-2</v>
      </c>
      <c r="J118" s="11">
        <v>8</v>
      </c>
      <c r="K118" s="11">
        <v>166.78</v>
      </c>
      <c r="L118" s="16">
        <f t="shared" si="8"/>
        <v>83.390000000000299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>
        <v>2</v>
      </c>
      <c r="W118" s="12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2:38" ht="25.05" customHeight="1">
      <c r="B119" s="13"/>
      <c r="C119" s="29"/>
      <c r="D119" s="30"/>
      <c r="E119" s="19" t="s">
        <v>2727</v>
      </c>
      <c r="F119" s="8" t="s">
        <v>42</v>
      </c>
      <c r="G119" s="9">
        <v>0.72986111111111107</v>
      </c>
      <c r="H119" s="9">
        <v>0.73888888888888893</v>
      </c>
      <c r="I119" s="10">
        <f t="shared" si="7"/>
        <v>9.0277777777778567E-3</v>
      </c>
      <c r="J119" s="11">
        <v>8</v>
      </c>
      <c r="K119" s="11">
        <v>162.62</v>
      </c>
      <c r="L119" s="16">
        <f t="shared" si="8"/>
        <v>93.819230769229947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>
        <v>2</v>
      </c>
      <c r="W119" s="12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/>
      <c r="E120" s="19" t="s">
        <v>2728</v>
      </c>
      <c r="F120" s="8" t="s">
        <v>42</v>
      </c>
      <c r="G120" s="9">
        <v>0.70138888888888884</v>
      </c>
      <c r="H120" s="9">
        <v>0.71180555555555558</v>
      </c>
      <c r="I120" s="10">
        <f t="shared" si="7"/>
        <v>1.0416666666666741E-2</v>
      </c>
      <c r="J120" s="11">
        <v>8</v>
      </c>
      <c r="K120" s="11">
        <v>162.62</v>
      </c>
      <c r="L120" s="16">
        <f t="shared" si="8"/>
        <v>81.30999999999942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>
        <v>2</v>
      </c>
      <c r="W120" s="12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 t="s">
        <v>75</v>
      </c>
      <c r="F121" s="8" t="s">
        <v>42</v>
      </c>
      <c r="G121" s="9">
        <v>0.43055555555555558</v>
      </c>
      <c r="H121" s="9">
        <v>0.44722222222222224</v>
      </c>
      <c r="I121" s="10">
        <f t="shared" si="7"/>
        <v>1.6666666666666663E-2</v>
      </c>
      <c r="J121" s="11">
        <v>4</v>
      </c>
      <c r="K121" s="11">
        <v>186</v>
      </c>
      <c r="L121" s="16">
        <f t="shared" si="8"/>
        <v>116.25000000000001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>
        <v>2</v>
      </c>
      <c r="W121" s="12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30"/>
      <c r="E122" s="19" t="s">
        <v>76</v>
      </c>
      <c r="F122" s="8" t="s">
        <v>42</v>
      </c>
      <c r="G122" s="9">
        <v>0.45416666666666666</v>
      </c>
      <c r="H122" s="9">
        <v>0.46666666666666667</v>
      </c>
      <c r="I122" s="10">
        <f t="shared" si="7"/>
        <v>1.2500000000000011E-2</v>
      </c>
      <c r="J122" s="11">
        <v>4</v>
      </c>
      <c r="K122" s="11">
        <v>184.19</v>
      </c>
      <c r="L122" s="16">
        <f t="shared" si="8"/>
        <v>153.49166666666653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>
        <v>2</v>
      </c>
      <c r="W122" s="12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/>
      <c r="E123" s="19" t="s">
        <v>77</v>
      </c>
      <c r="F123" s="8" t="s">
        <v>42</v>
      </c>
      <c r="G123" s="9">
        <v>0.47569444444444442</v>
      </c>
      <c r="H123" s="9">
        <v>0.48888888888888887</v>
      </c>
      <c r="I123" s="10">
        <f t="shared" si="7"/>
        <v>1.3194444444444453E-2</v>
      </c>
      <c r="J123" s="11">
        <v>4</v>
      </c>
      <c r="K123" s="11">
        <v>186</v>
      </c>
      <c r="L123" s="16">
        <f t="shared" si="8"/>
        <v>146.8421052631578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>
        <v>2</v>
      </c>
      <c r="W123" s="12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2:38" ht="25.05" customHeight="1">
      <c r="B124" s="13"/>
      <c r="C124" s="29"/>
      <c r="D124" s="30"/>
      <c r="E124" s="19"/>
      <c r="F124" s="63"/>
      <c r="G124" s="19"/>
      <c r="H124" s="19"/>
      <c r="I124" s="19"/>
      <c r="J124" s="19"/>
      <c r="K124" s="19"/>
      <c r="L124" s="19"/>
      <c r="M124" s="11"/>
      <c r="N124" s="11"/>
      <c r="O124" s="11"/>
      <c r="P124" s="11"/>
      <c r="Q124" s="11"/>
      <c r="R124" s="12"/>
      <c r="S124" s="12"/>
      <c r="T124" s="11"/>
      <c r="U124" s="11"/>
      <c r="V124" s="12"/>
      <c r="W124" s="12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 t="s">
        <v>2729</v>
      </c>
      <c r="E125" s="19" t="s">
        <v>1302</v>
      </c>
      <c r="F125" s="8" t="s">
        <v>42</v>
      </c>
      <c r="G125" s="9">
        <v>0.29166666666666669</v>
      </c>
      <c r="H125" s="9">
        <v>0.37291666666666667</v>
      </c>
      <c r="I125" s="10">
        <f t="shared" si="7"/>
        <v>8.1249999999999989E-2</v>
      </c>
      <c r="J125" s="11">
        <v>4</v>
      </c>
      <c r="K125" s="11">
        <v>145.83000000000001</v>
      </c>
      <c r="L125" s="16">
        <f t="shared" si="8"/>
        <v>18.696153846153852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>
        <v>2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19" t="s">
        <v>2730</v>
      </c>
      <c r="F126" s="8" t="s">
        <v>42</v>
      </c>
      <c r="G126" s="9">
        <v>0.37361111111111112</v>
      </c>
      <c r="H126" s="9">
        <v>0.42152777777777778</v>
      </c>
      <c r="I126" s="10">
        <f t="shared" si="7"/>
        <v>4.7916666666666663E-2</v>
      </c>
      <c r="J126" s="11">
        <v>4</v>
      </c>
      <c r="K126" s="11">
        <v>76.67</v>
      </c>
      <c r="L126" s="16">
        <f t="shared" si="8"/>
        <v>16.667391304347827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>
        <v>2</v>
      </c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0"/>
      <c r="E127" s="19"/>
      <c r="F127" s="63"/>
      <c r="G127" s="19"/>
      <c r="H127" s="19"/>
      <c r="I127" s="19"/>
      <c r="J127" s="19"/>
      <c r="K127" s="19"/>
      <c r="L127" s="19"/>
      <c r="M127" s="11"/>
      <c r="N127" s="11"/>
      <c r="O127" s="11"/>
      <c r="P127" s="11"/>
      <c r="Q127" s="11"/>
      <c r="R127" s="12"/>
      <c r="S127" s="12"/>
      <c r="T127" s="11"/>
      <c r="U127" s="11"/>
      <c r="V127" s="12"/>
      <c r="W127" s="12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0" t="s">
        <v>2300</v>
      </c>
      <c r="E128" s="19" t="s">
        <v>2731</v>
      </c>
      <c r="F128" s="8" t="s">
        <v>42</v>
      </c>
      <c r="G128" s="9">
        <v>0.3840277777777778</v>
      </c>
      <c r="H128" s="9">
        <v>0.42499999999999999</v>
      </c>
      <c r="I128" s="10">
        <f t="shared" si="7"/>
        <v>4.0972222222222188E-2</v>
      </c>
      <c r="J128" s="11">
        <v>4</v>
      </c>
      <c r="K128" s="62" t="s">
        <v>42</v>
      </c>
      <c r="L128" s="64" t="s">
        <v>42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/>
      <c r="W128" s="12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4"/>
    </row>
    <row r="129" spans="1:38" ht="25.05" customHeight="1">
      <c r="B129" s="13"/>
      <c r="C129" s="29"/>
      <c r="D129" s="30"/>
      <c r="E129" s="19" t="s">
        <v>2732</v>
      </c>
      <c r="F129" s="8" t="s">
        <v>42</v>
      </c>
      <c r="G129" s="9">
        <v>0.42569444444444443</v>
      </c>
      <c r="H129" s="9">
        <v>0.44444444444444442</v>
      </c>
      <c r="I129" s="10">
        <f t="shared" si="7"/>
        <v>1.8749999999999989E-2</v>
      </c>
      <c r="J129" s="11">
        <v>4</v>
      </c>
      <c r="K129" s="62" t="s">
        <v>42</v>
      </c>
      <c r="L129" s="64" t="s">
        <v>42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/>
      <c r="W129" s="12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4"/>
    </row>
    <row r="130" spans="1:38" ht="25.05" customHeight="1">
      <c r="B130" s="13"/>
      <c r="C130" s="29"/>
      <c r="D130" s="30"/>
      <c r="E130" s="19" t="s">
        <v>2733</v>
      </c>
      <c r="F130" s="8" t="s">
        <v>42</v>
      </c>
      <c r="G130" s="9">
        <v>0.44583333333333336</v>
      </c>
      <c r="H130" s="9">
        <v>0.46041666666666664</v>
      </c>
      <c r="I130" s="10">
        <f t="shared" si="7"/>
        <v>1.4583333333333282E-2</v>
      </c>
      <c r="J130" s="11">
        <v>4</v>
      </c>
      <c r="K130" s="62" t="s">
        <v>42</v>
      </c>
      <c r="L130" s="64" t="s">
        <v>42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/>
      <c r="W130" s="12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4"/>
    </row>
    <row r="131" spans="1:38" ht="25.05" customHeight="1">
      <c r="B131" s="13"/>
      <c r="C131" s="29"/>
      <c r="D131" s="30"/>
      <c r="E131" s="19" t="s">
        <v>2734</v>
      </c>
      <c r="F131" s="8" t="s">
        <v>42</v>
      </c>
      <c r="G131" s="9">
        <v>0.46527777777777779</v>
      </c>
      <c r="H131" s="9">
        <v>0.47986111111111113</v>
      </c>
      <c r="I131" s="10">
        <f t="shared" si="7"/>
        <v>1.4583333333333337E-2</v>
      </c>
      <c r="J131" s="11">
        <v>4</v>
      </c>
      <c r="K131" s="62" t="s">
        <v>42</v>
      </c>
      <c r="L131" s="64" t="s">
        <v>42</v>
      </c>
      <c r="M131" s="11"/>
      <c r="N131" s="11"/>
      <c r="O131" s="11"/>
      <c r="P131" s="11"/>
      <c r="Q131" s="11"/>
      <c r="R131" s="12"/>
      <c r="S131" s="12"/>
      <c r="T131" s="11"/>
      <c r="U131" s="11"/>
      <c r="V131" s="12"/>
      <c r="W131" s="12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spans="1:38" ht="25.05" customHeight="1">
      <c r="B132" s="13"/>
      <c r="C132" s="29"/>
      <c r="D132" s="30"/>
      <c r="E132" s="19" t="s">
        <v>2319</v>
      </c>
      <c r="F132" s="8" t="s">
        <v>42</v>
      </c>
      <c r="G132" s="9">
        <v>0.68125000000000002</v>
      </c>
      <c r="H132" s="9">
        <v>0.69791666666666663</v>
      </c>
      <c r="I132" s="10">
        <f t="shared" si="7"/>
        <v>1.6666666666666607E-2</v>
      </c>
      <c r="J132" s="11">
        <v>4</v>
      </c>
      <c r="K132" s="11">
        <v>27</v>
      </c>
      <c r="L132" s="16">
        <f t="shared" si="8"/>
        <v>16.87500000000006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>
        <v>2</v>
      </c>
      <c r="W132" s="12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spans="1:38" ht="25.05" customHeight="1">
      <c r="B133" s="13"/>
      <c r="C133" s="29"/>
      <c r="D133" s="30"/>
      <c r="E133" s="19" t="s">
        <v>2320</v>
      </c>
      <c r="F133" s="8" t="s">
        <v>42</v>
      </c>
      <c r="G133" s="9">
        <v>0.69861111111111107</v>
      </c>
      <c r="H133" s="9">
        <v>0.71319444444444446</v>
      </c>
      <c r="I133" s="10">
        <f t="shared" si="7"/>
        <v>1.4583333333333393E-2</v>
      </c>
      <c r="J133" s="11">
        <v>4</v>
      </c>
      <c r="K133" s="11">
        <v>27</v>
      </c>
      <c r="L133" s="16">
        <f t="shared" si="8"/>
        <v>19.285714285714207</v>
      </c>
      <c r="M133" s="11"/>
      <c r="N133" s="11"/>
      <c r="O133" s="11"/>
      <c r="P133" s="11"/>
      <c r="Q133" s="11"/>
      <c r="R133" s="12"/>
      <c r="S133" s="12"/>
      <c r="T133" s="11"/>
      <c r="U133" s="11"/>
      <c r="V133" s="12"/>
      <c r="W133" s="12">
        <v>2</v>
      </c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4"/>
    </row>
    <row r="134" spans="1:38" ht="25.05" customHeight="1">
      <c r="B134" s="13"/>
      <c r="C134" s="29"/>
      <c r="D134" s="30"/>
      <c r="E134" s="19" t="s">
        <v>2321</v>
      </c>
      <c r="F134" s="8" t="s">
        <v>42</v>
      </c>
      <c r="G134" s="9">
        <v>0.71388888888888891</v>
      </c>
      <c r="H134" s="9">
        <v>0.73124999999999996</v>
      </c>
      <c r="I134" s="10">
        <f t="shared" si="7"/>
        <v>1.7361111111111049E-2</v>
      </c>
      <c r="J134" s="11">
        <v>4</v>
      </c>
      <c r="K134" s="11">
        <v>27</v>
      </c>
      <c r="L134" s="16">
        <f t="shared" si="8"/>
        <v>16.200000000000056</v>
      </c>
      <c r="M134" s="11"/>
      <c r="N134" s="11"/>
      <c r="O134" s="11"/>
      <c r="P134" s="11"/>
      <c r="Q134" s="11"/>
      <c r="R134" s="12"/>
      <c r="S134" s="12"/>
      <c r="T134" s="11"/>
      <c r="U134" s="11"/>
      <c r="V134" s="12">
        <v>2</v>
      </c>
      <c r="W134" s="12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spans="1:38" ht="25.05" customHeight="1">
      <c r="B135" s="13"/>
      <c r="C135" s="29"/>
      <c r="D135" s="30"/>
      <c r="E135" s="19" t="s">
        <v>2322</v>
      </c>
      <c r="F135" s="8" t="s">
        <v>42</v>
      </c>
      <c r="G135" s="9">
        <v>0.72499999999999998</v>
      </c>
      <c r="H135" s="9">
        <v>0.74097222222222225</v>
      </c>
      <c r="I135" s="10">
        <f t="shared" si="7"/>
        <v>1.5972222222222276E-2</v>
      </c>
      <c r="J135" s="11">
        <v>4</v>
      </c>
      <c r="K135" s="11">
        <v>26.76</v>
      </c>
      <c r="L135" s="16">
        <f t="shared" si="8"/>
        <v>17.452173913043421</v>
      </c>
      <c r="M135" s="11"/>
      <c r="N135" s="11"/>
      <c r="O135" s="11"/>
      <c r="P135" s="11"/>
      <c r="Q135" s="11"/>
      <c r="R135" s="12"/>
      <c r="S135" s="12"/>
      <c r="T135" s="11"/>
      <c r="U135" s="11"/>
      <c r="V135" s="12"/>
      <c r="W135" s="12">
        <v>2</v>
      </c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4"/>
    </row>
    <row r="136" spans="1:38" ht="25.05" customHeight="1">
      <c r="B136" s="13"/>
      <c r="C136" s="29"/>
      <c r="D136" s="30"/>
      <c r="E136" s="19"/>
      <c r="F136" s="63"/>
      <c r="G136" s="19"/>
      <c r="H136" s="19"/>
      <c r="I136" s="19"/>
      <c r="J136" s="19"/>
      <c r="K136" s="19"/>
      <c r="L136" s="19"/>
      <c r="M136" s="11"/>
      <c r="N136" s="11"/>
      <c r="O136" s="11"/>
      <c r="P136" s="11"/>
      <c r="Q136" s="11"/>
      <c r="R136" s="12"/>
      <c r="S136" s="12"/>
      <c r="T136" s="11"/>
      <c r="U136" s="11"/>
      <c r="V136" s="12"/>
      <c r="W136" s="12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4"/>
    </row>
    <row r="137" spans="1:38" ht="25.05" customHeight="1">
      <c r="B137" s="13"/>
      <c r="C137" s="29"/>
      <c r="D137" s="6" t="s">
        <v>2648</v>
      </c>
      <c r="E137" s="19" t="s">
        <v>1090</v>
      </c>
      <c r="F137" s="8" t="s">
        <v>42</v>
      </c>
      <c r="G137" s="9">
        <v>0.66666666666666663</v>
      </c>
      <c r="H137" s="9">
        <v>0.67361111111111116</v>
      </c>
      <c r="I137" s="10">
        <f t="shared" ref="I137:I142" si="9">H137-G137</f>
        <v>6.9444444444445308E-3</v>
      </c>
      <c r="J137" s="11">
        <v>1</v>
      </c>
      <c r="K137" s="11">
        <v>46.8</v>
      </c>
      <c r="L137" s="16">
        <f t="shared" ref="L137:L142" si="10">IFERROR(((K137/(J137*I137)/24)),"0")</f>
        <v>280.79999999999649</v>
      </c>
      <c r="M137" s="11"/>
      <c r="N137" s="11"/>
      <c r="O137" s="11"/>
      <c r="P137" s="11"/>
      <c r="Q137" s="11"/>
      <c r="R137" s="12"/>
      <c r="S137" s="12"/>
      <c r="T137" s="11"/>
      <c r="U137" s="11"/>
      <c r="V137" s="12">
        <v>10</v>
      </c>
      <c r="W137" s="12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4"/>
    </row>
    <row r="138" spans="1:38" ht="25.05" customHeight="1">
      <c r="B138" s="13"/>
      <c r="C138" s="29"/>
      <c r="D138" s="30"/>
      <c r="E138" s="19" t="s">
        <v>1091</v>
      </c>
      <c r="F138" s="8" t="s">
        <v>42</v>
      </c>
      <c r="G138" s="9">
        <v>0.7583333333333333</v>
      </c>
      <c r="H138" s="9">
        <v>0.76527777777777772</v>
      </c>
      <c r="I138" s="10">
        <f t="shared" si="9"/>
        <v>6.9444444444444198E-3</v>
      </c>
      <c r="J138" s="11">
        <v>1</v>
      </c>
      <c r="K138" s="11">
        <v>46.8</v>
      </c>
      <c r="L138" s="16">
        <f t="shared" si="10"/>
        <v>280.80000000000098</v>
      </c>
      <c r="M138" s="11"/>
      <c r="N138" s="11"/>
      <c r="O138" s="11"/>
      <c r="P138" s="11"/>
      <c r="Q138" s="11"/>
      <c r="R138" s="12"/>
      <c r="S138" s="12"/>
      <c r="T138" s="11"/>
      <c r="U138" s="11"/>
      <c r="V138" s="12">
        <v>10</v>
      </c>
      <c r="W138" s="12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4"/>
    </row>
    <row r="139" spans="1:38" ht="25.05" customHeight="1">
      <c r="B139" s="13"/>
      <c r="C139" s="29"/>
      <c r="D139" s="30"/>
      <c r="E139" s="19" t="s">
        <v>1092</v>
      </c>
      <c r="F139" s="8" t="s">
        <v>42</v>
      </c>
      <c r="G139" s="9">
        <v>0.7729166666666667</v>
      </c>
      <c r="H139" s="9">
        <v>0.77986111111111112</v>
      </c>
      <c r="I139" s="10">
        <f t="shared" si="9"/>
        <v>6.9444444444444198E-3</v>
      </c>
      <c r="J139" s="11">
        <v>1</v>
      </c>
      <c r="K139" s="11">
        <v>46.8</v>
      </c>
      <c r="L139" s="16">
        <f t="shared" si="10"/>
        <v>280.80000000000098</v>
      </c>
      <c r="M139" s="11"/>
      <c r="N139" s="11"/>
      <c r="O139" s="11"/>
      <c r="P139" s="11"/>
      <c r="Q139" s="11"/>
      <c r="R139" s="12"/>
      <c r="S139" s="12"/>
      <c r="T139" s="11"/>
      <c r="U139" s="11"/>
      <c r="V139" s="12">
        <v>10</v>
      </c>
      <c r="W139" s="12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4"/>
    </row>
    <row r="140" spans="1:38" ht="25.05" customHeight="1">
      <c r="B140" s="13"/>
      <c r="C140" s="29"/>
      <c r="D140" s="30"/>
      <c r="E140" s="19" t="s">
        <v>1093</v>
      </c>
      <c r="F140" s="8" t="s">
        <v>42</v>
      </c>
      <c r="G140" s="9">
        <v>0.78263888888888888</v>
      </c>
      <c r="H140" s="9">
        <v>0.7895833333333333</v>
      </c>
      <c r="I140" s="10">
        <f t="shared" si="9"/>
        <v>6.9444444444444198E-3</v>
      </c>
      <c r="J140" s="11">
        <v>1</v>
      </c>
      <c r="K140" s="11">
        <v>46.8</v>
      </c>
      <c r="L140" s="16">
        <f t="shared" si="10"/>
        <v>280.80000000000098</v>
      </c>
      <c r="M140" s="11"/>
      <c r="N140" s="11"/>
      <c r="O140" s="11"/>
      <c r="P140" s="11"/>
      <c r="Q140" s="11"/>
      <c r="R140" s="12"/>
      <c r="S140" s="12"/>
      <c r="T140" s="11"/>
      <c r="U140" s="11"/>
      <c r="V140" s="12">
        <v>10</v>
      </c>
      <c r="W140" s="12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4"/>
    </row>
    <row r="141" spans="1:38" ht="25.05" customHeight="1">
      <c r="B141" s="13"/>
      <c r="C141" s="29"/>
      <c r="D141" s="30"/>
      <c r="E141" s="19" t="s">
        <v>1094</v>
      </c>
      <c r="F141" s="8" t="s">
        <v>42</v>
      </c>
      <c r="G141" s="9">
        <v>0.78402777777777777</v>
      </c>
      <c r="H141" s="9">
        <v>0.79097222222222219</v>
      </c>
      <c r="I141" s="10">
        <f t="shared" si="9"/>
        <v>6.9444444444444198E-3</v>
      </c>
      <c r="J141" s="11">
        <v>1</v>
      </c>
      <c r="K141" s="11">
        <v>46.8</v>
      </c>
      <c r="L141" s="16">
        <f t="shared" si="10"/>
        <v>280.80000000000098</v>
      </c>
      <c r="M141" s="11"/>
      <c r="N141" s="11"/>
      <c r="O141" s="11"/>
      <c r="P141" s="11"/>
      <c r="Q141" s="11"/>
      <c r="R141" s="12"/>
      <c r="S141" s="12"/>
      <c r="T141" s="11"/>
      <c r="U141" s="11"/>
      <c r="V141" s="12">
        <v>10</v>
      </c>
      <c r="W141" s="12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4"/>
    </row>
    <row r="142" spans="1:38" ht="25.05" customHeight="1">
      <c r="B142" s="13"/>
      <c r="C142" s="29"/>
      <c r="D142" s="30"/>
      <c r="E142" s="19" t="s">
        <v>1095</v>
      </c>
      <c r="F142" s="8" t="s">
        <v>42</v>
      </c>
      <c r="G142" s="9">
        <v>0.79305555555555551</v>
      </c>
      <c r="H142" s="9">
        <v>0.8</v>
      </c>
      <c r="I142" s="10">
        <f t="shared" si="9"/>
        <v>6.9444444444445308E-3</v>
      </c>
      <c r="J142" s="11">
        <v>1</v>
      </c>
      <c r="K142" s="11">
        <v>46.8</v>
      </c>
      <c r="L142" s="16">
        <f t="shared" si="10"/>
        <v>280.79999999999649</v>
      </c>
      <c r="M142" s="11"/>
      <c r="N142" s="11"/>
      <c r="O142" s="11"/>
      <c r="P142" s="11"/>
      <c r="Q142" s="11"/>
      <c r="R142" s="12"/>
      <c r="S142" s="12"/>
      <c r="T142" s="11"/>
      <c r="U142" s="11"/>
      <c r="V142" s="12">
        <v>10</v>
      </c>
      <c r="W142" s="12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4"/>
    </row>
    <row r="143" spans="1:38" ht="25.05" customHeight="1">
      <c r="B143" s="13"/>
      <c r="C143" s="29"/>
      <c r="D143" s="30"/>
      <c r="E143" s="19"/>
      <c r="F143" s="8"/>
      <c r="G143" s="9"/>
      <c r="H143" s="9"/>
      <c r="I143" s="10"/>
      <c r="J143" s="11"/>
      <c r="K143" s="11"/>
      <c r="L143" s="16"/>
      <c r="M143" s="11"/>
      <c r="N143" s="11"/>
      <c r="O143" s="11"/>
      <c r="P143" s="11"/>
      <c r="Q143" s="11"/>
      <c r="R143" s="12"/>
      <c r="S143" s="12"/>
      <c r="T143" s="11"/>
      <c r="U143" s="11"/>
      <c r="V143" s="12"/>
      <c r="W143" s="12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4"/>
    </row>
    <row r="144" spans="1:38" s="28" customFormat="1" ht="25.5" customHeight="1">
      <c r="A144" s="2"/>
      <c r="B144" s="32"/>
      <c r="C144" s="33"/>
      <c r="D144" s="34"/>
      <c r="E144" s="35"/>
      <c r="F144" s="35"/>
      <c r="G144" s="36"/>
      <c r="H144" s="36"/>
      <c r="I144" s="37"/>
      <c r="J144" s="38"/>
      <c r="K144" s="38">
        <f t="shared" ref="K144:AL144" si="11">SUM(K29:K143)</f>
        <v>5584.5100000000011</v>
      </c>
      <c r="L144" s="39">
        <f t="shared" si="11"/>
        <v>15095.192126585638</v>
      </c>
      <c r="M144" s="38">
        <f t="shared" si="11"/>
        <v>0</v>
      </c>
      <c r="N144" s="38">
        <f t="shared" si="11"/>
        <v>0</v>
      </c>
      <c r="O144" s="38">
        <f t="shared" si="11"/>
        <v>0</v>
      </c>
      <c r="P144" s="38">
        <f t="shared" si="11"/>
        <v>0</v>
      </c>
      <c r="Q144" s="38">
        <f t="shared" si="11"/>
        <v>0</v>
      </c>
      <c r="R144" s="38">
        <f t="shared" si="11"/>
        <v>0</v>
      </c>
      <c r="S144" s="38">
        <f t="shared" si="11"/>
        <v>0</v>
      </c>
      <c r="T144" s="38">
        <f t="shared" si="11"/>
        <v>0</v>
      </c>
      <c r="U144" s="38">
        <f t="shared" si="11"/>
        <v>0</v>
      </c>
      <c r="V144" s="38">
        <f t="shared" si="11"/>
        <v>159</v>
      </c>
      <c r="W144" s="38">
        <f t="shared" si="11"/>
        <v>135</v>
      </c>
      <c r="X144" s="38">
        <f t="shared" si="11"/>
        <v>0</v>
      </c>
      <c r="Y144" s="38">
        <f t="shared" si="11"/>
        <v>0</v>
      </c>
      <c r="Z144" s="38">
        <f t="shared" si="11"/>
        <v>0</v>
      </c>
      <c r="AA144" s="38">
        <f t="shared" si="11"/>
        <v>0</v>
      </c>
      <c r="AB144" s="38">
        <f t="shared" si="11"/>
        <v>103</v>
      </c>
      <c r="AC144" s="38">
        <f t="shared" si="11"/>
        <v>187</v>
      </c>
      <c r="AD144" s="38">
        <f t="shared" si="11"/>
        <v>56</v>
      </c>
      <c r="AE144" s="38">
        <f t="shared" si="11"/>
        <v>0</v>
      </c>
      <c r="AF144" s="38">
        <f t="shared" si="11"/>
        <v>0</v>
      </c>
      <c r="AG144" s="38">
        <f t="shared" si="11"/>
        <v>0</v>
      </c>
      <c r="AH144" s="38">
        <f t="shared" si="11"/>
        <v>0</v>
      </c>
      <c r="AI144" s="38">
        <f t="shared" si="11"/>
        <v>0</v>
      </c>
      <c r="AJ144" s="38">
        <f t="shared" si="11"/>
        <v>0</v>
      </c>
      <c r="AK144" s="38">
        <f t="shared" si="11"/>
        <v>0</v>
      </c>
      <c r="AL144" s="38">
        <f t="shared" si="11"/>
        <v>0</v>
      </c>
    </row>
    <row r="145" spans="2:38" ht="38.1" customHeight="1">
      <c r="B145" s="40" t="s">
        <v>45</v>
      </c>
      <c r="C145" s="41"/>
      <c r="D145" s="41"/>
      <c r="E145" s="41"/>
      <c r="F145" s="41"/>
      <c r="G145" s="41"/>
      <c r="H145" s="41"/>
      <c r="I145" s="41"/>
      <c r="J145" s="41"/>
      <c r="K145" s="42">
        <f>K21+K28+K144</f>
        <v>8062.2700000000013</v>
      </c>
      <c r="L145" s="42">
        <f>L21+L28+L144</f>
        <v>15390.708727767065</v>
      </c>
      <c r="M145" s="43">
        <f t="shared" ref="M145:AL145" si="12">(M21+M28+M144)/(480-15-30)</f>
        <v>5.2873563218390804E-2</v>
      </c>
      <c r="N145" s="43">
        <f t="shared" si="12"/>
        <v>0</v>
      </c>
      <c r="O145" s="43">
        <f t="shared" si="12"/>
        <v>9.1954022988505746E-2</v>
      </c>
      <c r="P145" s="43">
        <f t="shared" si="12"/>
        <v>0</v>
      </c>
      <c r="Q145" s="43">
        <f t="shared" si="12"/>
        <v>0</v>
      </c>
      <c r="R145" s="43">
        <f t="shared" si="12"/>
        <v>0</v>
      </c>
      <c r="S145" s="43">
        <f t="shared" si="12"/>
        <v>0.67816091954022983</v>
      </c>
      <c r="T145" s="43">
        <f t="shared" si="12"/>
        <v>0</v>
      </c>
      <c r="U145" s="43">
        <f t="shared" si="12"/>
        <v>0</v>
      </c>
      <c r="V145" s="43">
        <f t="shared" si="12"/>
        <v>0.36551724137931035</v>
      </c>
      <c r="W145" s="43">
        <f t="shared" si="12"/>
        <v>0.31034482758620691</v>
      </c>
      <c r="X145" s="43">
        <f t="shared" si="12"/>
        <v>0</v>
      </c>
      <c r="Y145" s="43">
        <f t="shared" si="12"/>
        <v>0</v>
      </c>
      <c r="Z145" s="43">
        <f t="shared" si="12"/>
        <v>0</v>
      </c>
      <c r="AA145" s="43">
        <f t="shared" si="12"/>
        <v>0</v>
      </c>
      <c r="AB145" s="43">
        <f t="shared" si="12"/>
        <v>0.23678160919540231</v>
      </c>
      <c r="AC145" s="43">
        <f t="shared" si="12"/>
        <v>0.42988505747126438</v>
      </c>
      <c r="AD145" s="43">
        <f t="shared" si="12"/>
        <v>0.12873563218390804</v>
      </c>
      <c r="AE145" s="43">
        <f t="shared" si="12"/>
        <v>0</v>
      </c>
      <c r="AF145" s="43">
        <f t="shared" si="12"/>
        <v>0</v>
      </c>
      <c r="AG145" s="43">
        <f t="shared" si="12"/>
        <v>0</v>
      </c>
      <c r="AH145" s="43">
        <f t="shared" si="12"/>
        <v>0</v>
      </c>
      <c r="AI145" s="43">
        <f t="shared" si="12"/>
        <v>0</v>
      </c>
      <c r="AJ145" s="43">
        <f t="shared" si="12"/>
        <v>0</v>
      </c>
      <c r="AK145" s="43">
        <f t="shared" si="12"/>
        <v>0</v>
      </c>
      <c r="AL145" s="43">
        <f t="shared" si="12"/>
        <v>0</v>
      </c>
    </row>
    <row r="146" spans="2:38" ht="25.05" customHeight="1">
      <c r="B146" s="44"/>
      <c r="C146" s="44"/>
      <c r="D146" s="44"/>
      <c r="E146" s="45"/>
      <c r="F146" s="45"/>
      <c r="G146" s="45"/>
      <c r="H146" s="45"/>
      <c r="I146" s="46"/>
      <c r="J146" s="46"/>
      <c r="K146" s="45"/>
      <c r="L146" s="47"/>
      <c r="M146" s="47"/>
      <c r="N146" s="47"/>
      <c r="O146" s="47"/>
      <c r="P146" s="47"/>
      <c r="Q146" s="45"/>
      <c r="R146" s="45"/>
      <c r="S146" s="45"/>
      <c r="T146" s="45"/>
      <c r="U146" s="45"/>
      <c r="V146" s="45"/>
      <c r="W146" s="45"/>
      <c r="X146" s="45"/>
      <c r="Y146" s="45"/>
      <c r="Z146" s="45"/>
      <c r="AA146" s="45"/>
      <c r="AB146" s="45"/>
      <c r="AC146" s="45"/>
      <c r="AD146" s="45"/>
      <c r="AE146" s="45"/>
      <c r="AF146" s="45"/>
      <c r="AG146" s="45"/>
      <c r="AH146" s="45"/>
      <c r="AI146" s="45"/>
      <c r="AJ146" s="45"/>
    </row>
    <row r="147" spans="2:38" ht="25.05" customHeight="1">
      <c r="B147" s="44"/>
      <c r="C147" s="44"/>
      <c r="D147" s="44"/>
      <c r="E147" s="45"/>
      <c r="F147" s="45"/>
      <c r="G147" s="45"/>
      <c r="H147" s="45"/>
      <c r="I147" s="48" t="s">
        <v>46</v>
      </c>
      <c r="J147" s="46"/>
      <c r="K147" s="45"/>
      <c r="L147" s="47"/>
      <c r="M147" s="47"/>
      <c r="N147" s="47"/>
      <c r="O147" s="47"/>
      <c r="P147" s="47"/>
      <c r="Q147" s="45"/>
      <c r="R147" s="45"/>
      <c r="S147" s="45"/>
      <c r="T147" s="45"/>
      <c r="U147" s="45"/>
      <c r="V147" s="45"/>
      <c r="W147" s="45"/>
      <c r="X147" s="45"/>
      <c r="Y147" s="45"/>
      <c r="Z147" s="45"/>
      <c r="AA147" s="45"/>
      <c r="AB147" s="45"/>
      <c r="AC147" s="45"/>
      <c r="AD147" s="45"/>
      <c r="AE147" s="45"/>
      <c r="AF147" s="45"/>
      <c r="AG147" s="45"/>
      <c r="AH147" s="45"/>
      <c r="AI147" s="45"/>
      <c r="AJ147" s="45"/>
    </row>
    <row r="148" spans="2:38" ht="25.05" customHeight="1">
      <c r="B148" s="44"/>
      <c r="C148" s="44"/>
      <c r="D148" s="44"/>
      <c r="E148" s="45"/>
      <c r="F148" s="45"/>
      <c r="G148" s="45"/>
      <c r="H148" s="45"/>
      <c r="I148" s="49" t="s">
        <v>47</v>
      </c>
      <c r="J148" s="9">
        <v>0</v>
      </c>
      <c r="K148" s="11">
        <v>6</v>
      </c>
      <c r="L148" s="11" t="s">
        <v>48</v>
      </c>
      <c r="M148" s="47"/>
      <c r="N148" s="14">
        <v>2</v>
      </c>
      <c r="O148" s="14"/>
      <c r="P148" s="14"/>
      <c r="Q148" s="50" t="s">
        <v>49</v>
      </c>
      <c r="R148" s="51"/>
      <c r="S148" s="45"/>
      <c r="T148" s="45"/>
      <c r="U148" s="45"/>
      <c r="V148" s="45"/>
      <c r="W148" s="45"/>
      <c r="X148" s="45"/>
      <c r="Y148" s="45"/>
      <c r="Z148" s="45"/>
      <c r="AA148" s="45"/>
      <c r="AC148" s="45"/>
      <c r="AD148" s="45"/>
      <c r="AE148" s="45"/>
      <c r="AF148" s="45"/>
      <c r="AG148" s="45"/>
      <c r="AH148" s="45"/>
    </row>
    <row r="149" spans="2:38" ht="25.05" customHeight="1">
      <c r="B149" s="44"/>
      <c r="C149" s="44"/>
      <c r="D149" s="44"/>
      <c r="E149" s="45"/>
      <c r="F149" s="45"/>
      <c r="G149" s="45"/>
      <c r="H149" s="45"/>
      <c r="I149" s="49" t="s">
        <v>50</v>
      </c>
      <c r="J149" s="9">
        <v>0</v>
      </c>
      <c r="K149" s="11">
        <v>0</v>
      </c>
      <c r="L149" s="11" t="s">
        <v>48</v>
      </c>
      <c r="M149" s="47"/>
      <c r="N149" s="14">
        <v>0</v>
      </c>
      <c r="O149" s="14"/>
      <c r="P149" s="14"/>
      <c r="Q149" s="50" t="s">
        <v>51</v>
      </c>
      <c r="R149" s="51"/>
      <c r="S149" s="45"/>
      <c r="T149" s="45"/>
      <c r="U149" s="45"/>
      <c r="V149" s="45"/>
      <c r="W149" s="45"/>
      <c r="X149" s="45"/>
      <c r="Y149" s="45"/>
      <c r="Z149" s="45"/>
      <c r="AA149" s="45"/>
      <c r="AB149" s="45"/>
      <c r="AC149" s="45"/>
      <c r="AD149" s="45"/>
      <c r="AE149" s="45"/>
      <c r="AF149" s="45"/>
      <c r="AG149" s="45"/>
      <c r="AH149" s="45"/>
    </row>
    <row r="150" spans="2:38" ht="25.05" customHeight="1">
      <c r="B150" s="44"/>
      <c r="C150" s="44"/>
      <c r="D150" s="44"/>
      <c r="E150" s="45"/>
      <c r="F150" s="45"/>
      <c r="G150" s="45"/>
      <c r="H150" s="45"/>
      <c r="I150" s="49" t="s">
        <v>52</v>
      </c>
      <c r="J150" s="9">
        <v>0</v>
      </c>
      <c r="K150" s="11">
        <v>12</v>
      </c>
      <c r="L150" s="11" t="s">
        <v>48</v>
      </c>
      <c r="M150" s="47"/>
      <c r="N150" s="14">
        <v>0</v>
      </c>
      <c r="O150" s="14"/>
      <c r="P150" s="14"/>
      <c r="Q150" s="50" t="s">
        <v>53</v>
      </c>
      <c r="R150" s="51"/>
      <c r="S150" s="45"/>
      <c r="T150" s="45"/>
      <c r="U150" s="45"/>
      <c r="V150" s="45"/>
      <c r="W150" s="45"/>
      <c r="X150" s="45"/>
      <c r="Y150" s="45"/>
      <c r="Z150" s="45"/>
      <c r="AA150" s="45"/>
      <c r="AB150" s="45"/>
      <c r="AC150" s="45"/>
      <c r="AD150" s="45"/>
      <c r="AE150" s="45"/>
      <c r="AF150" s="45"/>
      <c r="AG150" s="45"/>
      <c r="AH150" s="45"/>
    </row>
    <row r="151" spans="2:38" ht="25.05" customHeight="1">
      <c r="B151" s="44"/>
      <c r="C151" s="44"/>
      <c r="D151" s="44"/>
      <c r="E151" s="45"/>
      <c r="F151" s="45"/>
      <c r="G151" s="45"/>
      <c r="H151" s="45"/>
      <c r="I151" s="52" t="s">
        <v>54</v>
      </c>
      <c r="J151" s="53">
        <v>0</v>
      </c>
      <c r="K151" s="11">
        <v>2</v>
      </c>
      <c r="L151" s="54" t="s">
        <v>48</v>
      </c>
      <c r="M151" s="47"/>
      <c r="N151" s="14">
        <v>3</v>
      </c>
      <c r="O151" s="14"/>
      <c r="P151" s="14"/>
      <c r="Q151" s="50" t="s">
        <v>55</v>
      </c>
      <c r="R151" s="51"/>
      <c r="S151" s="45"/>
      <c r="T151" s="45"/>
      <c r="U151" s="45"/>
      <c r="V151" s="45"/>
      <c r="W151" s="45"/>
      <c r="X151" s="45"/>
      <c r="Y151" s="45"/>
      <c r="Z151" s="45"/>
      <c r="AA151" s="45"/>
      <c r="AB151" s="45"/>
      <c r="AC151" s="45"/>
      <c r="AD151" s="45"/>
      <c r="AE151" s="45"/>
      <c r="AF151" s="45"/>
      <c r="AG151" s="45"/>
      <c r="AH151" s="45"/>
    </row>
    <row r="152" spans="2:38" ht="25.05" customHeight="1">
      <c r="B152" s="44"/>
      <c r="C152" s="44"/>
      <c r="D152" s="44"/>
      <c r="E152" s="45"/>
      <c r="F152" s="45"/>
      <c r="G152" s="45"/>
      <c r="H152" s="45"/>
      <c r="I152" s="49" t="s">
        <v>56</v>
      </c>
      <c r="J152" s="9">
        <v>0</v>
      </c>
      <c r="K152" s="11">
        <v>20</v>
      </c>
      <c r="L152" s="11" t="s">
        <v>48</v>
      </c>
      <c r="M152" s="47"/>
      <c r="N152"/>
      <c r="O152"/>
      <c r="P152"/>
      <c r="Q152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</row>
    <row r="153" spans="2:38" ht="25.05" customHeight="1">
      <c r="B153" s="44"/>
      <c r="C153" s="44"/>
      <c r="D153" s="44"/>
      <c r="E153" s="45"/>
      <c r="F153" s="45"/>
      <c r="G153" s="45"/>
      <c r="H153" s="45"/>
      <c r="M153" s="47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  <c r="AA153" s="45"/>
      <c r="AB153" s="45"/>
      <c r="AC153" s="45"/>
      <c r="AD153" s="45"/>
      <c r="AE153" s="45"/>
      <c r="AF153" s="45"/>
      <c r="AG153" s="45"/>
      <c r="AH153" s="45"/>
    </row>
    <row r="154" spans="2:38" ht="25.05" customHeight="1"/>
  </sheetData>
  <mergeCells count="11">
    <mergeCell ref="I2:I3"/>
    <mergeCell ref="J2:J3"/>
    <mergeCell ref="K2:K3"/>
    <mergeCell ref="L2:L3"/>
    <mergeCell ref="M2:AL2"/>
    <mergeCell ref="G2:H2"/>
    <mergeCell ref="B2:B3"/>
    <mergeCell ref="C2:C3"/>
    <mergeCell ref="D2:D3"/>
    <mergeCell ref="E2:E3"/>
    <mergeCell ref="F2:F3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167C5-FDF6-4273-9E37-DCEDB66051D1}">
  <sheetPr>
    <pageSetUpPr fitToPage="1"/>
  </sheetPr>
  <dimension ref="A1:AL83"/>
  <sheetViews>
    <sheetView zoomScale="85" zoomScaleNormal="85" workbookViewId="0">
      <pane xSplit="12" ySplit="3" topLeftCell="M7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46084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0.80902777777777779</v>
      </c>
      <c r="I4" s="10">
        <f t="shared" ref="I4:I21" si="0">H4-G4</f>
        <v>1.736111111111116E-2</v>
      </c>
      <c r="J4" s="11">
        <v>7</v>
      </c>
      <c r="K4" s="11">
        <v>0</v>
      </c>
      <c r="L4" s="16">
        <f t="shared" ref="L4:L21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2120</v>
      </c>
      <c r="E5" s="17" t="s">
        <v>2735</v>
      </c>
      <c r="F5" s="55" t="s">
        <v>59</v>
      </c>
      <c r="G5" s="9">
        <v>0.80972222222222223</v>
      </c>
      <c r="H5" s="9">
        <v>0.81944444444444442</v>
      </c>
      <c r="I5" s="10">
        <f t="shared" si="0"/>
        <v>9.7222222222221877E-3</v>
      </c>
      <c r="J5" s="11">
        <v>2</v>
      </c>
      <c r="K5" s="11">
        <f>1.7*17</f>
        <v>28.9</v>
      </c>
      <c r="L5" s="16">
        <f t="shared" si="1"/>
        <v>61.928571428571644</v>
      </c>
      <c r="M5" s="11">
        <v>14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17" t="s">
        <v>2736</v>
      </c>
      <c r="F6" s="8" t="s">
        <v>851</v>
      </c>
      <c r="G6" s="9">
        <v>0.82361111111111107</v>
      </c>
      <c r="H6" s="9">
        <v>0.85069444444444442</v>
      </c>
      <c r="I6" s="10">
        <f t="shared" si="0"/>
        <v>2.7083333333333348E-2</v>
      </c>
      <c r="J6" s="11">
        <v>2</v>
      </c>
      <c r="K6" s="11">
        <f>11*17</f>
        <v>187</v>
      </c>
      <c r="L6" s="16">
        <f t="shared" si="1"/>
        <v>143.84615384615378</v>
      </c>
      <c r="M6" s="11">
        <v>39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7" t="s">
        <v>1616</v>
      </c>
      <c r="F7" s="8" t="s">
        <v>42</v>
      </c>
      <c r="G7" s="9">
        <v>0.80972222222222223</v>
      </c>
      <c r="H7" s="9">
        <v>0.87152777777777779</v>
      </c>
      <c r="I7" s="10">
        <f t="shared" si="0"/>
        <v>6.1805555555555558E-2</v>
      </c>
      <c r="J7" s="11">
        <v>3</v>
      </c>
      <c r="K7" s="11">
        <f>141*4.03</f>
        <v>568.23</v>
      </c>
      <c r="L7" s="16">
        <f t="shared" si="1"/>
        <v>127.69213483146068</v>
      </c>
      <c r="M7" s="11"/>
      <c r="N7" s="11"/>
      <c r="O7" s="11"/>
      <c r="P7" s="11"/>
      <c r="Q7" s="11">
        <v>89</v>
      </c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58" t="s">
        <v>2737</v>
      </c>
      <c r="F8" s="20">
        <v>0.5</v>
      </c>
      <c r="G8" s="9">
        <v>0.8930555555555556</v>
      </c>
      <c r="H8" s="9">
        <v>0.9375</v>
      </c>
      <c r="I8" s="10">
        <f t="shared" si="0"/>
        <v>4.4444444444444398E-2</v>
      </c>
      <c r="J8" s="11">
        <v>2</v>
      </c>
      <c r="K8" s="11">
        <f>33.3*17</f>
        <v>566.09999999999991</v>
      </c>
      <c r="L8" s="16">
        <f t="shared" si="1"/>
        <v>265.35937500000023</v>
      </c>
      <c r="M8" s="11">
        <v>64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31"/>
      <c r="E9" s="121" t="s">
        <v>1321</v>
      </c>
      <c r="F9" s="8" t="s">
        <v>42</v>
      </c>
      <c r="G9" s="9">
        <v>0.80972222222222223</v>
      </c>
      <c r="H9" s="9">
        <v>0.82291666666666663</v>
      </c>
      <c r="I9" s="10">
        <f t="shared" si="0"/>
        <v>1.3194444444444398E-2</v>
      </c>
      <c r="J9" s="11">
        <v>2</v>
      </c>
      <c r="K9" s="11">
        <f>5.3*15</f>
        <v>79.5</v>
      </c>
      <c r="L9" s="16">
        <f t="shared" si="1"/>
        <v>125.52631578947414</v>
      </c>
      <c r="M9" s="11"/>
      <c r="N9" s="11"/>
      <c r="O9" s="11"/>
      <c r="P9" s="11"/>
      <c r="Q9" s="11"/>
      <c r="R9" s="12"/>
      <c r="S9" s="12">
        <v>19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31"/>
      <c r="E10" s="17" t="s">
        <v>2738</v>
      </c>
      <c r="F10" s="61" t="s">
        <v>232</v>
      </c>
      <c r="G10" s="9">
        <v>0.85138888888888886</v>
      </c>
      <c r="H10" s="9">
        <v>0.875</v>
      </c>
      <c r="I10" s="10">
        <f t="shared" si="0"/>
        <v>2.3611111111111138E-2</v>
      </c>
      <c r="J10" s="11">
        <v>2</v>
      </c>
      <c r="K10" s="11">
        <v>79.5</v>
      </c>
      <c r="L10" s="16">
        <f t="shared" si="1"/>
        <v>70.147058823529335</v>
      </c>
      <c r="M10" s="11">
        <v>34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31"/>
      <c r="E11" s="122" t="s">
        <v>2331</v>
      </c>
      <c r="F11" s="8" t="s">
        <v>42</v>
      </c>
      <c r="G11" s="9">
        <v>0.82361111111111107</v>
      </c>
      <c r="H11" s="9">
        <v>0.875</v>
      </c>
      <c r="I11" s="10">
        <f t="shared" si="0"/>
        <v>5.1388888888888928E-2</v>
      </c>
      <c r="J11" s="11">
        <v>2</v>
      </c>
      <c r="K11" s="11">
        <f>4.4*17</f>
        <v>74.800000000000011</v>
      </c>
      <c r="L11" s="16">
        <f t="shared" si="1"/>
        <v>30.324324324324305</v>
      </c>
      <c r="M11" s="11"/>
      <c r="N11" s="11"/>
      <c r="O11" s="11"/>
      <c r="P11" s="11"/>
      <c r="Q11" s="11"/>
      <c r="R11" s="12"/>
      <c r="S11" s="12">
        <v>74</v>
      </c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56" t="s">
        <v>2739</v>
      </c>
      <c r="F12" s="59" t="s">
        <v>59</v>
      </c>
      <c r="G12" s="9">
        <v>0.87569444444444444</v>
      </c>
      <c r="H12" s="9">
        <v>0.89236111111111116</v>
      </c>
      <c r="I12" s="10">
        <f t="shared" si="0"/>
        <v>1.6666666666666718E-2</v>
      </c>
      <c r="J12" s="11">
        <v>2</v>
      </c>
      <c r="K12" s="11">
        <f>4.4*17</f>
        <v>74.800000000000011</v>
      </c>
      <c r="L12" s="16">
        <f t="shared" si="1"/>
        <v>93.499999999999716</v>
      </c>
      <c r="M12" s="11">
        <v>24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30" t="s">
        <v>2740</v>
      </c>
      <c r="E13" s="15" t="s">
        <v>2741</v>
      </c>
      <c r="F13" s="55" t="s">
        <v>221</v>
      </c>
      <c r="G13" s="9">
        <v>0.82013888888888886</v>
      </c>
      <c r="H13" s="9">
        <v>0.82291666666666663</v>
      </c>
      <c r="I13" s="10">
        <f t="shared" si="0"/>
        <v>2.7777777777777679E-3</v>
      </c>
      <c r="J13" s="11">
        <v>2</v>
      </c>
      <c r="K13" s="11">
        <f>0.37*4</f>
        <v>1.48</v>
      </c>
      <c r="L13" s="16">
        <f t="shared" si="1"/>
        <v>11.100000000000039</v>
      </c>
      <c r="M13" s="11">
        <v>4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30"/>
      <c r="E14" s="15" t="s">
        <v>2742</v>
      </c>
      <c r="F14" s="8" t="s">
        <v>42</v>
      </c>
      <c r="G14" s="9">
        <v>0.80972222222222223</v>
      </c>
      <c r="H14" s="9">
        <v>0.81944444444444442</v>
      </c>
      <c r="I14" s="10">
        <f t="shared" si="0"/>
        <v>9.7222222222221877E-3</v>
      </c>
      <c r="J14" s="11">
        <v>1</v>
      </c>
      <c r="K14" s="11">
        <v>2.84</v>
      </c>
      <c r="L14" s="16">
        <f t="shared" si="1"/>
        <v>12.171428571428613</v>
      </c>
      <c r="M14" s="11"/>
      <c r="N14" s="11"/>
      <c r="O14" s="11"/>
      <c r="P14" s="11"/>
      <c r="Q14" s="11"/>
      <c r="R14" s="12"/>
      <c r="S14" s="12">
        <v>14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 t="s">
        <v>2743</v>
      </c>
      <c r="F15" s="55" t="s">
        <v>213</v>
      </c>
      <c r="G15" s="9">
        <v>0.87916666666666665</v>
      </c>
      <c r="H15" s="9">
        <v>0.95138888888888884</v>
      </c>
      <c r="I15" s="10">
        <f t="shared" si="0"/>
        <v>7.2222222222222188E-2</v>
      </c>
      <c r="J15" s="11">
        <v>4</v>
      </c>
      <c r="K15" s="11">
        <f>6.5*4</f>
        <v>26</v>
      </c>
      <c r="L15" s="16">
        <f t="shared" si="1"/>
        <v>3.7500000000000018</v>
      </c>
      <c r="M15" s="11"/>
      <c r="N15" s="11"/>
      <c r="O15" s="11">
        <v>52</v>
      </c>
      <c r="P15" s="11"/>
      <c r="Q15" s="11"/>
      <c r="R15" s="12"/>
      <c r="S15" s="12">
        <v>52</v>
      </c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2744</v>
      </c>
      <c r="F16" s="8" t="s">
        <v>42</v>
      </c>
      <c r="G16" s="9">
        <v>46085.097916666666</v>
      </c>
      <c r="H16" s="9">
        <v>46085.125</v>
      </c>
      <c r="I16" s="10">
        <f t="shared" si="0"/>
        <v>2.7083333334303461E-2</v>
      </c>
      <c r="J16" s="11">
        <v>7</v>
      </c>
      <c r="K16" s="11">
        <f>78.5*4</f>
        <v>314</v>
      </c>
      <c r="L16" s="16">
        <f t="shared" si="1"/>
        <v>69.010989008517029</v>
      </c>
      <c r="M16" s="11"/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30" t="s">
        <v>2644</v>
      </c>
      <c r="E17" s="15" t="s">
        <v>2745</v>
      </c>
      <c r="F17" s="55" t="s">
        <v>67</v>
      </c>
      <c r="G17" s="9">
        <v>46085.073611111111</v>
      </c>
      <c r="H17" s="9">
        <v>46085.097222222219</v>
      </c>
      <c r="I17" s="10">
        <f t="shared" si="0"/>
        <v>2.361111110803904E-2</v>
      </c>
      <c r="J17" s="11">
        <v>7</v>
      </c>
      <c r="K17" s="11">
        <v>161</v>
      </c>
      <c r="L17" s="16">
        <f t="shared" si="1"/>
        <v>40.588235299398633</v>
      </c>
      <c r="M17" s="11"/>
      <c r="N17" s="11"/>
      <c r="O17" s="11">
        <v>17</v>
      </c>
      <c r="P17" s="11"/>
      <c r="Q17" s="11"/>
      <c r="R17" s="12"/>
      <c r="S17" s="12">
        <v>17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6"/>
      <c r="E18" s="15" t="s">
        <v>2746</v>
      </c>
      <c r="F18" s="55" t="s">
        <v>65</v>
      </c>
      <c r="G18" s="9">
        <v>46085.010416666664</v>
      </c>
      <c r="H18" s="9">
        <v>46085.027777777781</v>
      </c>
      <c r="I18" s="10">
        <f t="shared" si="0"/>
        <v>1.7361111116770189E-2</v>
      </c>
      <c r="J18" s="11">
        <v>7</v>
      </c>
      <c r="K18" s="11">
        <f>1.5*6</f>
        <v>9</v>
      </c>
      <c r="L18" s="16">
        <f t="shared" si="1"/>
        <v>3.0857142847084571</v>
      </c>
      <c r="M18" s="11"/>
      <c r="N18" s="11"/>
      <c r="O18" s="11">
        <v>25</v>
      </c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05" customHeight="1">
      <c r="B19" s="13"/>
      <c r="C19" s="14"/>
      <c r="D19" s="6"/>
      <c r="E19" s="15" t="s">
        <v>2747</v>
      </c>
      <c r="F19" s="55" t="s">
        <v>66</v>
      </c>
      <c r="G19" s="9">
        <v>46085.049305555556</v>
      </c>
      <c r="H19" s="9">
        <v>46085.072916666664</v>
      </c>
      <c r="I19" s="10">
        <f t="shared" si="0"/>
        <v>2.361111110803904E-2</v>
      </c>
      <c r="J19" s="11">
        <v>7</v>
      </c>
      <c r="K19" s="11">
        <f>3*6</f>
        <v>18</v>
      </c>
      <c r="L19" s="16">
        <f t="shared" si="1"/>
        <v>4.5378151266408411</v>
      </c>
      <c r="M19" s="11"/>
      <c r="N19" s="11"/>
      <c r="O19" s="11">
        <v>34</v>
      </c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5" customHeight="1">
      <c r="B20" s="13"/>
      <c r="C20" s="14"/>
      <c r="D20" s="6"/>
      <c r="E20" s="15" t="s">
        <v>2748</v>
      </c>
      <c r="F20" s="55" t="s">
        <v>66</v>
      </c>
      <c r="G20" s="9">
        <v>46085.02847222222</v>
      </c>
      <c r="H20" s="9">
        <v>46085.048611111109</v>
      </c>
      <c r="I20" s="10">
        <f t="shared" si="0"/>
        <v>2.0138888889050577E-2</v>
      </c>
      <c r="J20" s="11">
        <v>7</v>
      </c>
      <c r="K20" s="11">
        <f>1.5*6</f>
        <v>9</v>
      </c>
      <c r="L20" s="16">
        <f t="shared" si="1"/>
        <v>2.6600985221461309</v>
      </c>
      <c r="M20" s="11"/>
      <c r="N20" s="11"/>
      <c r="O20" s="11">
        <v>29</v>
      </c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5" customHeight="1">
      <c r="B21" s="13"/>
      <c r="C21" s="14"/>
      <c r="D21" s="6"/>
      <c r="E21" s="15"/>
      <c r="F21" s="55"/>
      <c r="G21" s="9"/>
      <c r="H21" s="9"/>
      <c r="I21" s="10">
        <f t="shared" si="0"/>
        <v>0</v>
      </c>
      <c r="J21" s="11"/>
      <c r="K21" s="11"/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s="28" customFormat="1" ht="25.05" customHeight="1">
      <c r="A22" s="2"/>
      <c r="B22" s="21"/>
      <c r="C22" s="22"/>
      <c r="D22" s="23"/>
      <c r="E22" s="24"/>
      <c r="F22" s="24"/>
      <c r="G22" s="25"/>
      <c r="H22" s="25"/>
      <c r="I22" s="26"/>
      <c r="J22" s="27"/>
      <c r="K22" s="27">
        <f t="shared" ref="K22:AL22" si="2">SUM(K4:K21)</f>
        <v>2200.1499999999996</v>
      </c>
      <c r="L22" s="39">
        <f t="shared" si="2"/>
        <v>1065.2282148563536</v>
      </c>
      <c r="M22" s="27">
        <f t="shared" si="2"/>
        <v>179</v>
      </c>
      <c r="N22" s="27">
        <f t="shared" si="2"/>
        <v>0</v>
      </c>
      <c r="O22" s="27">
        <f t="shared" si="2"/>
        <v>157</v>
      </c>
      <c r="P22" s="27">
        <f t="shared" si="2"/>
        <v>0</v>
      </c>
      <c r="Q22" s="27">
        <f t="shared" si="2"/>
        <v>89</v>
      </c>
      <c r="R22" s="27">
        <f t="shared" si="2"/>
        <v>0</v>
      </c>
      <c r="S22" s="27">
        <f t="shared" si="2"/>
        <v>176</v>
      </c>
      <c r="T22" s="27">
        <f t="shared" si="2"/>
        <v>0</v>
      </c>
      <c r="U22" s="27">
        <f t="shared" si="2"/>
        <v>0</v>
      </c>
      <c r="V22" s="27">
        <f t="shared" si="2"/>
        <v>0</v>
      </c>
      <c r="W22" s="27">
        <f t="shared" si="2"/>
        <v>0</v>
      </c>
      <c r="X22" s="27">
        <f t="shared" si="2"/>
        <v>0</v>
      </c>
      <c r="Y22" s="27">
        <f t="shared" si="2"/>
        <v>0</v>
      </c>
      <c r="Z22" s="27">
        <f t="shared" si="2"/>
        <v>0</v>
      </c>
      <c r="AA22" s="27">
        <f t="shared" si="2"/>
        <v>0</v>
      </c>
      <c r="AB22" s="27">
        <f t="shared" si="2"/>
        <v>0</v>
      </c>
      <c r="AC22" s="27">
        <f t="shared" si="2"/>
        <v>0</v>
      </c>
      <c r="AD22" s="27">
        <f t="shared" si="2"/>
        <v>0</v>
      </c>
      <c r="AE22" s="27">
        <f t="shared" si="2"/>
        <v>0</v>
      </c>
      <c r="AF22" s="27">
        <f t="shared" si="2"/>
        <v>0</v>
      </c>
      <c r="AG22" s="27">
        <f t="shared" si="2"/>
        <v>0</v>
      </c>
      <c r="AH22" s="27">
        <f t="shared" si="2"/>
        <v>0</v>
      </c>
      <c r="AI22" s="27">
        <f t="shared" si="2"/>
        <v>0</v>
      </c>
      <c r="AJ22" s="27">
        <f t="shared" si="2"/>
        <v>0</v>
      </c>
      <c r="AK22" s="27">
        <f t="shared" si="2"/>
        <v>0</v>
      </c>
      <c r="AL22" s="27">
        <f t="shared" si="2"/>
        <v>0</v>
      </c>
    </row>
    <row r="23" spans="1:38" ht="25.05" customHeight="1">
      <c r="B23" s="13"/>
      <c r="C23" s="14" t="s">
        <v>43</v>
      </c>
      <c r="D23" s="6"/>
      <c r="E23" s="7" t="s">
        <v>41</v>
      </c>
      <c r="F23" s="8" t="s">
        <v>42</v>
      </c>
      <c r="G23" s="9"/>
      <c r="H23" s="9"/>
      <c r="I23" s="10">
        <f>H23-G23</f>
        <v>0</v>
      </c>
      <c r="J23" s="11"/>
      <c r="K23" s="11"/>
      <c r="L23" s="16" t="str">
        <f>IFERROR(((K23/(J23*I23)/24)),"0")</f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18"/>
      <c r="E24" s="6"/>
      <c r="F24" s="14"/>
      <c r="G24" s="9"/>
      <c r="H24" s="9"/>
      <c r="I24" s="10"/>
      <c r="J24" s="11"/>
      <c r="K24" s="11"/>
      <c r="L24" s="16"/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s="28" customFormat="1" ht="25.05" customHeight="1">
      <c r="A25" s="2"/>
      <c r="B25" s="21"/>
      <c r="C25" s="22"/>
      <c r="D25" s="23"/>
      <c r="E25" s="24"/>
      <c r="F25" s="22"/>
      <c r="G25" s="25"/>
      <c r="H25" s="25"/>
      <c r="I25" s="26"/>
      <c r="J25" s="27"/>
      <c r="K25" s="27">
        <f t="shared" ref="K25:AI25" si="3">SUM(K23:K24)</f>
        <v>0</v>
      </c>
      <c r="L25" s="27">
        <f t="shared" si="3"/>
        <v>0</v>
      </c>
      <c r="M25" s="27">
        <f t="shared" si="3"/>
        <v>0</v>
      </c>
      <c r="N25" s="27">
        <f t="shared" si="3"/>
        <v>0</v>
      </c>
      <c r="O25" s="27">
        <f t="shared" si="3"/>
        <v>0</v>
      </c>
      <c r="P25" s="27">
        <f t="shared" si="3"/>
        <v>0</v>
      </c>
      <c r="Q25" s="27">
        <f t="shared" si="3"/>
        <v>0</v>
      </c>
      <c r="R25" s="27">
        <f t="shared" si="3"/>
        <v>0</v>
      </c>
      <c r="S25" s="27">
        <f t="shared" si="3"/>
        <v>0</v>
      </c>
      <c r="T25" s="27">
        <f t="shared" si="3"/>
        <v>0</v>
      </c>
      <c r="U25" s="27">
        <f t="shared" si="3"/>
        <v>0</v>
      </c>
      <c r="V25" s="27">
        <f t="shared" si="3"/>
        <v>0</v>
      </c>
      <c r="W25" s="27">
        <f t="shared" si="3"/>
        <v>0</v>
      </c>
      <c r="X25" s="27">
        <f t="shared" si="3"/>
        <v>0</v>
      </c>
      <c r="Y25" s="27">
        <f t="shared" si="3"/>
        <v>0</v>
      </c>
      <c r="Z25" s="27">
        <f t="shared" si="3"/>
        <v>0</v>
      </c>
      <c r="AA25" s="27">
        <f t="shared" si="3"/>
        <v>0</v>
      </c>
      <c r="AB25" s="27">
        <f t="shared" si="3"/>
        <v>0</v>
      </c>
      <c r="AC25" s="27">
        <f t="shared" si="3"/>
        <v>0</v>
      </c>
      <c r="AD25" s="27">
        <f t="shared" si="3"/>
        <v>0</v>
      </c>
      <c r="AE25" s="27">
        <f t="shared" si="3"/>
        <v>0</v>
      </c>
      <c r="AF25" s="27">
        <f t="shared" si="3"/>
        <v>0</v>
      </c>
      <c r="AG25" s="27">
        <f t="shared" si="3"/>
        <v>0</v>
      </c>
      <c r="AH25" s="27">
        <f t="shared" si="3"/>
        <v>0</v>
      </c>
      <c r="AI25" s="27">
        <f t="shared" si="3"/>
        <v>0</v>
      </c>
      <c r="AJ25" s="27">
        <f>SUM(AJ23:AJ24)</f>
        <v>0</v>
      </c>
      <c r="AK25" s="27">
        <f>SUM(AK23:AK24)</f>
        <v>0</v>
      </c>
      <c r="AL25" s="27">
        <f>SUM(AL23:AL24)</f>
        <v>0</v>
      </c>
    </row>
    <row r="26" spans="1:38" ht="25.05" customHeight="1">
      <c r="B26" s="5"/>
      <c r="C26" s="29" t="s">
        <v>44</v>
      </c>
      <c r="D26" s="30"/>
      <c r="E26" s="7" t="s">
        <v>41</v>
      </c>
      <c r="F26" s="8" t="s">
        <v>42</v>
      </c>
      <c r="G26" s="9">
        <v>0.79166666666666663</v>
      </c>
      <c r="H26" s="9">
        <v>0.83333333333333337</v>
      </c>
      <c r="I26" s="10">
        <f t="shared" ref="I26:I58" si="4">H26-G26</f>
        <v>4.1666666666666741E-2</v>
      </c>
      <c r="J26" s="11">
        <v>5</v>
      </c>
      <c r="K26" s="11">
        <v>0</v>
      </c>
      <c r="L26" s="16">
        <f t="shared" ref="L26:L58" si="5">IFERROR(((K26/(J26*I26)/24)),"0")</f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4"/>
    </row>
    <row r="27" spans="1:38" ht="25.05" customHeight="1">
      <c r="B27" s="13"/>
      <c r="C27" s="29"/>
      <c r="D27" s="6" t="s">
        <v>2749</v>
      </c>
      <c r="E27" s="19" t="s">
        <v>2750</v>
      </c>
      <c r="F27" s="8" t="s">
        <v>42</v>
      </c>
      <c r="G27" s="9">
        <v>0.87222222222222223</v>
      </c>
      <c r="H27" s="9">
        <v>0.87777777777777777</v>
      </c>
      <c r="I27" s="10">
        <f t="shared" si="4"/>
        <v>5.5555555555555358E-3</v>
      </c>
      <c r="J27" s="11">
        <v>2</v>
      </c>
      <c r="K27" s="11">
        <f>5*13</f>
        <v>65</v>
      </c>
      <c r="L27" s="16">
        <f t="shared" si="5"/>
        <v>243.75000000000088</v>
      </c>
      <c r="M27" s="11"/>
      <c r="N27" s="11"/>
      <c r="O27" s="11"/>
      <c r="P27" s="11"/>
      <c r="Q27" s="11"/>
      <c r="R27" s="12"/>
      <c r="S27" s="12"/>
      <c r="T27" s="11"/>
      <c r="U27" s="11"/>
      <c r="V27" s="12">
        <v>8</v>
      </c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4"/>
    </row>
    <row r="28" spans="1:38" ht="25.05" customHeight="1">
      <c r="B28" s="13"/>
      <c r="C28" s="29"/>
      <c r="D28" s="6"/>
      <c r="E28" s="19" t="s">
        <v>2751</v>
      </c>
      <c r="F28" s="8"/>
      <c r="G28" s="9">
        <v>0.8833333333333333</v>
      </c>
      <c r="H28" s="9">
        <v>0.88888888888888884</v>
      </c>
      <c r="I28" s="10">
        <f>H28-G28</f>
        <v>5.5555555555555358E-3</v>
      </c>
      <c r="J28" s="11">
        <v>2</v>
      </c>
      <c r="K28" s="11">
        <f>5*4</f>
        <v>20</v>
      </c>
      <c r="L28" s="16">
        <f>IFERROR(((K28/(J28*I28)/24)),"0")</f>
        <v>75.00000000000027</v>
      </c>
      <c r="M28" s="11"/>
      <c r="N28" s="11"/>
      <c r="O28" s="11"/>
      <c r="P28" s="11"/>
      <c r="Q28" s="11"/>
      <c r="R28" s="12"/>
      <c r="S28" s="12"/>
      <c r="T28" s="11"/>
      <c r="U28" s="11"/>
      <c r="V28" s="12">
        <v>8</v>
      </c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4"/>
    </row>
    <row r="29" spans="1:38" ht="25.05" customHeight="1">
      <c r="B29" s="13"/>
      <c r="C29" s="29"/>
      <c r="D29" s="30"/>
      <c r="E29" s="123" t="s">
        <v>2149</v>
      </c>
      <c r="F29" s="8" t="s">
        <v>42</v>
      </c>
      <c r="G29" s="9">
        <v>0.89375000000000004</v>
      </c>
      <c r="H29" s="9">
        <v>0.90763888888888888</v>
      </c>
      <c r="I29" s="10">
        <f t="shared" si="4"/>
        <v>1.388888888888884E-2</v>
      </c>
      <c r="J29" s="11">
        <v>4</v>
      </c>
      <c r="K29" s="11">
        <v>138.93</v>
      </c>
      <c r="L29" s="16">
        <f t="shared" si="5"/>
        <v>104.19750000000037</v>
      </c>
      <c r="M29" s="11"/>
      <c r="N29" s="11"/>
      <c r="O29" s="11"/>
      <c r="P29" s="11"/>
      <c r="Q29" s="11"/>
      <c r="R29" s="12"/>
      <c r="S29" s="12"/>
      <c r="T29" s="11"/>
      <c r="U29" s="11"/>
      <c r="V29" s="12">
        <v>2</v>
      </c>
      <c r="W29" s="12"/>
      <c r="X29" s="11"/>
      <c r="Y29" s="11"/>
      <c r="Z29" s="11"/>
      <c r="AA29" s="11"/>
      <c r="AB29" s="11"/>
      <c r="AC29" s="11">
        <v>20</v>
      </c>
      <c r="AD29" s="11"/>
      <c r="AE29" s="11"/>
      <c r="AF29" s="11"/>
      <c r="AG29" s="11"/>
      <c r="AH29" s="11"/>
      <c r="AI29" s="11"/>
      <c r="AJ29" s="11"/>
      <c r="AK29" s="11"/>
      <c r="AL29" s="14"/>
    </row>
    <row r="30" spans="1:38" ht="25.05" customHeight="1">
      <c r="B30" s="13"/>
      <c r="C30" s="29"/>
      <c r="D30" s="30"/>
      <c r="E30" s="123" t="s">
        <v>2348</v>
      </c>
      <c r="F30" s="8" t="s">
        <v>42</v>
      </c>
      <c r="G30" s="9">
        <v>0.89652777777777781</v>
      </c>
      <c r="H30" s="9">
        <v>0.91319444444444442</v>
      </c>
      <c r="I30" s="10">
        <f t="shared" si="4"/>
        <v>1.6666666666666607E-2</v>
      </c>
      <c r="J30" s="11">
        <v>4</v>
      </c>
      <c r="K30" s="11">
        <v>138.35</v>
      </c>
      <c r="L30" s="16">
        <f t="shared" si="5"/>
        <v>86.468750000000298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>
        <v>2</v>
      </c>
      <c r="X30" s="11"/>
      <c r="Y30" s="11"/>
      <c r="Z30" s="11"/>
      <c r="AA30" s="11"/>
      <c r="AB30" s="11"/>
      <c r="AC30" s="11"/>
      <c r="AD30" s="11">
        <v>24</v>
      </c>
      <c r="AE30" s="11"/>
      <c r="AF30" s="11"/>
      <c r="AG30" s="11"/>
      <c r="AH30" s="11"/>
      <c r="AI30" s="11"/>
      <c r="AJ30" s="11"/>
      <c r="AK30" s="11"/>
      <c r="AL30" s="14"/>
    </row>
    <row r="31" spans="1:38" ht="25.05" customHeight="1">
      <c r="B31" s="13"/>
      <c r="C31" s="29"/>
      <c r="D31" s="30"/>
      <c r="E31" s="123" t="s">
        <v>2349</v>
      </c>
      <c r="F31" s="8" t="s">
        <v>42</v>
      </c>
      <c r="G31" s="9">
        <v>0.89930555555555558</v>
      </c>
      <c r="H31" s="9">
        <v>0.9145833333333333</v>
      </c>
      <c r="I31" s="10">
        <f t="shared" si="4"/>
        <v>1.5277777777777724E-2</v>
      </c>
      <c r="J31" s="11">
        <v>4</v>
      </c>
      <c r="K31" s="11">
        <v>138.37</v>
      </c>
      <c r="L31" s="16">
        <f t="shared" si="5"/>
        <v>94.343181818182146</v>
      </c>
      <c r="M31" s="11"/>
      <c r="N31" s="11"/>
      <c r="O31" s="11"/>
      <c r="P31" s="11"/>
      <c r="Q31" s="11"/>
      <c r="R31" s="12"/>
      <c r="S31" s="12"/>
      <c r="T31" s="11"/>
      <c r="U31" s="11"/>
      <c r="V31" s="12">
        <v>2</v>
      </c>
      <c r="W31" s="12"/>
      <c r="X31" s="11"/>
      <c r="Y31" s="11"/>
      <c r="Z31" s="11"/>
      <c r="AA31" s="11"/>
      <c r="AB31" s="11">
        <v>22</v>
      </c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30"/>
      <c r="E32" s="123" t="s">
        <v>2350</v>
      </c>
      <c r="F32" s="8" t="s">
        <v>42</v>
      </c>
      <c r="G32" s="9">
        <v>0.91388888888888886</v>
      </c>
      <c r="H32" s="9">
        <v>0.92777777777777781</v>
      </c>
      <c r="I32" s="10">
        <f t="shared" si="4"/>
        <v>1.3888888888888951E-2</v>
      </c>
      <c r="J32" s="11">
        <v>4</v>
      </c>
      <c r="K32" s="11">
        <v>140.24</v>
      </c>
      <c r="L32" s="16">
        <f t="shared" si="5"/>
        <v>105.17999999999954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>
        <v>2</v>
      </c>
      <c r="X32" s="11"/>
      <c r="Y32" s="11"/>
      <c r="Z32" s="11"/>
      <c r="AA32" s="11"/>
      <c r="AB32" s="11"/>
      <c r="AC32" s="11">
        <v>20</v>
      </c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23" t="s">
        <v>2351</v>
      </c>
      <c r="F33" s="8" t="s">
        <v>42</v>
      </c>
      <c r="G33" s="9">
        <v>0.9194444444444444</v>
      </c>
      <c r="H33" s="9">
        <v>0.93333333333333335</v>
      </c>
      <c r="I33" s="10">
        <f t="shared" si="4"/>
        <v>1.3888888888888951E-2</v>
      </c>
      <c r="J33" s="11">
        <v>4</v>
      </c>
      <c r="K33" s="11">
        <v>139.87</v>
      </c>
      <c r="L33" s="16">
        <f t="shared" si="5"/>
        <v>104.90249999999953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2</v>
      </c>
      <c r="W33" s="12"/>
      <c r="X33" s="11"/>
      <c r="Y33" s="11"/>
      <c r="Z33" s="11"/>
      <c r="AA33" s="11"/>
      <c r="AB33" s="11">
        <v>20</v>
      </c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23" t="s">
        <v>2352</v>
      </c>
      <c r="F34" s="8" t="s">
        <v>42</v>
      </c>
      <c r="G34" s="9">
        <v>0.92013888888888884</v>
      </c>
      <c r="H34" s="9">
        <v>0.93611111111111112</v>
      </c>
      <c r="I34" s="10">
        <f t="shared" si="4"/>
        <v>1.5972222222222276E-2</v>
      </c>
      <c r="J34" s="11">
        <v>4</v>
      </c>
      <c r="K34" s="11">
        <v>138.33000000000001</v>
      </c>
      <c r="L34" s="16">
        <f t="shared" si="5"/>
        <v>90.215217391304051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>
        <v>2</v>
      </c>
      <c r="X34" s="11"/>
      <c r="Y34" s="11"/>
      <c r="Z34" s="11"/>
      <c r="AA34" s="11"/>
      <c r="AB34" s="11"/>
      <c r="AC34" s="11"/>
      <c r="AD34" s="11">
        <v>23</v>
      </c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23" t="s">
        <v>2353</v>
      </c>
      <c r="F35" s="8" t="s">
        <v>42</v>
      </c>
      <c r="G35" s="9">
        <v>0.93888888888888888</v>
      </c>
      <c r="H35" s="9">
        <v>0.95208333333333328</v>
      </c>
      <c r="I35" s="10">
        <f t="shared" si="4"/>
        <v>1.3194444444444398E-2</v>
      </c>
      <c r="J35" s="11">
        <v>4</v>
      </c>
      <c r="K35" s="11">
        <v>138.33000000000001</v>
      </c>
      <c r="L35" s="16">
        <f t="shared" si="5"/>
        <v>109.2078947368425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/>
      <c r="AC35" s="11">
        <v>19</v>
      </c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23" t="s">
        <v>2354</v>
      </c>
      <c r="F36" s="8" t="s">
        <v>42</v>
      </c>
      <c r="G36" s="9">
        <v>0.94027777777777777</v>
      </c>
      <c r="H36" s="9">
        <v>0.95277777777777772</v>
      </c>
      <c r="I36" s="10">
        <f t="shared" si="4"/>
        <v>1.2499999999999956E-2</v>
      </c>
      <c r="J36" s="11">
        <v>4</v>
      </c>
      <c r="K36" s="12">
        <v>138.5</v>
      </c>
      <c r="L36" s="16">
        <f t="shared" si="5"/>
        <v>115.41666666666708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/>
      <c r="AB36" s="11">
        <v>18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23" t="s">
        <v>2355</v>
      </c>
      <c r="F37" s="8" t="s">
        <v>42</v>
      </c>
      <c r="G37" s="9">
        <v>0.94374999999999998</v>
      </c>
      <c r="H37" s="9">
        <v>0.95902777777777781</v>
      </c>
      <c r="I37" s="10">
        <f t="shared" si="4"/>
        <v>1.5277777777777835E-2</v>
      </c>
      <c r="J37" s="11">
        <v>4</v>
      </c>
      <c r="K37" s="11">
        <v>138.97999999999999</v>
      </c>
      <c r="L37" s="16">
        <f t="shared" si="5"/>
        <v>94.759090909090546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/>
      <c r="AC37" s="11"/>
      <c r="AD37" s="11">
        <v>22</v>
      </c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23" t="s">
        <v>2356</v>
      </c>
      <c r="F38" s="8" t="s">
        <v>42</v>
      </c>
      <c r="G38" s="9">
        <v>0.96250000000000002</v>
      </c>
      <c r="H38" s="9">
        <v>0.97638888888888886</v>
      </c>
      <c r="I38" s="10">
        <f t="shared" si="4"/>
        <v>1.388888888888884E-2</v>
      </c>
      <c r="J38" s="11">
        <v>4</v>
      </c>
      <c r="K38" s="11">
        <v>139.56</v>
      </c>
      <c r="L38" s="16">
        <f t="shared" si="5"/>
        <v>104.67000000000037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/>
      <c r="Z38" s="11"/>
      <c r="AA38" s="11"/>
      <c r="AB38" s="11"/>
      <c r="AC38" s="11">
        <v>20</v>
      </c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23" t="s">
        <v>2357</v>
      </c>
      <c r="F39" s="8" t="s">
        <v>42</v>
      </c>
      <c r="G39" s="9">
        <v>0.96458333333333335</v>
      </c>
      <c r="H39" s="9">
        <v>0.97777777777777775</v>
      </c>
      <c r="I39" s="10">
        <f t="shared" si="4"/>
        <v>1.3194444444444398E-2</v>
      </c>
      <c r="J39" s="11">
        <v>4</v>
      </c>
      <c r="K39" s="11">
        <v>138.82</v>
      </c>
      <c r="L39" s="16">
        <f t="shared" si="5"/>
        <v>109.59473684210565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/>
      <c r="AC39" s="11"/>
      <c r="AD39" s="11">
        <v>19</v>
      </c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23" t="s">
        <v>1929</v>
      </c>
      <c r="F40" s="8" t="s">
        <v>42</v>
      </c>
      <c r="G40" s="9">
        <v>0.98333333333333328</v>
      </c>
      <c r="H40" s="9">
        <v>0.99722222222222223</v>
      </c>
      <c r="I40" s="10">
        <f t="shared" si="4"/>
        <v>1.3888888888888951E-2</v>
      </c>
      <c r="J40" s="11">
        <v>4</v>
      </c>
      <c r="K40" s="11">
        <v>138.31</v>
      </c>
      <c r="L40" s="16">
        <f t="shared" si="5"/>
        <v>103.73249999999955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>
        <v>20</v>
      </c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23" t="s">
        <v>1930</v>
      </c>
      <c r="F41" s="8" t="s">
        <v>42</v>
      </c>
      <c r="G41" s="9">
        <v>0.98333333333333328</v>
      </c>
      <c r="H41" s="9">
        <v>0.99722222222222223</v>
      </c>
      <c r="I41" s="10">
        <f t="shared" si="4"/>
        <v>1.3888888888888951E-2</v>
      </c>
      <c r="J41" s="11">
        <v>4</v>
      </c>
      <c r="K41" s="11">
        <v>138.69</v>
      </c>
      <c r="L41" s="16">
        <f>IFERROR(((K41/(J41*I41)/24)),"0")</f>
        <v>104.01749999999953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/>
      <c r="AD41" s="11">
        <v>20</v>
      </c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23" t="s">
        <v>1931</v>
      </c>
      <c r="F42" s="8" t="s">
        <v>42</v>
      </c>
      <c r="G42" s="9">
        <v>1.3888888888888889E-3</v>
      </c>
      <c r="H42" s="9">
        <v>1.4583333333333334E-2</v>
      </c>
      <c r="I42" s="10">
        <f t="shared" si="4"/>
        <v>1.3194444444444444E-2</v>
      </c>
      <c r="J42" s="11">
        <v>4</v>
      </c>
      <c r="K42" s="11">
        <v>139.27000000000001</v>
      </c>
      <c r="L42" s="16">
        <f>IFERROR(((K42/(J42*I42)/24)),"0")</f>
        <v>109.95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/>
      <c r="Z42" s="11"/>
      <c r="AA42" s="11"/>
      <c r="AB42" s="11"/>
      <c r="AC42" s="11">
        <v>19</v>
      </c>
      <c r="AD42" s="11"/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23" t="s">
        <v>1932</v>
      </c>
      <c r="F43" s="8" t="s">
        <v>42</v>
      </c>
      <c r="G43" s="9">
        <v>1.0020833333333334</v>
      </c>
      <c r="H43" s="9">
        <v>1.0159722222222223</v>
      </c>
      <c r="I43" s="10">
        <f t="shared" si="4"/>
        <v>1.388888888888884E-2</v>
      </c>
      <c r="J43" s="11">
        <v>4</v>
      </c>
      <c r="K43" s="11">
        <v>140.62</v>
      </c>
      <c r="L43" s="16">
        <f>IFERROR(((K43/(J43*I43)/24)),"0")</f>
        <v>105.46500000000037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/>
      <c r="AD43" s="11">
        <v>20</v>
      </c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23"/>
      <c r="F44" s="8" t="s">
        <v>42</v>
      </c>
      <c r="G44" s="9"/>
      <c r="H44" s="9"/>
      <c r="I44" s="10"/>
      <c r="J44" s="11"/>
      <c r="K44" s="11"/>
      <c r="L44" s="16"/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 t="s">
        <v>2653</v>
      </c>
      <c r="E45" s="19" t="s">
        <v>2752</v>
      </c>
      <c r="F45" s="8" t="s">
        <v>42</v>
      </c>
      <c r="G45" s="9">
        <v>7.6388888888888895E-2</v>
      </c>
      <c r="H45" s="9">
        <v>9.0972222222222218E-2</v>
      </c>
      <c r="I45" s="10">
        <f t="shared" si="4"/>
        <v>1.4583333333333323E-2</v>
      </c>
      <c r="J45" s="11">
        <v>8</v>
      </c>
      <c r="K45" s="11">
        <v>105.83</v>
      </c>
      <c r="L45" s="16">
        <f t="shared" si="5"/>
        <v>37.796428571428599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>
        <v>21</v>
      </c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30"/>
      <c r="E46" s="19" t="s">
        <v>2753</v>
      </c>
      <c r="F46" s="8" t="s">
        <v>42</v>
      </c>
      <c r="G46" s="9">
        <v>9.3055555555555558E-2</v>
      </c>
      <c r="H46" s="9">
        <v>0.10486111111111111</v>
      </c>
      <c r="I46" s="10">
        <f t="shared" si="4"/>
        <v>1.1805555555555555E-2</v>
      </c>
      <c r="J46" s="11">
        <v>8</v>
      </c>
      <c r="K46" s="11">
        <v>107.48</v>
      </c>
      <c r="L46" s="16">
        <f t="shared" si="5"/>
        <v>47.417647058823526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2</v>
      </c>
      <c r="X46" s="11"/>
      <c r="Y46" s="11">
        <v>17</v>
      </c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2:38" ht="25.05" customHeight="1">
      <c r="B47" s="13"/>
      <c r="C47" s="29"/>
      <c r="D47" s="30"/>
      <c r="E47" s="19" t="s">
        <v>2754</v>
      </c>
      <c r="F47" s="8" t="s">
        <v>42</v>
      </c>
      <c r="G47" s="9">
        <v>0.10625</v>
      </c>
      <c r="H47" s="9">
        <v>0.11666666666666667</v>
      </c>
      <c r="I47" s="10">
        <f t="shared" si="4"/>
        <v>1.0416666666666671E-2</v>
      </c>
      <c r="J47" s="11">
        <v>8</v>
      </c>
      <c r="K47" s="11">
        <v>107.11</v>
      </c>
      <c r="L47" s="16">
        <f t="shared" si="5"/>
        <v>53.554999999999978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2</v>
      </c>
      <c r="W47" s="12"/>
      <c r="X47" s="11"/>
      <c r="Y47" s="11"/>
      <c r="Z47" s="11">
        <v>15</v>
      </c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2:38" ht="25.05" customHeight="1">
      <c r="B48" s="13"/>
      <c r="C48" s="29"/>
      <c r="D48" s="30"/>
      <c r="E48" s="19" t="s">
        <v>2755</v>
      </c>
      <c r="F48" s="8"/>
      <c r="G48" s="9">
        <v>0.11736111111111111</v>
      </c>
      <c r="H48" s="9">
        <v>0.12986111111111112</v>
      </c>
      <c r="I48" s="10">
        <f>H48-G48</f>
        <v>1.2500000000000011E-2</v>
      </c>
      <c r="J48" s="11">
        <v>8</v>
      </c>
      <c r="K48" s="11">
        <v>105.76</v>
      </c>
      <c r="L48" s="16">
        <f t="shared" si="5"/>
        <v>44.066666666666627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2</v>
      </c>
      <c r="X48" s="11">
        <v>18</v>
      </c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/>
      <c r="F49" s="8"/>
      <c r="G49" s="9"/>
      <c r="H49" s="9"/>
      <c r="I49" s="10"/>
      <c r="J49" s="11"/>
      <c r="K49" s="11"/>
      <c r="L49" s="16"/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2756</v>
      </c>
      <c r="F50" s="8" t="s">
        <v>42</v>
      </c>
      <c r="G50" s="9">
        <v>0.82430555555555551</v>
      </c>
      <c r="H50" s="9">
        <v>0.84305555555555556</v>
      </c>
      <c r="I50" s="10">
        <f t="shared" si="4"/>
        <v>1.8750000000000044E-2</v>
      </c>
      <c r="J50" s="11">
        <v>4</v>
      </c>
      <c r="K50" s="11">
        <v>3.46</v>
      </c>
      <c r="L50" s="16">
        <f t="shared" si="5"/>
        <v>1.9222222222222178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>
        <v>27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2757</v>
      </c>
      <c r="F51" s="8" t="s">
        <v>42</v>
      </c>
      <c r="G51" s="9">
        <v>0.86111111111111116</v>
      </c>
      <c r="H51" s="9">
        <v>0.86597222222222225</v>
      </c>
      <c r="I51" s="10">
        <f t="shared" si="4"/>
        <v>4.8611111111110938E-3</v>
      </c>
      <c r="J51" s="11">
        <v>4</v>
      </c>
      <c r="K51" s="11">
        <v>75.33</v>
      </c>
      <c r="L51" s="16">
        <f t="shared" si="5"/>
        <v>161.42142857142915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>
        <v>7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2758</v>
      </c>
      <c r="F52" s="8" t="s">
        <v>42</v>
      </c>
      <c r="G52" s="9">
        <v>0.86111111111111116</v>
      </c>
      <c r="H52" s="9">
        <v>0.86805555555555558</v>
      </c>
      <c r="I52" s="10">
        <f t="shared" si="4"/>
        <v>6.9444444444444198E-3</v>
      </c>
      <c r="J52" s="11">
        <v>4</v>
      </c>
      <c r="K52" s="11">
        <v>53.64</v>
      </c>
      <c r="L52" s="16">
        <f t="shared" si="5"/>
        <v>80.460000000000278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/>
      <c r="AB52" s="11"/>
      <c r="AC52" s="11">
        <v>10</v>
      </c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2759</v>
      </c>
      <c r="F53" s="8"/>
      <c r="G53" s="9">
        <v>0.87708333333333333</v>
      </c>
      <c r="H53" s="9">
        <v>0.88124999999999998</v>
      </c>
      <c r="I53" s="10">
        <f>H53-G53</f>
        <v>4.1666666666666519E-3</v>
      </c>
      <c r="J53" s="11">
        <v>4</v>
      </c>
      <c r="K53" s="11">
        <v>53.62</v>
      </c>
      <c r="L53" s="16">
        <f>IFERROR(((K53/(J53*I53)/24)),"0")</f>
        <v>134.05000000000047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/>
      <c r="AD53" s="11">
        <v>6</v>
      </c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1881</v>
      </c>
      <c r="F54" s="8" t="s">
        <v>42</v>
      </c>
      <c r="G54" s="9">
        <v>0.89583333333333337</v>
      </c>
      <c r="H54" s="9">
        <v>0.90625</v>
      </c>
      <c r="I54" s="10">
        <f t="shared" si="4"/>
        <v>1.041666666666663E-2</v>
      </c>
      <c r="J54" s="11">
        <v>3</v>
      </c>
      <c r="K54" s="12">
        <v>61</v>
      </c>
      <c r="L54" s="16">
        <f t="shared" si="5"/>
        <v>81.333333333333613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/>
      <c r="X54" s="11">
        <v>15</v>
      </c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1882</v>
      </c>
      <c r="F55" s="8" t="s">
        <v>42</v>
      </c>
      <c r="G55" s="9">
        <v>0.90625</v>
      </c>
      <c r="H55" s="9">
        <v>0.92013888888888884</v>
      </c>
      <c r="I55" s="10">
        <f>H55-G55</f>
        <v>1.388888888888884E-2</v>
      </c>
      <c r="J55" s="11">
        <v>3</v>
      </c>
      <c r="K55" s="12">
        <v>61</v>
      </c>
      <c r="L55" s="16">
        <f>IFERROR(((K55/(J55*I55)/24)),"0")</f>
        <v>61.00000000000022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/>
      <c r="X55" s="11"/>
      <c r="Y55" s="11">
        <v>20</v>
      </c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1883</v>
      </c>
      <c r="F56" s="8" t="s">
        <v>42</v>
      </c>
      <c r="G56" s="9">
        <v>0.91805555555555551</v>
      </c>
      <c r="H56" s="9">
        <v>0.92847222222222225</v>
      </c>
      <c r="I56" s="10">
        <f>H56-G56</f>
        <v>1.0416666666666741E-2</v>
      </c>
      <c r="J56" s="11">
        <v>3</v>
      </c>
      <c r="K56" s="12">
        <v>61</v>
      </c>
      <c r="L56" s="16">
        <f>IFERROR(((K56/(J56*I56)/24)),"0")</f>
        <v>81.33333333333276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/>
      <c r="X56" s="11"/>
      <c r="Y56" s="11"/>
      <c r="Z56" s="11">
        <v>15</v>
      </c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1884</v>
      </c>
      <c r="F57" s="8" t="s">
        <v>42</v>
      </c>
      <c r="G57" s="9">
        <v>0.94791666666666663</v>
      </c>
      <c r="H57" s="9">
        <v>0.95833333333333337</v>
      </c>
      <c r="I57" s="10">
        <f>H57-G57</f>
        <v>1.0416666666666741E-2</v>
      </c>
      <c r="J57" s="11">
        <v>3</v>
      </c>
      <c r="K57" s="12">
        <v>61</v>
      </c>
      <c r="L57" s="16">
        <f>IFERROR(((K57/(J57*I57)/24)),"0")</f>
        <v>81.33333333333276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/>
      <c r="X57" s="11">
        <v>15</v>
      </c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2760</v>
      </c>
      <c r="F58" s="8" t="s">
        <v>42</v>
      </c>
      <c r="G58" s="9">
        <v>0.87986111111111109</v>
      </c>
      <c r="H58" s="9">
        <v>0.88888888888888884</v>
      </c>
      <c r="I58" s="10">
        <f t="shared" si="4"/>
        <v>9.0277777777777457E-3</v>
      </c>
      <c r="J58" s="11">
        <v>4</v>
      </c>
      <c r="K58" s="11">
        <v>122.27</v>
      </c>
      <c r="L58" s="16">
        <f t="shared" si="5"/>
        <v>141.08076923076973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/>
      <c r="AA58" s="11"/>
      <c r="AB58" s="11">
        <v>13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2761</v>
      </c>
      <c r="F59" s="8" t="s">
        <v>42</v>
      </c>
      <c r="G59" s="9">
        <v>0.88055555555555554</v>
      </c>
      <c r="H59" s="9">
        <v>0.89027777777777772</v>
      </c>
      <c r="I59" s="10">
        <f>H59-G59</f>
        <v>9.7222222222221877E-3</v>
      </c>
      <c r="J59" s="11">
        <v>4</v>
      </c>
      <c r="K59" s="11">
        <v>125.44</v>
      </c>
      <c r="L59" s="16">
        <f>IFERROR(((K59/(J59*I59)/24)),"0")</f>
        <v>134.40000000000046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/>
      <c r="AB59" s="11"/>
      <c r="AC59" s="11">
        <v>14</v>
      </c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/>
      <c r="F60" s="8" t="s">
        <v>42</v>
      </c>
      <c r="G60" s="9"/>
      <c r="H60" s="9"/>
      <c r="I60" s="10"/>
      <c r="J60" s="11"/>
      <c r="K60" s="11"/>
      <c r="L60" s="16"/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/>
      <c r="F61" s="8" t="s">
        <v>42</v>
      </c>
      <c r="G61" s="9"/>
      <c r="H61" s="9"/>
      <c r="I61" s="10"/>
      <c r="J61" s="11"/>
      <c r="K61" s="11"/>
      <c r="L61" s="16"/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 t="s">
        <v>2699</v>
      </c>
      <c r="E62" s="19" t="s">
        <v>2762</v>
      </c>
      <c r="F62" s="8" t="s">
        <v>42</v>
      </c>
      <c r="G62" s="9">
        <v>0.84861111111111109</v>
      </c>
      <c r="H62" s="9">
        <v>0.84861111111111109</v>
      </c>
      <c r="I62" s="10">
        <f t="shared" ref="I62:I71" si="6">H62-G62</f>
        <v>0</v>
      </c>
      <c r="J62" s="11">
        <v>4</v>
      </c>
      <c r="K62" s="11">
        <v>40.159999999999997</v>
      </c>
      <c r="L62" s="16" t="str">
        <f>IFERROR(((K62/(J62*I62)/24)),"0")</f>
        <v>0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/>
      <c r="AA62" s="11"/>
      <c r="AB62" s="11">
        <v>1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2763</v>
      </c>
      <c r="F63" s="8" t="s">
        <v>42</v>
      </c>
      <c r="G63" s="9">
        <v>0.85347222222222219</v>
      </c>
      <c r="H63" s="9">
        <v>0.85347222222222219</v>
      </c>
      <c r="I63" s="10">
        <f t="shared" si="6"/>
        <v>0</v>
      </c>
      <c r="J63" s="11">
        <v>4</v>
      </c>
      <c r="K63" s="11">
        <v>39.020000000000003</v>
      </c>
      <c r="L63" s="16" t="str">
        <f t="shared" ref="L63:L71" si="7">IFERROR(((K63/(J63*I63)/24)),"0")</f>
        <v>0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/>
      <c r="Y63" s="11"/>
      <c r="Z63" s="11"/>
      <c r="AA63" s="11"/>
      <c r="AB63" s="11">
        <v>1</v>
      </c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2764</v>
      </c>
      <c r="F64" s="8" t="s">
        <v>42</v>
      </c>
      <c r="G64" s="9">
        <v>0.85902777777777772</v>
      </c>
      <c r="H64" s="9">
        <v>0.85902777777777772</v>
      </c>
      <c r="I64" s="10">
        <f t="shared" si="6"/>
        <v>0</v>
      </c>
      <c r="J64" s="11">
        <v>4</v>
      </c>
      <c r="K64" s="11">
        <v>38.380000000000003</v>
      </c>
      <c r="L64" s="16" t="str">
        <f t="shared" si="7"/>
        <v>0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/>
      <c r="Z64" s="11"/>
      <c r="AA64" s="11"/>
      <c r="AB64" s="11">
        <v>1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1:38" ht="25.05" customHeight="1">
      <c r="B65" s="13"/>
      <c r="C65" s="29"/>
      <c r="D65" s="30"/>
      <c r="E65" s="19" t="s">
        <v>2765</v>
      </c>
      <c r="F65" s="8" t="s">
        <v>42</v>
      </c>
      <c r="G65" s="9">
        <v>0.8618055555555556</v>
      </c>
      <c r="H65" s="9">
        <v>0.8618055555555556</v>
      </c>
      <c r="I65" s="10">
        <f t="shared" si="6"/>
        <v>0</v>
      </c>
      <c r="J65" s="11">
        <v>4</v>
      </c>
      <c r="K65" s="11">
        <v>32.54</v>
      </c>
      <c r="L65" s="16" t="str">
        <f t="shared" si="7"/>
        <v>0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/>
      <c r="Y65" s="11"/>
      <c r="Z65" s="11"/>
      <c r="AA65" s="11"/>
      <c r="AB65" s="11">
        <v>1</v>
      </c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1:38" ht="25.05" customHeight="1">
      <c r="B66" s="13"/>
      <c r="C66" s="29"/>
      <c r="D66" s="30"/>
      <c r="E66" s="19" t="s">
        <v>2766</v>
      </c>
      <c r="F66" s="8" t="s">
        <v>42</v>
      </c>
      <c r="G66" s="9">
        <v>0.86527777777777781</v>
      </c>
      <c r="H66" s="9">
        <v>0.86527777777777781</v>
      </c>
      <c r="I66" s="10">
        <f t="shared" si="6"/>
        <v>0</v>
      </c>
      <c r="J66" s="11">
        <v>4</v>
      </c>
      <c r="K66" s="11">
        <v>18.559999999999999</v>
      </c>
      <c r="L66" s="16" t="str">
        <f>IFERROR(((K66/(J66*I66)/24)),"0")</f>
        <v>0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/>
      <c r="AA66" s="11"/>
      <c r="AB66" s="11">
        <v>1</v>
      </c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1:38" ht="25.05" customHeight="1">
      <c r="B67" s="13"/>
      <c r="C67" s="29"/>
      <c r="D67" s="30"/>
      <c r="E67" s="19"/>
      <c r="F67" s="8" t="s">
        <v>42</v>
      </c>
      <c r="G67" s="9"/>
      <c r="H67" s="9"/>
      <c r="I67" s="10"/>
      <c r="J67" s="11"/>
      <c r="K67" s="11"/>
      <c r="L67" s="16"/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1:38" ht="25.05" customHeight="1">
      <c r="B68" s="13"/>
      <c r="C68" s="29"/>
      <c r="D68" s="30" t="s">
        <v>2729</v>
      </c>
      <c r="E68" s="19" t="s">
        <v>1168</v>
      </c>
      <c r="F68" s="8" t="s">
        <v>42</v>
      </c>
      <c r="G68" s="9">
        <v>0.82986111111111116</v>
      </c>
      <c r="H68" s="9">
        <v>0.92500000000000004</v>
      </c>
      <c r="I68" s="10">
        <f t="shared" si="6"/>
        <v>9.5138888888888884E-2</v>
      </c>
      <c r="J68" s="11">
        <v>5</v>
      </c>
      <c r="K68" s="11">
        <v>151.01</v>
      </c>
      <c r="L68" s="16">
        <f t="shared" si="7"/>
        <v>13.227153284671532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/>
      <c r="AA68" s="11"/>
      <c r="AB68" s="11"/>
      <c r="AC68" s="11"/>
      <c r="AD68" s="11"/>
      <c r="AE68" s="11"/>
      <c r="AF68" s="11"/>
      <c r="AG68" s="11">
        <f>130.2/4</f>
        <v>32.549999999999997</v>
      </c>
      <c r="AH68" s="11">
        <f t="shared" ref="AH68:AJ68" si="8">130.2/4</f>
        <v>32.549999999999997</v>
      </c>
      <c r="AI68" s="11">
        <f t="shared" si="8"/>
        <v>32.549999999999997</v>
      </c>
      <c r="AJ68" s="11">
        <f t="shared" si="8"/>
        <v>32.549999999999997</v>
      </c>
      <c r="AK68" s="11"/>
      <c r="AL68" s="14"/>
    </row>
    <row r="69" spans="1:38" ht="25.05" customHeight="1">
      <c r="B69" s="13"/>
      <c r="C69" s="29"/>
      <c r="D69" s="30"/>
      <c r="E69" s="19" t="s">
        <v>1332</v>
      </c>
      <c r="F69" s="8" t="s">
        <v>42</v>
      </c>
      <c r="G69" s="9">
        <v>0.92569444444444449</v>
      </c>
      <c r="H69" s="9">
        <v>1.0090277777777779</v>
      </c>
      <c r="I69" s="10">
        <f t="shared" si="6"/>
        <v>8.333333333333337E-2</v>
      </c>
      <c r="J69" s="11">
        <v>5</v>
      </c>
      <c r="K69" s="11">
        <v>151.26</v>
      </c>
      <c r="L69" s="16">
        <f t="shared" si="7"/>
        <v>15.125999999999992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/>
      <c r="AC69" s="11"/>
      <c r="AD69" s="11"/>
      <c r="AE69" s="11"/>
      <c r="AF69" s="11"/>
      <c r="AG69" s="12">
        <f>120/4</f>
        <v>30</v>
      </c>
      <c r="AH69" s="12">
        <f t="shared" ref="AH69:AJ69" si="9">120/4</f>
        <v>30</v>
      </c>
      <c r="AI69" s="12">
        <f t="shared" si="9"/>
        <v>30</v>
      </c>
      <c r="AJ69" s="12">
        <f t="shared" si="9"/>
        <v>30</v>
      </c>
      <c r="AK69" s="11"/>
      <c r="AL69" s="14"/>
    </row>
    <row r="70" spans="1:38" ht="25.05" customHeight="1">
      <c r="B70" s="13"/>
      <c r="C70" s="29"/>
      <c r="D70" s="30"/>
      <c r="E70" s="19" t="s">
        <v>1333</v>
      </c>
      <c r="F70" s="8" t="s">
        <v>42</v>
      </c>
      <c r="G70" s="9">
        <v>1.0097222222222222</v>
      </c>
      <c r="H70" s="9">
        <v>1.0881944444444445</v>
      </c>
      <c r="I70" s="10">
        <f>H70-G70</f>
        <v>7.8472222222222276E-2</v>
      </c>
      <c r="J70" s="11">
        <v>5</v>
      </c>
      <c r="K70" s="11">
        <v>146.44</v>
      </c>
      <c r="L70" s="16">
        <f t="shared" si="7"/>
        <v>15.551150442477864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/>
      <c r="AA70" s="11"/>
      <c r="AB70" s="11"/>
      <c r="AC70" s="11"/>
      <c r="AD70" s="11"/>
      <c r="AE70" s="11"/>
      <c r="AF70" s="11"/>
      <c r="AG70" s="11">
        <f>91.8/4</f>
        <v>22.95</v>
      </c>
      <c r="AH70" s="11">
        <f t="shared" ref="AH70:AJ70" si="10">91.8/4</f>
        <v>22.95</v>
      </c>
      <c r="AI70" s="11">
        <f t="shared" si="10"/>
        <v>22.95</v>
      </c>
      <c r="AJ70" s="11">
        <f t="shared" si="10"/>
        <v>22.95</v>
      </c>
      <c r="AK70" s="11"/>
      <c r="AL70" s="14"/>
    </row>
    <row r="71" spans="1:38" ht="25.05" customHeight="1">
      <c r="B71" s="13"/>
      <c r="C71" s="29"/>
      <c r="D71" s="30"/>
      <c r="E71" s="19" t="s">
        <v>2767</v>
      </c>
      <c r="F71" s="8" t="s">
        <v>42</v>
      </c>
      <c r="G71" s="9">
        <v>8.8888888888888892E-2</v>
      </c>
      <c r="H71" s="82">
        <v>0.14583333333333334</v>
      </c>
      <c r="I71" s="10">
        <f t="shared" si="6"/>
        <v>5.694444444444445E-2</v>
      </c>
      <c r="J71" s="11">
        <v>5</v>
      </c>
      <c r="K71" s="11">
        <v>118.82</v>
      </c>
      <c r="L71" s="16">
        <f t="shared" si="7"/>
        <v>17.388292682926828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/>
      <c r="AB71" s="11"/>
      <c r="AC71" s="11"/>
      <c r="AD71" s="11"/>
      <c r="AE71" s="11"/>
      <c r="AF71" s="11"/>
      <c r="AG71" s="11">
        <f>151.2/4</f>
        <v>37.799999999999997</v>
      </c>
      <c r="AH71" s="11">
        <f t="shared" ref="AH71:AJ71" si="11">151.2/4</f>
        <v>37.799999999999997</v>
      </c>
      <c r="AI71" s="11">
        <f t="shared" si="11"/>
        <v>37.799999999999997</v>
      </c>
      <c r="AJ71" s="11">
        <f t="shared" si="11"/>
        <v>37.799999999999997</v>
      </c>
      <c r="AK71" s="11"/>
      <c r="AL71" s="14"/>
    </row>
    <row r="72" spans="1:38" ht="25.05" customHeight="1">
      <c r="B72" s="74"/>
      <c r="C72" s="75"/>
      <c r="D72" s="76"/>
      <c r="E72" s="77"/>
      <c r="F72" s="78"/>
      <c r="G72" s="53"/>
      <c r="H72" s="53"/>
      <c r="I72" s="79"/>
      <c r="J72" s="54"/>
      <c r="K72" s="54"/>
      <c r="L72" s="16"/>
      <c r="M72" s="54"/>
      <c r="N72" s="54"/>
      <c r="O72" s="54"/>
      <c r="P72" s="54"/>
      <c r="Q72" s="54"/>
      <c r="R72" s="80"/>
      <c r="S72" s="80"/>
      <c r="T72" s="54"/>
      <c r="U72" s="54"/>
      <c r="V72" s="80"/>
      <c r="W72" s="80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81"/>
    </row>
    <row r="73" spans="1:38" s="28" customFormat="1" ht="25.5" customHeight="1">
      <c r="A73" s="2"/>
      <c r="B73" s="32"/>
      <c r="C73" s="33"/>
      <c r="D73" s="34"/>
      <c r="E73" s="35"/>
      <c r="F73" s="35"/>
      <c r="G73" s="36"/>
      <c r="H73" s="36"/>
      <c r="I73" s="37"/>
      <c r="J73" s="38"/>
      <c r="K73" s="38">
        <f t="shared" ref="K73:AL73" si="12">SUM(K26:K71)</f>
        <v>4010.3</v>
      </c>
      <c r="L73" s="39">
        <f t="shared" si="12"/>
        <v>3063.3332970956099</v>
      </c>
      <c r="M73" s="38">
        <f t="shared" si="12"/>
        <v>0</v>
      </c>
      <c r="N73" s="38">
        <f t="shared" si="12"/>
        <v>0</v>
      </c>
      <c r="O73" s="38">
        <f t="shared" si="12"/>
        <v>0</v>
      </c>
      <c r="P73" s="38">
        <f t="shared" si="12"/>
        <v>0</v>
      </c>
      <c r="Q73" s="38">
        <f t="shared" si="12"/>
        <v>0</v>
      </c>
      <c r="R73" s="38">
        <f t="shared" si="12"/>
        <v>0</v>
      </c>
      <c r="S73" s="38">
        <f t="shared" si="12"/>
        <v>0</v>
      </c>
      <c r="T73" s="38">
        <f t="shared" si="12"/>
        <v>0</v>
      </c>
      <c r="U73" s="38">
        <f t="shared" si="12"/>
        <v>0</v>
      </c>
      <c r="V73" s="38">
        <f t="shared" si="12"/>
        <v>56</v>
      </c>
      <c r="W73" s="38">
        <f t="shared" si="12"/>
        <v>28</v>
      </c>
      <c r="X73" s="38">
        <f t="shared" si="12"/>
        <v>69</v>
      </c>
      <c r="Y73" s="38">
        <f t="shared" si="12"/>
        <v>37</v>
      </c>
      <c r="Z73" s="38">
        <f t="shared" si="12"/>
        <v>30</v>
      </c>
      <c r="AA73" s="38">
        <f t="shared" si="12"/>
        <v>0</v>
      </c>
      <c r="AB73" s="38">
        <f t="shared" si="12"/>
        <v>105</v>
      </c>
      <c r="AC73" s="38">
        <f t="shared" si="12"/>
        <v>142</v>
      </c>
      <c r="AD73" s="38">
        <f t="shared" si="12"/>
        <v>141</v>
      </c>
      <c r="AE73" s="38">
        <f t="shared" si="12"/>
        <v>0</v>
      </c>
      <c r="AF73" s="38">
        <f t="shared" si="12"/>
        <v>0</v>
      </c>
      <c r="AG73" s="38">
        <f t="shared" si="12"/>
        <v>123.3</v>
      </c>
      <c r="AH73" s="38">
        <f t="shared" si="12"/>
        <v>123.3</v>
      </c>
      <c r="AI73" s="38">
        <f t="shared" si="12"/>
        <v>123.3</v>
      </c>
      <c r="AJ73" s="38">
        <f t="shared" si="12"/>
        <v>123.3</v>
      </c>
      <c r="AK73" s="38">
        <f t="shared" si="12"/>
        <v>0</v>
      </c>
      <c r="AL73" s="38">
        <f t="shared" si="12"/>
        <v>0</v>
      </c>
    </row>
    <row r="74" spans="1:38" ht="38.1" customHeight="1">
      <c r="B74" s="40" t="s">
        <v>45</v>
      </c>
      <c r="C74" s="41"/>
      <c r="D74" s="41"/>
      <c r="E74" s="41"/>
      <c r="F74" s="41"/>
      <c r="G74" s="41"/>
      <c r="H74" s="41"/>
      <c r="I74" s="41"/>
      <c r="J74" s="41"/>
      <c r="K74" s="42">
        <f>K22+K25+K73</f>
        <v>6210.45</v>
      </c>
      <c r="L74" s="42">
        <f>L22+L25+L73</f>
        <v>4128.5615119519634</v>
      </c>
      <c r="M74" s="43">
        <f t="shared" ref="M74:AL74" si="13">(M22+M25+M73)/(480-15-30)</f>
        <v>0.41149425287356323</v>
      </c>
      <c r="N74" s="43">
        <f t="shared" si="13"/>
        <v>0</v>
      </c>
      <c r="O74" s="43">
        <f t="shared" si="13"/>
        <v>0.36091954022988504</v>
      </c>
      <c r="P74" s="43">
        <f t="shared" si="13"/>
        <v>0</v>
      </c>
      <c r="Q74" s="43">
        <f t="shared" si="13"/>
        <v>0.2045977011494253</v>
      </c>
      <c r="R74" s="43">
        <f t="shared" si="13"/>
        <v>0</v>
      </c>
      <c r="S74" s="43">
        <f t="shared" si="13"/>
        <v>0.40459770114942528</v>
      </c>
      <c r="T74" s="43">
        <f t="shared" si="13"/>
        <v>0</v>
      </c>
      <c r="U74" s="43">
        <f t="shared" si="13"/>
        <v>0</v>
      </c>
      <c r="V74" s="43">
        <f t="shared" si="13"/>
        <v>0.12873563218390804</v>
      </c>
      <c r="W74" s="43">
        <f t="shared" si="13"/>
        <v>6.4367816091954022E-2</v>
      </c>
      <c r="X74" s="43">
        <f t="shared" si="13"/>
        <v>0.15862068965517243</v>
      </c>
      <c r="Y74" s="43">
        <f t="shared" si="13"/>
        <v>8.5057471264367815E-2</v>
      </c>
      <c r="Z74" s="43">
        <f t="shared" si="13"/>
        <v>6.8965517241379309E-2</v>
      </c>
      <c r="AA74" s="43">
        <f t="shared" si="13"/>
        <v>0</v>
      </c>
      <c r="AB74" s="43">
        <f t="shared" si="13"/>
        <v>0.2413793103448276</v>
      </c>
      <c r="AC74" s="43">
        <f t="shared" si="13"/>
        <v>0.32643678160919543</v>
      </c>
      <c r="AD74" s="43">
        <f t="shared" si="13"/>
        <v>0.32413793103448274</v>
      </c>
      <c r="AE74" s="43">
        <f t="shared" si="13"/>
        <v>0</v>
      </c>
      <c r="AF74" s="43">
        <f t="shared" si="13"/>
        <v>0</v>
      </c>
      <c r="AG74" s="43">
        <f t="shared" si="13"/>
        <v>0.28344827586206894</v>
      </c>
      <c r="AH74" s="43">
        <f t="shared" si="13"/>
        <v>0.28344827586206894</v>
      </c>
      <c r="AI74" s="43">
        <f t="shared" si="13"/>
        <v>0.28344827586206894</v>
      </c>
      <c r="AJ74" s="43">
        <f t="shared" si="13"/>
        <v>0.28344827586206894</v>
      </c>
      <c r="AK74" s="43">
        <f t="shared" si="13"/>
        <v>0</v>
      </c>
      <c r="AL74" s="43">
        <f t="shared" si="13"/>
        <v>0</v>
      </c>
    </row>
    <row r="75" spans="1:38" ht="25.05" customHeight="1">
      <c r="B75" s="44"/>
      <c r="C75" s="44"/>
      <c r="D75" s="44"/>
      <c r="E75" s="45"/>
      <c r="F75" s="45"/>
      <c r="G75" s="45"/>
      <c r="H75" s="45"/>
      <c r="I75" s="46"/>
      <c r="J75" s="46"/>
      <c r="K75" s="45"/>
      <c r="L75" s="47"/>
      <c r="M75" s="47"/>
      <c r="N75" s="47"/>
      <c r="O75" s="47"/>
      <c r="P75" s="47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</row>
    <row r="76" spans="1:38" ht="25.05" customHeight="1">
      <c r="B76" s="44"/>
      <c r="C76" s="44"/>
      <c r="D76" s="44"/>
      <c r="E76" s="45"/>
      <c r="F76" s="45"/>
      <c r="G76" s="45"/>
      <c r="H76" s="45"/>
      <c r="I76" s="48" t="s">
        <v>46</v>
      </c>
      <c r="J76" s="46"/>
      <c r="K76" s="45"/>
      <c r="L76" s="47"/>
      <c r="M76" s="47"/>
      <c r="N76" s="47"/>
      <c r="O76" s="47"/>
      <c r="P76" s="47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</row>
    <row r="77" spans="1:38" ht="25.05" customHeight="1">
      <c r="B77" s="44"/>
      <c r="C77" s="44"/>
      <c r="D77" s="44"/>
      <c r="E77" s="45"/>
      <c r="F77" s="45"/>
      <c r="G77" s="45"/>
      <c r="H77" s="45"/>
      <c r="I77" s="49" t="s">
        <v>47</v>
      </c>
      <c r="J77" s="9">
        <v>0</v>
      </c>
      <c r="K77" s="11">
        <v>7</v>
      </c>
      <c r="L77" s="11" t="s">
        <v>48</v>
      </c>
      <c r="M77" s="47"/>
      <c r="N77" s="14">
        <v>3</v>
      </c>
      <c r="O77" s="14"/>
      <c r="P77" s="14"/>
      <c r="Q77" s="50" t="s">
        <v>49</v>
      </c>
      <c r="R77" s="51"/>
      <c r="S77" s="45"/>
      <c r="T77" s="45"/>
      <c r="U77" s="45"/>
      <c r="V77" s="45"/>
      <c r="W77" s="45"/>
      <c r="X77" s="45"/>
      <c r="Y77" s="45"/>
      <c r="Z77" s="45"/>
      <c r="AA77" s="45"/>
      <c r="AC77" s="45"/>
      <c r="AD77" s="45"/>
      <c r="AE77" s="45"/>
      <c r="AF77" s="45"/>
      <c r="AG77" s="45"/>
      <c r="AH77" s="45"/>
    </row>
    <row r="78" spans="1:38" ht="25.05" customHeight="1">
      <c r="B78" s="44"/>
      <c r="C78" s="44"/>
      <c r="D78" s="44"/>
      <c r="E78" s="45"/>
      <c r="F78" s="45"/>
      <c r="G78" s="45"/>
      <c r="H78" s="45"/>
      <c r="I78" s="49" t="s">
        <v>50</v>
      </c>
      <c r="J78" s="9">
        <v>0</v>
      </c>
      <c r="K78" s="11">
        <v>0</v>
      </c>
      <c r="L78" s="11" t="s">
        <v>48</v>
      </c>
      <c r="M78" s="47"/>
      <c r="N78" s="14">
        <v>0</v>
      </c>
      <c r="O78" s="14"/>
      <c r="P78" s="14"/>
      <c r="Q78" s="50" t="s">
        <v>51</v>
      </c>
      <c r="R78" s="51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</row>
    <row r="79" spans="1:38" ht="25.05" customHeight="1">
      <c r="B79" s="44"/>
      <c r="C79" s="44"/>
      <c r="D79" s="44"/>
      <c r="E79" s="45"/>
      <c r="F79" s="45"/>
      <c r="G79" s="45"/>
      <c r="H79" s="45"/>
      <c r="I79" s="49" t="s">
        <v>52</v>
      </c>
      <c r="J79" s="9">
        <v>0</v>
      </c>
      <c r="K79" s="11">
        <v>18</v>
      </c>
      <c r="L79" s="11" t="s">
        <v>48</v>
      </c>
      <c r="M79" s="47"/>
      <c r="N79" s="14">
        <v>0</v>
      </c>
      <c r="O79" s="14"/>
      <c r="P79" s="14"/>
      <c r="Q79" s="50" t="s">
        <v>53</v>
      </c>
      <c r="R79" s="51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</row>
    <row r="80" spans="1:38" ht="25.05" customHeight="1">
      <c r="B80" s="44"/>
      <c r="C80" s="44"/>
      <c r="D80" s="44"/>
      <c r="E80" s="45"/>
      <c r="F80" s="45"/>
      <c r="G80" s="45"/>
      <c r="H80" s="45"/>
      <c r="I80" s="52" t="s">
        <v>54</v>
      </c>
      <c r="J80" s="53">
        <v>0</v>
      </c>
      <c r="K80" s="11">
        <v>2</v>
      </c>
      <c r="L80" s="54" t="s">
        <v>48</v>
      </c>
      <c r="M80" s="47"/>
      <c r="N80" s="14">
        <v>4</v>
      </c>
      <c r="O80" s="14"/>
      <c r="P80" s="14"/>
      <c r="Q80" s="50" t="s">
        <v>55</v>
      </c>
      <c r="R80" s="51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</row>
    <row r="81" spans="2:34" ht="25.05" customHeight="1">
      <c r="B81" s="44"/>
      <c r="C81" s="44"/>
      <c r="D81" s="44"/>
      <c r="E81" s="45"/>
      <c r="F81" s="45"/>
      <c r="G81" s="45"/>
      <c r="H81" s="45"/>
      <c r="I81" s="49" t="s">
        <v>56</v>
      </c>
      <c r="J81" s="9">
        <v>0</v>
      </c>
      <c r="K81" s="11">
        <v>27</v>
      </c>
      <c r="L81" s="11" t="s">
        <v>48</v>
      </c>
      <c r="M81" s="47"/>
      <c r="N81"/>
      <c r="O81"/>
      <c r="P81"/>
      <c r="Q81"/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  <c r="AE81" s="45"/>
      <c r="AF81" s="45"/>
      <c r="AG81" s="45"/>
      <c r="AH81" s="45"/>
    </row>
    <row r="82" spans="2:34" ht="25.05" customHeight="1">
      <c r="B82" s="44"/>
      <c r="C82" s="44"/>
      <c r="D82" s="44"/>
      <c r="E82" s="45"/>
      <c r="F82" s="45"/>
      <c r="G82" s="45"/>
      <c r="H82" s="45"/>
      <c r="M82" s="47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  <c r="AE82" s="45"/>
      <c r="AF82" s="45"/>
      <c r="AG82" s="45"/>
      <c r="AH82" s="45"/>
    </row>
    <row r="83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2376A-276E-4596-8E91-63419E36DEEB}">
  <sheetPr>
    <pageSetUpPr fitToPage="1"/>
  </sheetPr>
  <dimension ref="A1:AL171"/>
  <sheetViews>
    <sheetView zoomScale="85" zoomScaleNormal="85" workbookViewId="0">
      <pane xSplit="12" ySplit="3" topLeftCell="M30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73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2768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6" si="0">H4-G4</f>
        <v>2.0833333333333315E-2</v>
      </c>
      <c r="J4" s="11">
        <v>1</v>
      </c>
      <c r="K4" s="11" t="s">
        <v>42</v>
      </c>
      <c r="L4" s="16" t="str">
        <f t="shared" ref="L4:L26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2769</v>
      </c>
      <c r="E5" s="15" t="s">
        <v>2463</v>
      </c>
      <c r="F5" s="55" t="s">
        <v>87</v>
      </c>
      <c r="G5" s="9">
        <v>0.29166666666666669</v>
      </c>
      <c r="H5" s="9">
        <v>0.30555555555555558</v>
      </c>
      <c r="I5" s="10">
        <f t="shared" si="0"/>
        <v>1.3888888888888895E-2</v>
      </c>
      <c r="J5" s="11">
        <v>1</v>
      </c>
      <c r="K5" s="11">
        <v>2.88</v>
      </c>
      <c r="L5" s="16">
        <f t="shared" si="1"/>
        <v>8.6399999999999952</v>
      </c>
      <c r="M5" s="11">
        <v>20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 t="s">
        <v>2770</v>
      </c>
      <c r="E6" s="15" t="s">
        <v>2771</v>
      </c>
      <c r="F6" s="55" t="s">
        <v>87</v>
      </c>
      <c r="G6" s="9">
        <v>0.30694444444444446</v>
      </c>
      <c r="H6" s="9">
        <v>0.31736111111111109</v>
      </c>
      <c r="I6" s="10">
        <f t="shared" si="0"/>
        <v>1.041666666666663E-2</v>
      </c>
      <c r="J6" s="11">
        <v>1</v>
      </c>
      <c r="K6" s="11">
        <v>2.46</v>
      </c>
      <c r="L6" s="16">
        <f t="shared" si="1"/>
        <v>9.8400000000000354</v>
      </c>
      <c r="M6" s="11">
        <v>15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2772</v>
      </c>
      <c r="F7" s="55" t="s">
        <v>87</v>
      </c>
      <c r="G7" s="9">
        <v>0.31874999999999998</v>
      </c>
      <c r="H7" s="9">
        <v>0.32291666666666669</v>
      </c>
      <c r="I7" s="10">
        <f t="shared" si="0"/>
        <v>4.1666666666667074E-3</v>
      </c>
      <c r="J7" s="11">
        <v>1</v>
      </c>
      <c r="K7" s="11">
        <v>1.8</v>
      </c>
      <c r="L7" s="16">
        <f t="shared" si="1"/>
        <v>17.999999999999826</v>
      </c>
      <c r="M7" s="11">
        <v>6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2773</v>
      </c>
      <c r="F8" s="55" t="s">
        <v>2774</v>
      </c>
      <c r="G8" s="9">
        <v>0.32430555555555557</v>
      </c>
      <c r="H8" s="9">
        <v>0.33333333333333331</v>
      </c>
      <c r="I8" s="10">
        <f t="shared" si="0"/>
        <v>9.0277777777777457E-3</v>
      </c>
      <c r="J8" s="11">
        <v>1</v>
      </c>
      <c r="K8" s="11">
        <v>24.6</v>
      </c>
      <c r="L8" s="16">
        <f t="shared" si="1"/>
        <v>113.53846153846195</v>
      </c>
      <c r="M8" s="11">
        <v>13</v>
      </c>
      <c r="N8" s="11"/>
      <c r="O8" s="11"/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2775</v>
      </c>
      <c r="F9" s="55" t="s">
        <v>87</v>
      </c>
      <c r="G9" s="9">
        <v>0.3347222222222222</v>
      </c>
      <c r="H9" s="9">
        <v>0.34027777777777779</v>
      </c>
      <c r="I9" s="10">
        <f t="shared" si="0"/>
        <v>5.5555555555555913E-3</v>
      </c>
      <c r="J9" s="11">
        <v>1</v>
      </c>
      <c r="K9" s="11">
        <v>2.46</v>
      </c>
      <c r="L9" s="16">
        <f t="shared" si="1"/>
        <v>18.449999999999882</v>
      </c>
      <c r="M9" s="11">
        <v>8</v>
      </c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2776</v>
      </c>
      <c r="F10" s="55" t="s">
        <v>91</v>
      </c>
      <c r="G10" s="9">
        <v>0.34166666666666667</v>
      </c>
      <c r="H10" s="9">
        <v>0.35416666666666669</v>
      </c>
      <c r="I10" s="10">
        <f t="shared" si="0"/>
        <v>1.2500000000000011E-2</v>
      </c>
      <c r="J10" s="11">
        <v>1</v>
      </c>
      <c r="K10" s="11">
        <v>38</v>
      </c>
      <c r="L10" s="16">
        <f t="shared" si="1"/>
        <v>126.66666666666656</v>
      </c>
      <c r="M10" s="11">
        <v>18</v>
      </c>
      <c r="N10" s="11"/>
      <c r="O10" s="11"/>
      <c r="P10" s="11"/>
      <c r="Q10" s="11"/>
      <c r="R10" s="12"/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/>
      <c r="E11" s="15" t="s">
        <v>2777</v>
      </c>
      <c r="F11" s="55" t="s">
        <v>42</v>
      </c>
      <c r="G11" s="9">
        <v>0.33333333333333331</v>
      </c>
      <c r="H11" s="9">
        <v>0.34375</v>
      </c>
      <c r="I11" s="10">
        <f t="shared" si="0"/>
        <v>1.0416666666666685E-2</v>
      </c>
      <c r="J11" s="11">
        <v>2</v>
      </c>
      <c r="K11" s="11">
        <v>101.92</v>
      </c>
      <c r="L11" s="16">
        <f t="shared" si="1"/>
        <v>203.83999999999966</v>
      </c>
      <c r="M11" s="11"/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2778</v>
      </c>
      <c r="F12" s="55" t="s">
        <v>1116</v>
      </c>
      <c r="G12" s="9">
        <v>0.29166666666666669</v>
      </c>
      <c r="H12" s="9">
        <v>0.36805555555555558</v>
      </c>
      <c r="I12" s="10">
        <f t="shared" si="0"/>
        <v>7.6388888888888895E-2</v>
      </c>
      <c r="J12" s="11">
        <v>3</v>
      </c>
      <c r="K12" s="11">
        <v>1.32</v>
      </c>
      <c r="L12" s="16">
        <f t="shared" si="1"/>
        <v>0.24</v>
      </c>
      <c r="M12" s="11"/>
      <c r="N12" s="11"/>
      <c r="O12" s="11"/>
      <c r="P12" s="11"/>
      <c r="Q12" s="11"/>
      <c r="R12" s="12"/>
      <c r="S12" s="12">
        <v>110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1321</v>
      </c>
      <c r="F13" s="55"/>
      <c r="G13" s="9">
        <v>0.29166666666666669</v>
      </c>
      <c r="H13" s="9">
        <v>0.30555555555555558</v>
      </c>
      <c r="I13" s="10">
        <f t="shared" si="0"/>
        <v>1.3888888888888895E-2</v>
      </c>
      <c r="J13" s="11">
        <v>1</v>
      </c>
      <c r="K13" s="11">
        <v>88</v>
      </c>
      <c r="L13" s="16">
        <f t="shared" si="1"/>
        <v>263.99999999999989</v>
      </c>
      <c r="M13" s="11"/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2779</v>
      </c>
      <c r="F14" s="55" t="s">
        <v>87</v>
      </c>
      <c r="G14" s="9">
        <v>0.29166666666666669</v>
      </c>
      <c r="H14" s="9">
        <v>0.30208333333333331</v>
      </c>
      <c r="I14" s="10">
        <f t="shared" si="0"/>
        <v>1.041666666666663E-2</v>
      </c>
      <c r="J14" s="11">
        <v>1</v>
      </c>
      <c r="K14" s="11">
        <v>5</v>
      </c>
      <c r="L14" s="16">
        <f t="shared" si="1"/>
        <v>20.000000000000071</v>
      </c>
      <c r="M14" s="11">
        <v>15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 t="s">
        <v>1167</v>
      </c>
      <c r="E15" s="15" t="s">
        <v>1674</v>
      </c>
      <c r="F15" s="55" t="s">
        <v>89</v>
      </c>
      <c r="G15" s="9">
        <v>0.3034722222222222</v>
      </c>
      <c r="H15" s="9">
        <v>0.31597222222222221</v>
      </c>
      <c r="I15" s="10">
        <f t="shared" si="0"/>
        <v>1.2500000000000011E-2</v>
      </c>
      <c r="J15" s="11">
        <v>1</v>
      </c>
      <c r="K15" s="11">
        <v>13.2</v>
      </c>
      <c r="L15" s="16">
        <f t="shared" si="1"/>
        <v>43.999999999999964</v>
      </c>
      <c r="M15" s="11"/>
      <c r="N15" s="11"/>
      <c r="O15" s="11">
        <v>18</v>
      </c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 t="s">
        <v>1669</v>
      </c>
      <c r="E16" s="15" t="s">
        <v>1670</v>
      </c>
      <c r="F16" s="55" t="s">
        <v>99</v>
      </c>
      <c r="G16" s="9">
        <v>0.33333333333333331</v>
      </c>
      <c r="H16" s="9">
        <v>0.375</v>
      </c>
      <c r="I16" s="10">
        <f t="shared" si="0"/>
        <v>4.1666666666666685E-2</v>
      </c>
      <c r="J16" s="11">
        <v>1</v>
      </c>
      <c r="K16" s="11">
        <v>30.8</v>
      </c>
      <c r="L16" s="16">
        <f t="shared" si="1"/>
        <v>30.799999999999986</v>
      </c>
      <c r="M16" s="11"/>
      <c r="N16" s="11"/>
      <c r="O16" s="11"/>
      <c r="P16" s="11"/>
      <c r="Q16" s="11"/>
      <c r="R16" s="12">
        <v>60</v>
      </c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 t="s">
        <v>1167</v>
      </c>
      <c r="E17" s="15" t="s">
        <v>2780</v>
      </c>
      <c r="F17" s="55" t="s">
        <v>2781</v>
      </c>
      <c r="G17" s="9">
        <v>0.29166666666666669</v>
      </c>
      <c r="H17" s="9">
        <v>0.375</v>
      </c>
      <c r="I17" s="10">
        <f t="shared" si="0"/>
        <v>8.3333333333333315E-2</v>
      </c>
      <c r="J17" s="11">
        <v>5</v>
      </c>
      <c r="K17" s="11">
        <v>65</v>
      </c>
      <c r="L17" s="16">
        <f t="shared" si="1"/>
        <v>6.5000000000000009</v>
      </c>
      <c r="M17" s="11"/>
      <c r="N17" s="11"/>
      <c r="O17" s="11"/>
      <c r="P17" s="11"/>
      <c r="Q17" s="11"/>
      <c r="R17" s="12"/>
      <c r="S17" s="12">
        <v>120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 t="s">
        <v>2782</v>
      </c>
      <c r="E18" s="15" t="s">
        <v>95</v>
      </c>
      <c r="F18" s="55" t="s">
        <v>42</v>
      </c>
      <c r="G18" s="9">
        <v>0.375</v>
      </c>
      <c r="H18" s="9">
        <v>0.39583333333333331</v>
      </c>
      <c r="I18" s="10">
        <f t="shared" si="0"/>
        <v>2.0833333333333315E-2</v>
      </c>
      <c r="J18" s="11">
        <v>5</v>
      </c>
      <c r="K18" s="11">
        <v>64</v>
      </c>
      <c r="L18" s="16">
        <f t="shared" si="1"/>
        <v>25.600000000000023</v>
      </c>
      <c r="M18" s="11"/>
      <c r="N18" s="11"/>
      <c r="O18" s="11"/>
      <c r="P18" s="11">
        <v>30</v>
      </c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97</v>
      </c>
      <c r="F19" s="55" t="s">
        <v>2781</v>
      </c>
      <c r="G19" s="9">
        <v>0.38194444444444442</v>
      </c>
      <c r="H19" s="9">
        <v>0.39930555555555558</v>
      </c>
      <c r="I19" s="10">
        <f t="shared" si="0"/>
        <v>1.736111111111116E-2</v>
      </c>
      <c r="J19" s="11">
        <v>1</v>
      </c>
      <c r="K19" s="11">
        <v>55.5</v>
      </c>
      <c r="L19" s="16">
        <f t="shared" si="1"/>
        <v>133.19999999999962</v>
      </c>
      <c r="M19" s="11"/>
      <c r="N19" s="11"/>
      <c r="O19" s="11"/>
      <c r="P19" s="11"/>
      <c r="Q19" s="11"/>
      <c r="R19" s="12">
        <v>25</v>
      </c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6" t="s">
        <v>94</v>
      </c>
      <c r="F20" s="55" t="s">
        <v>42</v>
      </c>
      <c r="G20" s="9">
        <v>0.375</v>
      </c>
      <c r="H20" s="9">
        <v>0.4236111111111111</v>
      </c>
      <c r="I20" s="10">
        <f t="shared" si="0"/>
        <v>4.8611111111111105E-2</v>
      </c>
      <c r="J20" s="11">
        <v>9</v>
      </c>
      <c r="K20" s="11" t="s">
        <v>42</v>
      </c>
      <c r="L20" s="16" t="str">
        <f t="shared" si="1"/>
        <v>0</v>
      </c>
      <c r="M20" s="11"/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96</v>
      </c>
      <c r="F21" s="55" t="s">
        <v>42</v>
      </c>
      <c r="G21" s="9">
        <v>0.40972222222222221</v>
      </c>
      <c r="H21" s="9">
        <v>0.4236111111111111</v>
      </c>
      <c r="I21" s="10">
        <f t="shared" si="0"/>
        <v>1.3888888888888895E-2</v>
      </c>
      <c r="J21" s="11">
        <v>3</v>
      </c>
      <c r="K21" s="11" t="s">
        <v>42</v>
      </c>
      <c r="L21" s="16" t="str">
        <f t="shared" si="1"/>
        <v>0</v>
      </c>
      <c r="M21" s="11"/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104</v>
      </c>
      <c r="F22" s="55" t="s">
        <v>42</v>
      </c>
      <c r="G22" s="9">
        <v>0.4236111111111111</v>
      </c>
      <c r="H22" s="9">
        <v>0.46527777777777779</v>
      </c>
      <c r="I22" s="10">
        <f t="shared" si="0"/>
        <v>4.1666666666666685E-2</v>
      </c>
      <c r="J22" s="11">
        <v>4</v>
      </c>
      <c r="K22" s="11" t="s">
        <v>42</v>
      </c>
      <c r="L22" s="16" t="str">
        <f t="shared" si="1"/>
        <v>0</v>
      </c>
      <c r="M22" s="11"/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 t="s">
        <v>2782</v>
      </c>
      <c r="E23" s="15" t="s">
        <v>1321</v>
      </c>
      <c r="F23" s="55" t="s">
        <v>42</v>
      </c>
      <c r="G23" s="9">
        <v>0.46527777777777779</v>
      </c>
      <c r="H23" s="9">
        <v>0.64583333333333337</v>
      </c>
      <c r="I23" s="10">
        <f t="shared" si="0"/>
        <v>0.18055555555555558</v>
      </c>
      <c r="J23" s="11">
        <v>5</v>
      </c>
      <c r="K23" s="11" t="s">
        <v>42</v>
      </c>
      <c r="L23" s="16" t="str">
        <f t="shared" si="1"/>
        <v>0</v>
      </c>
      <c r="M23" s="11"/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6" t="s">
        <v>94</v>
      </c>
      <c r="F24" s="55" t="s">
        <v>42</v>
      </c>
      <c r="G24" s="9">
        <v>0.46527777777777779</v>
      </c>
      <c r="H24" s="9">
        <v>0.66666666666666663</v>
      </c>
      <c r="I24" s="10">
        <f t="shared" si="0"/>
        <v>0.20138888888888884</v>
      </c>
      <c r="J24" s="11">
        <v>7</v>
      </c>
      <c r="K24" s="11" t="s">
        <v>42</v>
      </c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 t="s">
        <v>96</v>
      </c>
      <c r="F25" s="55" t="s">
        <v>42</v>
      </c>
      <c r="G25" s="9">
        <v>0.64583333333333337</v>
      </c>
      <c r="H25" s="9">
        <v>0.66666666666666663</v>
      </c>
      <c r="I25" s="10">
        <f t="shared" si="0"/>
        <v>2.0833333333333259E-2</v>
      </c>
      <c r="J25" s="11">
        <v>5</v>
      </c>
      <c r="K25" s="11" t="s">
        <v>42</v>
      </c>
      <c r="L25" s="16" t="str">
        <f t="shared" si="1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15"/>
      <c r="F26" s="55"/>
      <c r="G26" s="9"/>
      <c r="H26" s="9"/>
      <c r="I26" s="10">
        <f t="shared" si="0"/>
        <v>0</v>
      </c>
      <c r="J26" s="11"/>
      <c r="K26" s="11" t="s">
        <v>42</v>
      </c>
      <c r="L26" s="16" t="str">
        <f t="shared" si="1"/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s="28" customFormat="1" ht="25.05" customHeight="1">
      <c r="A27" s="2"/>
      <c r="B27" s="21"/>
      <c r="C27" s="22"/>
      <c r="D27" s="23"/>
      <c r="E27" s="24"/>
      <c r="F27" s="24"/>
      <c r="G27" s="25"/>
      <c r="H27" s="25"/>
      <c r="I27" s="26"/>
      <c r="J27" s="27"/>
      <c r="K27" s="27">
        <f t="shared" ref="K27:AL27" si="2">SUM(K4:K25)</f>
        <v>496.94</v>
      </c>
      <c r="L27" s="39">
        <f t="shared" si="2"/>
        <v>1023.3151282051275</v>
      </c>
      <c r="M27" s="27">
        <f t="shared" si="2"/>
        <v>95</v>
      </c>
      <c r="N27" s="27">
        <f t="shared" si="2"/>
        <v>0</v>
      </c>
      <c r="O27" s="27">
        <f t="shared" si="2"/>
        <v>18</v>
      </c>
      <c r="P27" s="27">
        <f t="shared" si="2"/>
        <v>30</v>
      </c>
      <c r="Q27" s="27">
        <f t="shared" si="2"/>
        <v>0</v>
      </c>
      <c r="R27" s="27">
        <f t="shared" si="2"/>
        <v>85</v>
      </c>
      <c r="S27" s="27">
        <f t="shared" si="2"/>
        <v>230</v>
      </c>
      <c r="T27" s="27">
        <f t="shared" si="2"/>
        <v>0</v>
      </c>
      <c r="U27" s="27">
        <f t="shared" si="2"/>
        <v>0</v>
      </c>
      <c r="V27" s="27">
        <f t="shared" si="2"/>
        <v>0</v>
      </c>
      <c r="W27" s="27">
        <f t="shared" si="2"/>
        <v>0</v>
      </c>
      <c r="X27" s="27">
        <f t="shared" si="2"/>
        <v>0</v>
      </c>
      <c r="Y27" s="27">
        <f t="shared" si="2"/>
        <v>0</v>
      </c>
      <c r="Z27" s="27">
        <f t="shared" si="2"/>
        <v>0</v>
      </c>
      <c r="AA27" s="27">
        <f t="shared" si="2"/>
        <v>0</v>
      </c>
      <c r="AB27" s="27">
        <f t="shared" si="2"/>
        <v>0</v>
      </c>
      <c r="AC27" s="27">
        <f t="shared" si="2"/>
        <v>0</v>
      </c>
      <c r="AD27" s="27">
        <f t="shared" si="2"/>
        <v>0</v>
      </c>
      <c r="AE27" s="27">
        <f t="shared" si="2"/>
        <v>0</v>
      </c>
      <c r="AF27" s="27">
        <f t="shared" si="2"/>
        <v>0</v>
      </c>
      <c r="AG27" s="27">
        <f t="shared" si="2"/>
        <v>0</v>
      </c>
      <c r="AH27" s="27">
        <f t="shared" si="2"/>
        <v>0</v>
      </c>
      <c r="AI27" s="27">
        <f t="shared" si="2"/>
        <v>0</v>
      </c>
      <c r="AJ27" s="27">
        <f t="shared" si="2"/>
        <v>0</v>
      </c>
      <c r="AK27" s="27">
        <f t="shared" si="2"/>
        <v>0</v>
      </c>
      <c r="AL27" s="27">
        <f t="shared" si="2"/>
        <v>0</v>
      </c>
    </row>
    <row r="28" spans="1:38" ht="25.05" customHeight="1">
      <c r="B28" s="5" t="s">
        <v>2768</v>
      </c>
      <c r="C28" s="14" t="s">
        <v>43</v>
      </c>
      <c r="D28" s="6"/>
      <c r="E28" s="7" t="s">
        <v>41</v>
      </c>
      <c r="F28" s="8" t="s">
        <v>42</v>
      </c>
      <c r="G28" s="9">
        <v>0.33333333333333331</v>
      </c>
      <c r="H28" s="9">
        <v>0.35416666666666669</v>
      </c>
      <c r="I28" s="10">
        <f>H28-G28</f>
        <v>2.083333333333337E-2</v>
      </c>
      <c r="J28" s="11">
        <v>2</v>
      </c>
      <c r="K28" s="11" t="s">
        <v>42</v>
      </c>
      <c r="L28" s="16" t="str">
        <f>IFERROR(((K28/(J28*I28)/24)),"0")</f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 t="s">
        <v>2769</v>
      </c>
      <c r="E29" s="7" t="s">
        <v>105</v>
      </c>
      <c r="F29" s="8"/>
      <c r="G29" s="9">
        <v>0.35416666666666669</v>
      </c>
      <c r="H29" s="9">
        <v>0.5</v>
      </c>
      <c r="I29" s="10">
        <f t="shared" ref="I29:I33" si="3">H29-G29</f>
        <v>0.14583333333333331</v>
      </c>
      <c r="J29" s="11">
        <v>12</v>
      </c>
      <c r="K29" s="11">
        <f>215*4</f>
        <v>860</v>
      </c>
      <c r="L29" s="16">
        <f t="shared" ref="L29:L33" si="4">IFERROR(((K29/(J29*I29)/24)),"0")</f>
        <v>20.476190476190478</v>
      </c>
      <c r="M29" s="11"/>
      <c r="N29" s="11"/>
      <c r="O29" s="11"/>
      <c r="P29" s="11"/>
      <c r="Q29" s="11"/>
      <c r="R29" s="12"/>
      <c r="S29" s="12">
        <v>210</v>
      </c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6"/>
      <c r="E30" s="7" t="s">
        <v>104</v>
      </c>
      <c r="F30" s="8"/>
      <c r="G30" s="9">
        <v>0.5</v>
      </c>
      <c r="H30" s="9">
        <v>0.54166666666666663</v>
      </c>
      <c r="I30" s="10">
        <f t="shared" si="3"/>
        <v>4.166666666666663E-2</v>
      </c>
      <c r="J30" s="11">
        <v>12</v>
      </c>
      <c r="K30" s="11" t="s">
        <v>42</v>
      </c>
      <c r="L30" s="16" t="str">
        <f t="shared" si="4"/>
        <v>0</v>
      </c>
      <c r="M30" s="11"/>
      <c r="N30" s="11"/>
      <c r="O30" s="11"/>
      <c r="P30" s="11"/>
      <c r="Q30" s="11"/>
      <c r="R30" s="12"/>
      <c r="S30" s="12"/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4"/>
      <c r="D31" s="6" t="s">
        <v>2769</v>
      </c>
      <c r="E31" s="7" t="s">
        <v>312</v>
      </c>
      <c r="F31" s="8"/>
      <c r="G31" s="9">
        <v>0.54166666666666663</v>
      </c>
      <c r="H31" s="9">
        <v>0.70833333333333337</v>
      </c>
      <c r="I31" s="10">
        <f t="shared" si="3"/>
        <v>0.16666666666666674</v>
      </c>
      <c r="J31" s="11">
        <v>12</v>
      </c>
      <c r="K31" s="11">
        <f>215*5</f>
        <v>1075</v>
      </c>
      <c r="L31" s="16">
        <f t="shared" si="4"/>
        <v>22.395833333333325</v>
      </c>
      <c r="M31" s="11"/>
      <c r="N31" s="11"/>
      <c r="O31" s="11"/>
      <c r="P31" s="11"/>
      <c r="Q31" s="11"/>
      <c r="R31" s="12"/>
      <c r="S31" s="12">
        <v>240</v>
      </c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5.05" customHeight="1">
      <c r="B32" s="13"/>
      <c r="C32" s="14"/>
      <c r="D32" s="6"/>
      <c r="E32" s="15" t="s">
        <v>96</v>
      </c>
      <c r="F32" s="8"/>
      <c r="G32" s="9">
        <v>0.70833333333333337</v>
      </c>
      <c r="H32" s="9">
        <v>0.75</v>
      </c>
      <c r="I32" s="10">
        <f t="shared" si="3"/>
        <v>4.166666666666663E-2</v>
      </c>
      <c r="J32" s="11">
        <v>12</v>
      </c>
      <c r="K32" s="11" t="s">
        <v>42</v>
      </c>
      <c r="L32" s="16" t="str">
        <f t="shared" si="4"/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25.05" customHeight="1">
      <c r="B33" s="13"/>
      <c r="C33" s="14"/>
      <c r="D33" s="18"/>
      <c r="E33" s="6"/>
      <c r="F33" s="14"/>
      <c r="G33" s="9"/>
      <c r="H33" s="9"/>
      <c r="I33" s="10">
        <f t="shared" si="3"/>
        <v>0</v>
      </c>
      <c r="J33" s="11"/>
      <c r="K33" s="11"/>
      <c r="L33" s="16" t="str">
        <f t="shared" si="4"/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s="28" customFormat="1" ht="25.05" customHeight="1">
      <c r="A34" s="2"/>
      <c r="B34" s="21"/>
      <c r="C34" s="22"/>
      <c r="D34" s="23"/>
      <c r="E34" s="24"/>
      <c r="F34" s="22"/>
      <c r="G34" s="25"/>
      <c r="H34" s="25"/>
      <c r="I34" s="26"/>
      <c r="J34" s="27"/>
      <c r="K34" s="27">
        <f t="shared" ref="K34:AL34" si="5">SUM(K28:K33)</f>
        <v>1935</v>
      </c>
      <c r="L34" s="27">
        <f t="shared" si="5"/>
        <v>42.872023809523803</v>
      </c>
      <c r="M34" s="27">
        <f t="shared" si="5"/>
        <v>0</v>
      </c>
      <c r="N34" s="27">
        <f t="shared" si="5"/>
        <v>0</v>
      </c>
      <c r="O34" s="27">
        <f t="shared" si="5"/>
        <v>0</v>
      </c>
      <c r="P34" s="27">
        <f t="shared" si="5"/>
        <v>0</v>
      </c>
      <c r="Q34" s="27">
        <f t="shared" si="5"/>
        <v>0</v>
      </c>
      <c r="R34" s="27">
        <f t="shared" si="5"/>
        <v>0</v>
      </c>
      <c r="S34" s="27">
        <f t="shared" si="5"/>
        <v>450</v>
      </c>
      <c r="T34" s="27">
        <f t="shared" si="5"/>
        <v>0</v>
      </c>
      <c r="U34" s="27">
        <f t="shared" si="5"/>
        <v>0</v>
      </c>
      <c r="V34" s="27">
        <f t="shared" si="5"/>
        <v>0</v>
      </c>
      <c r="W34" s="27">
        <f t="shared" si="5"/>
        <v>0</v>
      </c>
      <c r="X34" s="27">
        <f t="shared" si="5"/>
        <v>0</v>
      </c>
      <c r="Y34" s="27">
        <f t="shared" si="5"/>
        <v>0</v>
      </c>
      <c r="Z34" s="27">
        <f t="shared" si="5"/>
        <v>0</v>
      </c>
      <c r="AA34" s="27">
        <f t="shared" si="5"/>
        <v>0</v>
      </c>
      <c r="AB34" s="27">
        <f t="shared" si="5"/>
        <v>0</v>
      </c>
      <c r="AC34" s="27">
        <f t="shared" si="5"/>
        <v>0</v>
      </c>
      <c r="AD34" s="27">
        <f t="shared" si="5"/>
        <v>0</v>
      </c>
      <c r="AE34" s="27">
        <f t="shared" si="5"/>
        <v>0</v>
      </c>
      <c r="AF34" s="27">
        <f t="shared" si="5"/>
        <v>0</v>
      </c>
      <c r="AG34" s="27">
        <f t="shared" si="5"/>
        <v>0</v>
      </c>
      <c r="AH34" s="27">
        <f t="shared" si="5"/>
        <v>0</v>
      </c>
      <c r="AI34" s="27">
        <f t="shared" si="5"/>
        <v>0</v>
      </c>
      <c r="AJ34" s="27">
        <f t="shared" si="5"/>
        <v>0</v>
      </c>
      <c r="AK34" s="27">
        <f t="shared" si="5"/>
        <v>0</v>
      </c>
      <c r="AL34" s="27">
        <f t="shared" si="5"/>
        <v>0</v>
      </c>
    </row>
    <row r="35" spans="1:38" ht="25.05" customHeight="1">
      <c r="B35" s="5" t="s">
        <v>2768</v>
      </c>
      <c r="C35" s="29" t="s">
        <v>44</v>
      </c>
      <c r="D35" s="30"/>
      <c r="E35" s="7" t="s">
        <v>41</v>
      </c>
      <c r="F35" s="8" t="s">
        <v>42</v>
      </c>
      <c r="G35" s="9">
        <v>0.29166666666666669</v>
      </c>
      <c r="H35" s="9">
        <v>0.33333333333333331</v>
      </c>
      <c r="I35" s="10">
        <f t="shared" ref="I35:I65" si="6">H35-G35</f>
        <v>4.166666666666663E-2</v>
      </c>
      <c r="J35" s="11">
        <v>5</v>
      </c>
      <c r="K35" s="62" t="s">
        <v>42</v>
      </c>
      <c r="L35" s="64" t="s">
        <v>42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1:38" ht="25.05" customHeight="1">
      <c r="B36" s="13"/>
      <c r="C36" s="29"/>
      <c r="D36" s="6" t="s">
        <v>2783</v>
      </c>
      <c r="E36" s="19" t="s">
        <v>324</v>
      </c>
      <c r="F36" s="8" t="s">
        <v>42</v>
      </c>
      <c r="G36" s="9">
        <v>0.32361111111111113</v>
      </c>
      <c r="H36" s="9">
        <v>0.3263888888888889</v>
      </c>
      <c r="I36" s="10">
        <f t="shared" si="6"/>
        <v>2.7777777777777679E-3</v>
      </c>
      <c r="J36" s="11">
        <v>8</v>
      </c>
      <c r="K36" s="11">
        <v>42.61</v>
      </c>
      <c r="L36" s="16">
        <f t="shared" ref="L36:L68" si="7">IFERROR(((K36/(J36*I36)/24)),"0")</f>
        <v>79.893750000000281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3</v>
      </c>
      <c r="W36" s="12"/>
      <c r="X36" s="11"/>
      <c r="Y36" s="11"/>
      <c r="Z36" s="11"/>
      <c r="AA36" s="11"/>
      <c r="AB36" s="11">
        <v>4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1:38" ht="25.05" customHeight="1">
      <c r="B37" s="13"/>
      <c r="C37" s="29"/>
      <c r="D37" s="30"/>
      <c r="E37" s="19" t="s">
        <v>325</v>
      </c>
      <c r="F37" s="8" t="s">
        <v>42</v>
      </c>
      <c r="G37" s="9">
        <v>0.33194444444444443</v>
      </c>
      <c r="H37" s="9">
        <v>0.3347222222222222</v>
      </c>
      <c r="I37" s="10">
        <f t="shared" si="6"/>
        <v>2.7777777777777679E-3</v>
      </c>
      <c r="J37" s="11">
        <v>8</v>
      </c>
      <c r="K37" s="11">
        <v>39.32</v>
      </c>
      <c r="L37" s="16">
        <f t="shared" si="7"/>
        <v>73.725000000000264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3</v>
      </c>
      <c r="X37" s="11"/>
      <c r="Y37" s="11"/>
      <c r="Z37" s="11"/>
      <c r="AA37" s="11"/>
      <c r="AB37" s="11"/>
      <c r="AC37" s="11"/>
      <c r="AD37" s="11">
        <v>4</v>
      </c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/>
      <c r="E38" s="19" t="s">
        <v>327</v>
      </c>
      <c r="F38" s="8" t="s">
        <v>42</v>
      </c>
      <c r="G38" s="9">
        <v>0.34166666666666667</v>
      </c>
      <c r="H38" s="9">
        <v>0.34444444444444444</v>
      </c>
      <c r="I38" s="10">
        <f t="shared" si="6"/>
        <v>2.7777777777777679E-3</v>
      </c>
      <c r="J38" s="11">
        <v>8</v>
      </c>
      <c r="K38" s="11">
        <v>40.5</v>
      </c>
      <c r="L38" s="16">
        <f t="shared" si="7"/>
        <v>75.93750000000027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3</v>
      </c>
      <c r="X38" s="11"/>
      <c r="Y38" s="11"/>
      <c r="Z38" s="11"/>
      <c r="AA38" s="11"/>
      <c r="AB38" s="11">
        <v>4</v>
      </c>
      <c r="AC38" s="11"/>
      <c r="AD38" s="11"/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 t="s">
        <v>328</v>
      </c>
      <c r="F39" s="8" t="s">
        <v>42</v>
      </c>
      <c r="G39" s="9">
        <v>0.34652777777777777</v>
      </c>
      <c r="H39" s="9">
        <v>0.34930555555555554</v>
      </c>
      <c r="I39" s="10">
        <f t="shared" si="6"/>
        <v>2.7777777777777679E-3</v>
      </c>
      <c r="J39" s="11">
        <v>8</v>
      </c>
      <c r="K39" s="11">
        <v>41.09</v>
      </c>
      <c r="L39" s="16">
        <f t="shared" si="7"/>
        <v>77.043750000000287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3</v>
      </c>
      <c r="W39" s="12"/>
      <c r="X39" s="11"/>
      <c r="Y39" s="11"/>
      <c r="Z39" s="11"/>
      <c r="AA39" s="11"/>
      <c r="AB39" s="11"/>
      <c r="AC39" s="11"/>
      <c r="AD39" s="11">
        <v>4</v>
      </c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 t="s">
        <v>330</v>
      </c>
      <c r="F40" s="8" t="s">
        <v>42</v>
      </c>
      <c r="G40" s="9">
        <v>0.35138888888888886</v>
      </c>
      <c r="H40" s="9">
        <v>0.35416666666666669</v>
      </c>
      <c r="I40" s="10">
        <f t="shared" si="6"/>
        <v>2.7777777777778234E-3</v>
      </c>
      <c r="J40" s="11">
        <v>8</v>
      </c>
      <c r="K40" s="11">
        <v>41.01</v>
      </c>
      <c r="L40" s="16">
        <f t="shared" si="7"/>
        <v>76.893749999998732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3</v>
      </c>
      <c r="W40" s="12"/>
      <c r="X40" s="11"/>
      <c r="Y40" s="11"/>
      <c r="Z40" s="11"/>
      <c r="AA40" s="11"/>
      <c r="AB40" s="11">
        <v>4</v>
      </c>
      <c r="AC40" s="11"/>
      <c r="AD40" s="11"/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331</v>
      </c>
      <c r="F41" s="8" t="s">
        <v>42</v>
      </c>
      <c r="G41" s="9">
        <v>0.35694444444444445</v>
      </c>
      <c r="H41" s="9">
        <v>0.35972222222222222</v>
      </c>
      <c r="I41" s="10">
        <f t="shared" si="6"/>
        <v>2.7777777777777679E-3</v>
      </c>
      <c r="J41" s="11">
        <v>8</v>
      </c>
      <c r="K41" s="11">
        <v>41.12</v>
      </c>
      <c r="L41" s="16">
        <f t="shared" si="7"/>
        <v>77.100000000000264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3</v>
      </c>
      <c r="W41" s="12"/>
      <c r="X41" s="11"/>
      <c r="Y41" s="11"/>
      <c r="Z41" s="11"/>
      <c r="AA41" s="11"/>
      <c r="AB41" s="11"/>
      <c r="AC41" s="11"/>
      <c r="AD41" s="11">
        <v>4</v>
      </c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333</v>
      </c>
      <c r="F42" s="8" t="s">
        <v>42</v>
      </c>
      <c r="G42" s="9">
        <v>0.3611111111111111</v>
      </c>
      <c r="H42" s="9">
        <v>0.36388888888888887</v>
      </c>
      <c r="I42" s="10">
        <f t="shared" si="6"/>
        <v>2.7777777777777679E-3</v>
      </c>
      <c r="J42" s="11">
        <v>8</v>
      </c>
      <c r="K42" s="11">
        <v>40.200000000000003</v>
      </c>
      <c r="L42" s="16">
        <f t="shared" si="7"/>
        <v>75.37500000000027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3</v>
      </c>
      <c r="W42" s="12"/>
      <c r="X42" s="11"/>
      <c r="Y42" s="11"/>
      <c r="Z42" s="11"/>
      <c r="AA42" s="11"/>
      <c r="AB42" s="11">
        <v>4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 t="s">
        <v>334</v>
      </c>
      <c r="F43" s="8" t="s">
        <v>42</v>
      </c>
      <c r="G43" s="9">
        <v>0.3659722222222222</v>
      </c>
      <c r="H43" s="9">
        <v>0.36875000000000002</v>
      </c>
      <c r="I43" s="10">
        <f t="shared" si="6"/>
        <v>2.7777777777778234E-3</v>
      </c>
      <c r="J43" s="11">
        <v>8</v>
      </c>
      <c r="K43" s="11">
        <v>41.49</v>
      </c>
      <c r="L43" s="16">
        <f t="shared" si="7"/>
        <v>77.793749999998724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3</v>
      </c>
      <c r="X43" s="11"/>
      <c r="Y43" s="11"/>
      <c r="Z43" s="11"/>
      <c r="AA43" s="11"/>
      <c r="AB43" s="11"/>
      <c r="AC43" s="11"/>
      <c r="AD43" s="11">
        <v>4</v>
      </c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336</v>
      </c>
      <c r="F44" s="8" t="s">
        <v>42</v>
      </c>
      <c r="G44" s="9">
        <v>0.37222222222222223</v>
      </c>
      <c r="H44" s="9">
        <v>0.375</v>
      </c>
      <c r="I44" s="10">
        <f t="shared" si="6"/>
        <v>2.7777777777777679E-3</v>
      </c>
      <c r="J44" s="11">
        <v>8</v>
      </c>
      <c r="K44" s="11">
        <v>40.29</v>
      </c>
      <c r="L44" s="16">
        <f t="shared" si="7"/>
        <v>75.543750000000259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3</v>
      </c>
      <c r="X44" s="11"/>
      <c r="Y44" s="11"/>
      <c r="Z44" s="11"/>
      <c r="AA44" s="11"/>
      <c r="AB44" s="11">
        <v>4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337</v>
      </c>
      <c r="F45" s="8" t="s">
        <v>42</v>
      </c>
      <c r="G45" s="9">
        <v>0.37638888888888888</v>
      </c>
      <c r="H45" s="9">
        <v>0.37916666666666665</v>
      </c>
      <c r="I45" s="10">
        <f t="shared" si="6"/>
        <v>2.7777777777777679E-3</v>
      </c>
      <c r="J45" s="11">
        <v>8</v>
      </c>
      <c r="K45" s="11">
        <v>39.93</v>
      </c>
      <c r="L45" s="16">
        <f t="shared" si="7"/>
        <v>74.868750000000261</v>
      </c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>
        <v>3</v>
      </c>
      <c r="X45" s="11"/>
      <c r="Y45" s="11"/>
      <c r="Z45" s="11"/>
      <c r="AA45" s="11"/>
      <c r="AB45" s="11"/>
      <c r="AC45" s="11"/>
      <c r="AD45" s="11">
        <v>4</v>
      </c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339</v>
      </c>
      <c r="F46" s="8" t="s">
        <v>42</v>
      </c>
      <c r="G46" s="9">
        <v>0.38124999999999998</v>
      </c>
      <c r="H46" s="9">
        <v>0.3840277777777778</v>
      </c>
      <c r="I46" s="10">
        <f t="shared" si="6"/>
        <v>2.7777777777778234E-3</v>
      </c>
      <c r="J46" s="11">
        <v>8</v>
      </c>
      <c r="K46" s="11">
        <v>40.28</v>
      </c>
      <c r="L46" s="16">
        <f t="shared" si="7"/>
        <v>75.524999999998769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3</v>
      </c>
      <c r="W46" s="12"/>
      <c r="X46" s="11"/>
      <c r="Y46" s="11"/>
      <c r="Z46" s="11"/>
      <c r="AA46" s="11"/>
      <c r="AB46" s="11">
        <v>4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 t="s">
        <v>340</v>
      </c>
      <c r="F47" s="8" t="s">
        <v>42</v>
      </c>
      <c r="G47" s="9">
        <v>0.39027777777777778</v>
      </c>
      <c r="H47" s="9">
        <v>0.39305555555555555</v>
      </c>
      <c r="I47" s="10">
        <f t="shared" si="6"/>
        <v>2.7777777777777679E-3</v>
      </c>
      <c r="J47" s="11">
        <v>8</v>
      </c>
      <c r="K47" s="11">
        <v>39.96</v>
      </c>
      <c r="L47" s="16">
        <f t="shared" si="7"/>
        <v>74.925000000000267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3</v>
      </c>
      <c r="X47" s="11"/>
      <c r="Y47" s="11"/>
      <c r="Z47" s="11"/>
      <c r="AA47" s="11"/>
      <c r="AB47" s="11">
        <v>4</v>
      </c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 t="s">
        <v>342</v>
      </c>
      <c r="F48" s="8" t="s">
        <v>42</v>
      </c>
      <c r="G48" s="9">
        <v>0.39444444444444443</v>
      </c>
      <c r="H48" s="9">
        <v>0.3972222222222222</v>
      </c>
      <c r="I48" s="10">
        <f t="shared" si="6"/>
        <v>2.7777777777777679E-3</v>
      </c>
      <c r="J48" s="11">
        <v>8</v>
      </c>
      <c r="K48" s="11">
        <v>39.89</v>
      </c>
      <c r="L48" s="16">
        <f t="shared" si="7"/>
        <v>74.793750000000259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3</v>
      </c>
      <c r="W48" s="12"/>
      <c r="X48" s="11"/>
      <c r="Y48" s="11"/>
      <c r="Z48" s="11"/>
      <c r="AA48" s="11"/>
      <c r="AB48" s="11"/>
      <c r="AC48" s="11"/>
      <c r="AD48" s="11">
        <v>4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343</v>
      </c>
      <c r="F49" s="8" t="s">
        <v>42</v>
      </c>
      <c r="G49" s="9">
        <v>0.39930555555555558</v>
      </c>
      <c r="H49" s="9">
        <v>0.40208333333333335</v>
      </c>
      <c r="I49" s="10">
        <f t="shared" si="6"/>
        <v>2.7777777777777679E-3</v>
      </c>
      <c r="J49" s="11">
        <v>8</v>
      </c>
      <c r="K49" s="11">
        <v>39.869999999999997</v>
      </c>
      <c r="L49" s="16">
        <f t="shared" si="7"/>
        <v>74.756250000000264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3</v>
      </c>
      <c r="X49" s="11"/>
      <c r="Y49" s="11"/>
      <c r="Z49" s="11"/>
      <c r="AA49" s="11"/>
      <c r="AB49" s="11">
        <v>4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345</v>
      </c>
      <c r="F50" s="8" t="s">
        <v>42</v>
      </c>
      <c r="G50" s="9">
        <v>0.40416666666666667</v>
      </c>
      <c r="H50" s="9">
        <v>0.40763888888888888</v>
      </c>
      <c r="I50" s="10">
        <f t="shared" si="6"/>
        <v>3.4722222222222099E-3</v>
      </c>
      <c r="J50" s="11">
        <v>8</v>
      </c>
      <c r="K50" s="11">
        <v>40.4</v>
      </c>
      <c r="L50" s="16">
        <f t="shared" si="7"/>
        <v>60.600000000000215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3</v>
      </c>
      <c r="W50" s="12"/>
      <c r="X50" s="11"/>
      <c r="Y50" s="11"/>
      <c r="Z50" s="11"/>
      <c r="AA50" s="11"/>
      <c r="AB50" s="11"/>
      <c r="AC50" s="11"/>
      <c r="AD50" s="11">
        <v>4</v>
      </c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346</v>
      </c>
      <c r="F51" s="8" t="s">
        <v>42</v>
      </c>
      <c r="G51" s="9">
        <v>0.40972222222222221</v>
      </c>
      <c r="H51" s="9">
        <v>0.41249999999999998</v>
      </c>
      <c r="I51" s="10">
        <f t="shared" si="6"/>
        <v>2.7777777777777679E-3</v>
      </c>
      <c r="J51" s="11">
        <v>8</v>
      </c>
      <c r="K51" s="11">
        <v>39.979999999999997</v>
      </c>
      <c r="L51" s="16">
        <f t="shared" si="7"/>
        <v>74.962500000000261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3</v>
      </c>
      <c r="X51" s="11"/>
      <c r="Y51" s="11"/>
      <c r="Z51" s="11"/>
      <c r="AA51" s="11"/>
      <c r="AB51" s="11">
        <v>4</v>
      </c>
      <c r="AC51" s="11"/>
      <c r="AD51" s="11"/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348</v>
      </c>
      <c r="F52" s="8" t="s">
        <v>42</v>
      </c>
      <c r="G52" s="9">
        <v>0.41249999999999998</v>
      </c>
      <c r="H52" s="9">
        <v>0.4152777777777778</v>
      </c>
      <c r="I52" s="10">
        <f t="shared" si="6"/>
        <v>2.7777777777778234E-3</v>
      </c>
      <c r="J52" s="11">
        <v>8</v>
      </c>
      <c r="K52" s="11">
        <v>40.770000000000003</v>
      </c>
      <c r="L52" s="16">
        <f t="shared" si="7"/>
        <v>76.443749999998758</v>
      </c>
      <c r="M52" s="11"/>
      <c r="N52" s="11"/>
      <c r="O52" s="11"/>
      <c r="P52" s="11"/>
      <c r="Q52" s="11"/>
      <c r="R52" s="12"/>
      <c r="S52" s="12"/>
      <c r="T52" s="11"/>
      <c r="U52" s="11"/>
      <c r="V52" s="12"/>
      <c r="W52" s="12">
        <v>3</v>
      </c>
      <c r="X52" s="11"/>
      <c r="Y52" s="11"/>
      <c r="Z52" s="11"/>
      <c r="AA52" s="11"/>
      <c r="AB52" s="11"/>
      <c r="AC52" s="11"/>
      <c r="AD52" s="11">
        <v>4</v>
      </c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349</v>
      </c>
      <c r="F53" s="8" t="s">
        <v>42</v>
      </c>
      <c r="G53" s="9">
        <v>0.41666666666666669</v>
      </c>
      <c r="H53" s="9">
        <v>0.41944444444444445</v>
      </c>
      <c r="I53" s="10">
        <f t="shared" si="6"/>
        <v>2.7777777777777679E-3</v>
      </c>
      <c r="J53" s="11">
        <v>8</v>
      </c>
      <c r="K53" s="11">
        <v>40.17</v>
      </c>
      <c r="L53" s="16">
        <f t="shared" si="7"/>
        <v>75.318750000000264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3</v>
      </c>
      <c r="X53" s="11"/>
      <c r="Y53" s="11"/>
      <c r="Z53" s="11"/>
      <c r="AA53" s="11"/>
      <c r="AB53" s="11">
        <v>4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713</v>
      </c>
      <c r="F54" s="8" t="s">
        <v>42</v>
      </c>
      <c r="G54" s="9">
        <v>0.42152777777777778</v>
      </c>
      <c r="H54" s="9">
        <v>0.42430555555555555</v>
      </c>
      <c r="I54" s="10">
        <f t="shared" si="6"/>
        <v>2.7777777777777679E-3</v>
      </c>
      <c r="J54" s="11">
        <v>8</v>
      </c>
      <c r="K54" s="11">
        <v>40.369999999999997</v>
      </c>
      <c r="L54" s="16">
        <f t="shared" si="7"/>
        <v>75.693750000000264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3</v>
      </c>
      <c r="W54" s="12"/>
      <c r="X54" s="11"/>
      <c r="Y54" s="11"/>
      <c r="Z54" s="11"/>
      <c r="AA54" s="11"/>
      <c r="AB54" s="11"/>
      <c r="AC54" s="11"/>
      <c r="AD54" s="11">
        <v>4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714</v>
      </c>
      <c r="F55" s="8" t="s">
        <v>42</v>
      </c>
      <c r="G55" s="9">
        <v>0.42916666666666664</v>
      </c>
      <c r="H55" s="9">
        <v>0.43194444444444446</v>
      </c>
      <c r="I55" s="10">
        <f t="shared" si="6"/>
        <v>2.7777777777778234E-3</v>
      </c>
      <c r="J55" s="11">
        <v>8</v>
      </c>
      <c r="K55" s="11">
        <v>41.21</v>
      </c>
      <c r="L55" s="16">
        <f t="shared" si="7"/>
        <v>77.268749999998732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3</v>
      </c>
      <c r="W55" s="12"/>
      <c r="X55" s="11"/>
      <c r="Y55" s="11"/>
      <c r="Z55" s="11"/>
      <c r="AA55" s="11"/>
      <c r="AB55" s="11">
        <v>4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715</v>
      </c>
      <c r="F56" s="8" t="s">
        <v>42</v>
      </c>
      <c r="G56" s="9">
        <v>0.43402777777777779</v>
      </c>
      <c r="H56" s="9">
        <v>0.43680555555555556</v>
      </c>
      <c r="I56" s="10">
        <f t="shared" si="6"/>
        <v>2.7777777777777679E-3</v>
      </c>
      <c r="J56" s="11">
        <v>8</v>
      </c>
      <c r="K56" s="11">
        <v>39.979999999999997</v>
      </c>
      <c r="L56" s="16">
        <f t="shared" si="7"/>
        <v>74.962500000000261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3</v>
      </c>
      <c r="X56" s="11"/>
      <c r="Y56" s="11"/>
      <c r="Z56" s="11"/>
      <c r="AA56" s="11"/>
      <c r="AB56" s="11"/>
      <c r="AC56" s="11"/>
      <c r="AD56" s="11">
        <v>4</v>
      </c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716</v>
      </c>
      <c r="F57" s="8" t="s">
        <v>42</v>
      </c>
      <c r="G57" s="9">
        <v>0.43819444444444444</v>
      </c>
      <c r="H57" s="9">
        <v>0.44097222222222221</v>
      </c>
      <c r="I57" s="10">
        <f t="shared" si="6"/>
        <v>2.7777777777777679E-3</v>
      </c>
      <c r="J57" s="11">
        <v>8</v>
      </c>
      <c r="K57" s="11">
        <v>40.03</v>
      </c>
      <c r="L57" s="16">
        <f t="shared" si="7"/>
        <v>75.056250000000276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3</v>
      </c>
      <c r="X57" s="11"/>
      <c r="Y57" s="11"/>
      <c r="Z57" s="11"/>
      <c r="AA57" s="11"/>
      <c r="AB57" s="11">
        <v>4</v>
      </c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717</v>
      </c>
      <c r="F58" s="8" t="s">
        <v>42</v>
      </c>
      <c r="G58" s="9">
        <v>0.44583333333333336</v>
      </c>
      <c r="H58" s="9">
        <v>0.44861111111111113</v>
      </c>
      <c r="I58" s="10">
        <f t="shared" si="6"/>
        <v>2.7777777777777679E-3</v>
      </c>
      <c r="J58" s="11">
        <v>8</v>
      </c>
      <c r="K58" s="11">
        <v>40.07</v>
      </c>
      <c r="L58" s="16">
        <f t="shared" si="7"/>
        <v>75.131250000000264</v>
      </c>
      <c r="M58" s="11"/>
      <c r="N58" s="11"/>
      <c r="O58" s="11"/>
      <c r="P58" s="11"/>
      <c r="Q58" s="11"/>
      <c r="R58" s="12"/>
      <c r="S58" s="12"/>
      <c r="T58" s="11"/>
      <c r="U58" s="11"/>
      <c r="V58" s="12"/>
      <c r="W58" s="12">
        <v>3</v>
      </c>
      <c r="X58" s="11"/>
      <c r="Y58" s="11"/>
      <c r="Z58" s="11"/>
      <c r="AA58" s="11"/>
      <c r="AB58" s="11">
        <v>4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718</v>
      </c>
      <c r="F59" s="8" t="s">
        <v>42</v>
      </c>
      <c r="G59" s="9">
        <v>0.45694444444444443</v>
      </c>
      <c r="H59" s="9">
        <v>0.45902777777777776</v>
      </c>
      <c r="I59" s="10">
        <f t="shared" si="6"/>
        <v>2.0833333333333259E-3</v>
      </c>
      <c r="J59" s="11">
        <v>8</v>
      </c>
      <c r="K59" s="11">
        <v>40.659999999999997</v>
      </c>
      <c r="L59" s="16">
        <f t="shared" si="7"/>
        <v>101.65000000000036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3</v>
      </c>
      <c r="X59" s="11"/>
      <c r="Y59" s="11"/>
      <c r="Z59" s="11"/>
      <c r="AA59" s="11"/>
      <c r="AB59" s="11">
        <v>4</v>
      </c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2784</v>
      </c>
      <c r="F60" s="8" t="s">
        <v>42</v>
      </c>
      <c r="G60" s="9">
        <v>0.37847222222222221</v>
      </c>
      <c r="H60" s="9">
        <v>0.38541666666666669</v>
      </c>
      <c r="I60" s="10">
        <f t="shared" si="6"/>
        <v>6.9444444444444753E-3</v>
      </c>
      <c r="J60" s="11">
        <v>1</v>
      </c>
      <c r="K60" s="11">
        <v>13.5</v>
      </c>
      <c r="L60" s="16">
        <f t="shared" si="7"/>
        <v>80.999999999999645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/>
      <c r="F61" s="8"/>
      <c r="G61" s="9"/>
      <c r="H61" s="9"/>
      <c r="I61" s="10"/>
      <c r="J61" s="11"/>
      <c r="K61" s="11"/>
      <c r="L61" s="16"/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6" t="s">
        <v>1669</v>
      </c>
      <c r="E62" s="19" t="s">
        <v>1683</v>
      </c>
      <c r="F62" s="8" t="s">
        <v>42</v>
      </c>
      <c r="G62" s="9">
        <v>0.48402777777777778</v>
      </c>
      <c r="H62" s="9">
        <v>0.48420138888888886</v>
      </c>
      <c r="I62" s="10">
        <f t="shared" si="6"/>
        <v>1.7361111111108274E-4</v>
      </c>
      <c r="J62" s="11">
        <v>5</v>
      </c>
      <c r="K62" s="11">
        <v>58.89</v>
      </c>
      <c r="L62" s="16">
        <f t="shared" si="7"/>
        <v>2826.7200000004618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/>
      <c r="AA62" s="11"/>
      <c r="AB62" s="11"/>
      <c r="AC62" s="11">
        <v>1</v>
      </c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1684</v>
      </c>
      <c r="F63" s="8" t="s">
        <v>42</v>
      </c>
      <c r="G63" s="9">
        <v>0.4909722222222222</v>
      </c>
      <c r="H63" s="9">
        <v>0.49114583333333334</v>
      </c>
      <c r="I63" s="10">
        <f t="shared" si="6"/>
        <v>1.7361111111113825E-4</v>
      </c>
      <c r="J63" s="11">
        <v>5</v>
      </c>
      <c r="K63" s="11">
        <v>60.38</v>
      </c>
      <c r="L63" s="16">
        <f t="shared" si="7"/>
        <v>2898.2399999995469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/>
      <c r="AC63" s="11">
        <v>1</v>
      </c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1685</v>
      </c>
      <c r="F64" s="8" t="s">
        <v>42</v>
      </c>
      <c r="G64" s="9">
        <v>0.49166666666666664</v>
      </c>
      <c r="H64" s="9">
        <v>0.49184027777777778</v>
      </c>
      <c r="I64" s="10">
        <f t="shared" si="6"/>
        <v>1.7361111111113825E-4</v>
      </c>
      <c r="J64" s="11">
        <v>5</v>
      </c>
      <c r="K64" s="11">
        <v>57.74</v>
      </c>
      <c r="L64" s="16">
        <f t="shared" si="7"/>
        <v>2771.5199999995671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/>
      <c r="Z64" s="11"/>
      <c r="AA64" s="11"/>
      <c r="AB64" s="11"/>
      <c r="AC64" s="11">
        <v>1</v>
      </c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1686</v>
      </c>
      <c r="F65" s="8" t="s">
        <v>42</v>
      </c>
      <c r="G65" s="9">
        <v>0.49583333333333335</v>
      </c>
      <c r="H65" s="9">
        <v>0.49600694444444443</v>
      </c>
      <c r="I65" s="10">
        <f t="shared" si="6"/>
        <v>1.7361111111108274E-4</v>
      </c>
      <c r="J65" s="11">
        <v>5</v>
      </c>
      <c r="K65" s="11">
        <v>57.27</v>
      </c>
      <c r="L65" s="16">
        <f t="shared" si="7"/>
        <v>2748.9600000004498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/>
      <c r="AC65" s="11">
        <v>1</v>
      </c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1687</v>
      </c>
      <c r="F66" s="8" t="s">
        <v>42</v>
      </c>
      <c r="G66" s="9">
        <v>0.55763888888888891</v>
      </c>
      <c r="H66" s="9">
        <v>0.55781250000000004</v>
      </c>
      <c r="I66" s="10">
        <f t="shared" ref="I66:I76" si="8">H66-G66</f>
        <v>1.7361111111113825E-4</v>
      </c>
      <c r="J66" s="11">
        <v>5</v>
      </c>
      <c r="K66" s="11">
        <v>59.89</v>
      </c>
      <c r="L66" s="16">
        <f t="shared" si="7"/>
        <v>2874.7199999995505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/>
      <c r="AA66" s="11"/>
      <c r="AB66" s="11"/>
      <c r="AC66" s="11">
        <v>1</v>
      </c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1688</v>
      </c>
      <c r="F67" s="8" t="s">
        <v>42</v>
      </c>
      <c r="G67" s="9">
        <v>0.56597222222222221</v>
      </c>
      <c r="H67" s="9">
        <v>0.56614583333333335</v>
      </c>
      <c r="I67" s="10">
        <f t="shared" si="8"/>
        <v>1.7361111111113825E-4</v>
      </c>
      <c r="J67" s="11">
        <v>5</v>
      </c>
      <c r="K67" s="11">
        <v>59.52</v>
      </c>
      <c r="L67" s="16">
        <f t="shared" si="7"/>
        <v>2856.9599999995535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/>
      <c r="AC67" s="11">
        <v>1</v>
      </c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1689</v>
      </c>
      <c r="F68" s="8" t="s">
        <v>42</v>
      </c>
      <c r="G68" s="9">
        <v>0.5708333333333333</v>
      </c>
      <c r="H68" s="9">
        <v>0.57100694444444444</v>
      </c>
      <c r="I68" s="10">
        <f t="shared" si="8"/>
        <v>1.7361111111113825E-4</v>
      </c>
      <c r="J68" s="11">
        <v>5</v>
      </c>
      <c r="K68" s="11">
        <v>60.64</v>
      </c>
      <c r="L68" s="16">
        <f t="shared" si="7"/>
        <v>2910.7199999995451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/>
      <c r="AA68" s="11"/>
      <c r="AB68" s="11"/>
      <c r="AC68" s="11">
        <v>1</v>
      </c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1691</v>
      </c>
      <c r="F69" s="8" t="s">
        <v>42</v>
      </c>
      <c r="G69" s="9">
        <v>0.37152777777777779</v>
      </c>
      <c r="H69" s="9">
        <v>0.37430555555555556</v>
      </c>
      <c r="I69" s="10">
        <f t="shared" si="8"/>
        <v>2.7777777777777679E-3</v>
      </c>
      <c r="J69" s="11">
        <v>4</v>
      </c>
      <c r="K69" s="11">
        <v>69.430000000000007</v>
      </c>
      <c r="L69" s="16">
        <f t="shared" ref="L69:L77" si="9">IFERROR(((K69/(J69*I69)/24)),"0")</f>
        <v>260.36250000000092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2</v>
      </c>
      <c r="X69" s="11"/>
      <c r="Y69" s="11"/>
      <c r="Z69" s="11"/>
      <c r="AA69" s="11"/>
      <c r="AB69" s="11"/>
      <c r="AC69" s="11">
        <v>4</v>
      </c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2785</v>
      </c>
      <c r="F70" s="8" t="s">
        <v>42</v>
      </c>
      <c r="G70" s="9">
        <v>0.37986111111111109</v>
      </c>
      <c r="H70" s="9">
        <v>0.38263888888888886</v>
      </c>
      <c r="I70" s="10">
        <f t="shared" si="8"/>
        <v>2.7777777777777679E-3</v>
      </c>
      <c r="J70" s="11">
        <v>4</v>
      </c>
      <c r="K70" s="11">
        <v>51.86</v>
      </c>
      <c r="L70" s="16">
        <f t="shared" si="9"/>
        <v>194.4750000000007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/>
      <c r="AA70" s="11"/>
      <c r="AB70" s="11"/>
      <c r="AC70" s="11">
        <v>4</v>
      </c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65"/>
      <c r="E71" s="17" t="s">
        <v>1693</v>
      </c>
      <c r="F71" s="8" t="s">
        <v>42</v>
      </c>
      <c r="G71" s="9">
        <v>0.36249999999999999</v>
      </c>
      <c r="H71" s="9">
        <v>0.36261574074074077</v>
      </c>
      <c r="I71" s="10">
        <f t="shared" si="8"/>
        <v>1.1574074074077734E-4</v>
      </c>
      <c r="J71" s="11">
        <v>4</v>
      </c>
      <c r="K71" s="11">
        <v>3.91</v>
      </c>
      <c r="L71" s="16">
        <f t="shared" si="9"/>
        <v>351.89999999988873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>
        <v>2</v>
      </c>
      <c r="X71" s="11"/>
      <c r="Y71" s="11"/>
      <c r="Z71" s="11"/>
      <c r="AA71" s="11"/>
      <c r="AB71" s="11"/>
      <c r="AC71" s="11">
        <v>1</v>
      </c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65"/>
      <c r="E72" s="17" t="s">
        <v>1694</v>
      </c>
      <c r="F72" s="8" t="s">
        <v>42</v>
      </c>
      <c r="G72" s="9">
        <v>0.36319444444444443</v>
      </c>
      <c r="H72" s="9">
        <v>0.36331018518518521</v>
      </c>
      <c r="I72" s="10">
        <f t="shared" si="8"/>
        <v>1.1574074074077734E-4</v>
      </c>
      <c r="J72" s="11">
        <v>4</v>
      </c>
      <c r="K72" s="11">
        <v>3.76</v>
      </c>
      <c r="L72" s="16">
        <f t="shared" si="9"/>
        <v>338.399999999893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/>
      <c r="Z72" s="11"/>
      <c r="AA72" s="11"/>
      <c r="AB72" s="11"/>
      <c r="AC72" s="11">
        <v>1</v>
      </c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65"/>
      <c r="E73" s="17" t="s">
        <v>1695</v>
      </c>
      <c r="F73" s="8" t="s">
        <v>42</v>
      </c>
      <c r="G73" s="9">
        <v>0.36388888888888898</v>
      </c>
      <c r="H73" s="9">
        <v>0.36400462962962965</v>
      </c>
      <c r="I73" s="10">
        <f t="shared" si="8"/>
        <v>1.1574074074066631E-4</v>
      </c>
      <c r="J73" s="11">
        <v>4</v>
      </c>
      <c r="K73" s="11">
        <v>4.1399999999999997</v>
      </c>
      <c r="L73" s="16">
        <f t="shared" si="9"/>
        <v>372.60000000023956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/>
      <c r="Y73" s="11"/>
      <c r="Z73" s="11"/>
      <c r="AA73" s="11"/>
      <c r="AB73" s="11"/>
      <c r="AC73" s="11">
        <v>1</v>
      </c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65"/>
      <c r="E74" s="17" t="s">
        <v>1696</v>
      </c>
      <c r="F74" s="8" t="s">
        <v>42</v>
      </c>
      <c r="G74" s="9">
        <v>0.36458333333333298</v>
      </c>
      <c r="H74" s="9">
        <v>0.36469907407407409</v>
      </c>
      <c r="I74" s="10">
        <f t="shared" si="8"/>
        <v>1.157407407411104E-4</v>
      </c>
      <c r="J74" s="11">
        <v>4</v>
      </c>
      <c r="K74" s="11">
        <v>4.47</v>
      </c>
      <c r="L74" s="16">
        <f t="shared" si="9"/>
        <v>402.29999999871507</v>
      </c>
      <c r="M74" s="11"/>
      <c r="N74" s="11"/>
      <c r="O74" s="11"/>
      <c r="P74" s="11"/>
      <c r="Q74" s="11"/>
      <c r="R74" s="12"/>
      <c r="S74" s="12"/>
      <c r="T74" s="11"/>
      <c r="U74" s="11"/>
      <c r="V74" s="12"/>
      <c r="W74" s="12">
        <v>2</v>
      </c>
      <c r="X74" s="11"/>
      <c r="Y74" s="11"/>
      <c r="Z74" s="11"/>
      <c r="AA74" s="11"/>
      <c r="AB74" s="11"/>
      <c r="AC74" s="11">
        <v>1</v>
      </c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65"/>
      <c r="E75" s="17" t="s">
        <v>1697</v>
      </c>
      <c r="F75" s="8" t="s">
        <v>42</v>
      </c>
      <c r="G75" s="9">
        <v>0.36527777777777798</v>
      </c>
      <c r="H75" s="9">
        <v>0.36539351851851853</v>
      </c>
      <c r="I75" s="10">
        <f t="shared" si="8"/>
        <v>1.1574074074055529E-4</v>
      </c>
      <c r="J75" s="11">
        <v>4</v>
      </c>
      <c r="K75" s="11">
        <v>3.94</v>
      </c>
      <c r="L75" s="16">
        <f t="shared" si="9"/>
        <v>354.60000000056817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/>
      <c r="Z75" s="11"/>
      <c r="AA75" s="11"/>
      <c r="AB75" s="11"/>
      <c r="AC75" s="11">
        <v>1</v>
      </c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65"/>
      <c r="E76" s="17" t="s">
        <v>1698</v>
      </c>
      <c r="F76" s="8" t="s">
        <v>42</v>
      </c>
      <c r="G76" s="9">
        <v>0.36597222222222198</v>
      </c>
      <c r="H76" s="9">
        <v>0.36608796296296298</v>
      </c>
      <c r="I76" s="10">
        <f t="shared" si="8"/>
        <v>1.1574074074099938E-4</v>
      </c>
      <c r="J76" s="11">
        <v>4</v>
      </c>
      <c r="K76" s="11">
        <v>4.13</v>
      </c>
      <c r="L76" s="16">
        <f t="shared" si="9"/>
        <v>371.69999999916939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/>
      <c r="AA76" s="11"/>
      <c r="AB76" s="11"/>
      <c r="AC76" s="11">
        <v>1</v>
      </c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65"/>
      <c r="E77" s="17" t="s">
        <v>1699</v>
      </c>
      <c r="F77" s="8" t="s">
        <v>42</v>
      </c>
      <c r="G77" s="9">
        <v>0.36666666666666697</v>
      </c>
      <c r="H77" s="9">
        <v>0.36678240740740742</v>
      </c>
      <c r="I77" s="10">
        <f t="shared" ref="I77:I91" si="10">H77-G77</f>
        <v>1.1574074074044427E-4</v>
      </c>
      <c r="J77" s="11">
        <v>4</v>
      </c>
      <c r="K77" s="11">
        <v>3.87</v>
      </c>
      <c r="L77" s="16">
        <f t="shared" si="9"/>
        <v>348.30000000089217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/>
      <c r="AA77" s="11"/>
      <c r="AB77" s="11"/>
      <c r="AC77" s="11">
        <v>1</v>
      </c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1701</v>
      </c>
      <c r="F78" s="8" t="s">
        <v>42</v>
      </c>
      <c r="G78" s="9">
        <v>0.39513888888888887</v>
      </c>
      <c r="H78" s="9">
        <v>0.40277777777777779</v>
      </c>
      <c r="I78" s="10">
        <f t="shared" si="10"/>
        <v>7.6388888888889173E-3</v>
      </c>
      <c r="J78" s="11">
        <v>4</v>
      </c>
      <c r="K78" s="11">
        <v>54.3</v>
      </c>
      <c r="L78" s="16">
        <f t="shared" ref="L78:L91" si="11">IFERROR(((K78/(J78*I78)/24)),"0")</f>
        <v>74.045454545454263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/>
      <c r="Z78" s="11"/>
      <c r="AA78" s="11"/>
      <c r="AB78" s="11"/>
      <c r="AC78" s="11">
        <v>11</v>
      </c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66" t="s">
        <v>1702</v>
      </c>
      <c r="F79" s="8" t="s">
        <v>42</v>
      </c>
      <c r="G79" s="9">
        <v>0.40763888888888888</v>
      </c>
      <c r="H79" s="9">
        <v>0.4152777777777778</v>
      </c>
      <c r="I79" s="10">
        <f t="shared" si="10"/>
        <v>7.6388888888889173E-3</v>
      </c>
      <c r="J79" s="11">
        <v>4</v>
      </c>
      <c r="K79" s="11">
        <v>53.85</v>
      </c>
      <c r="L79" s="16">
        <f t="shared" si="11"/>
        <v>73.431818181817917</v>
      </c>
      <c r="M79" s="11"/>
      <c r="N79" s="11"/>
      <c r="O79" s="11"/>
      <c r="P79" s="11"/>
      <c r="Q79" s="11"/>
      <c r="R79" s="12"/>
      <c r="S79" s="12"/>
      <c r="T79" s="11"/>
      <c r="U79" s="11"/>
      <c r="V79" s="12">
        <v>2</v>
      </c>
      <c r="W79" s="12"/>
      <c r="X79" s="11"/>
      <c r="Y79" s="11"/>
      <c r="Z79" s="11"/>
      <c r="AA79" s="11"/>
      <c r="AB79" s="11"/>
      <c r="AC79" s="11">
        <v>11</v>
      </c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66" t="s">
        <v>1703</v>
      </c>
      <c r="F80" s="8" t="s">
        <v>42</v>
      </c>
      <c r="G80" s="9">
        <v>0.4201388888888889</v>
      </c>
      <c r="H80" s="9">
        <v>0.42777777777777776</v>
      </c>
      <c r="I80" s="10">
        <f t="shared" si="10"/>
        <v>7.6388888888888618E-3</v>
      </c>
      <c r="J80" s="11">
        <v>4</v>
      </c>
      <c r="K80" s="11">
        <v>54.7</v>
      </c>
      <c r="L80" s="16">
        <f t="shared" si="11"/>
        <v>74.590909090909363</v>
      </c>
      <c r="M80" s="11"/>
      <c r="N80" s="11"/>
      <c r="O80" s="11"/>
      <c r="P80" s="11"/>
      <c r="Q80" s="11"/>
      <c r="R80" s="12"/>
      <c r="S80" s="12"/>
      <c r="T80" s="11"/>
      <c r="U80" s="11"/>
      <c r="V80" s="12"/>
      <c r="W80" s="12">
        <v>2</v>
      </c>
      <c r="X80" s="11"/>
      <c r="Y80" s="11"/>
      <c r="Z80" s="11"/>
      <c r="AA80" s="11"/>
      <c r="AB80" s="11"/>
      <c r="AC80" s="11">
        <v>11</v>
      </c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66" t="s">
        <v>1704</v>
      </c>
      <c r="F81" s="8" t="s">
        <v>42</v>
      </c>
      <c r="G81" s="9">
        <v>0.43333333333333335</v>
      </c>
      <c r="H81" s="9">
        <v>0.44166666666666665</v>
      </c>
      <c r="I81" s="10">
        <f t="shared" si="10"/>
        <v>8.3333333333333037E-3</v>
      </c>
      <c r="J81" s="11">
        <v>4</v>
      </c>
      <c r="K81" s="11">
        <v>54.71</v>
      </c>
      <c r="L81" s="16">
        <f t="shared" si="11"/>
        <v>68.387500000000244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/>
      <c r="Z81" s="11"/>
      <c r="AA81" s="11"/>
      <c r="AB81" s="11"/>
      <c r="AC81" s="11">
        <v>12</v>
      </c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66" t="s">
        <v>1705</v>
      </c>
      <c r="F82" s="8" t="s">
        <v>42</v>
      </c>
      <c r="G82" s="9">
        <v>0.44791666666666669</v>
      </c>
      <c r="H82" s="9">
        <v>0.45555555555555555</v>
      </c>
      <c r="I82" s="10">
        <f t="shared" si="10"/>
        <v>7.6388888888888618E-3</v>
      </c>
      <c r="J82" s="11">
        <v>4</v>
      </c>
      <c r="K82" s="11">
        <v>54.66</v>
      </c>
      <c r="L82" s="16">
        <f t="shared" si="11"/>
        <v>74.536363636363902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/>
      <c r="AB82" s="11"/>
      <c r="AC82" s="11">
        <v>11</v>
      </c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66" t="s">
        <v>1706</v>
      </c>
      <c r="F83" s="8" t="s">
        <v>42</v>
      </c>
      <c r="G83" s="9">
        <v>0.46180555555555558</v>
      </c>
      <c r="H83" s="9">
        <v>0.46736111111111112</v>
      </c>
      <c r="I83" s="10">
        <f t="shared" si="10"/>
        <v>5.5555555555555358E-3</v>
      </c>
      <c r="J83" s="11">
        <v>4</v>
      </c>
      <c r="K83" s="11">
        <v>54.69</v>
      </c>
      <c r="L83" s="16">
        <f t="shared" si="11"/>
        <v>102.54375000000037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/>
      <c r="AB83" s="11"/>
      <c r="AC83" s="11">
        <v>8</v>
      </c>
      <c r="AD83" s="11"/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66" t="s">
        <v>1707</v>
      </c>
      <c r="F84" s="8" t="s">
        <v>42</v>
      </c>
      <c r="G84" s="9">
        <v>0.47569444444444442</v>
      </c>
      <c r="H84" s="9">
        <v>0.4826388888888889</v>
      </c>
      <c r="I84" s="10">
        <f t="shared" si="10"/>
        <v>6.9444444444444753E-3</v>
      </c>
      <c r="J84" s="11">
        <v>4</v>
      </c>
      <c r="K84" s="11">
        <v>54.68</v>
      </c>
      <c r="L84" s="16">
        <f t="shared" si="11"/>
        <v>82.019999999999627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/>
      <c r="Y84" s="11"/>
      <c r="Z84" s="11"/>
      <c r="AA84" s="11"/>
      <c r="AB84" s="11"/>
      <c r="AC84" s="11">
        <v>10</v>
      </c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66" t="s">
        <v>2786</v>
      </c>
      <c r="F85" s="8" t="s">
        <v>42</v>
      </c>
      <c r="G85" s="9">
        <v>0.33819444444444446</v>
      </c>
      <c r="H85" s="9">
        <v>0.34166666666666667</v>
      </c>
      <c r="I85" s="10">
        <f t="shared" si="10"/>
        <v>3.4722222222222099E-3</v>
      </c>
      <c r="J85" s="11">
        <v>1</v>
      </c>
      <c r="K85" s="11" t="s">
        <v>42</v>
      </c>
      <c r="L85" s="16" t="str">
        <f t="shared" si="11"/>
        <v>0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5</v>
      </c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17" t="s">
        <v>2787</v>
      </c>
      <c r="F86" s="8" t="s">
        <v>42</v>
      </c>
      <c r="G86" s="9">
        <v>0.40347222222222223</v>
      </c>
      <c r="H86" s="9">
        <v>0.43472222222222223</v>
      </c>
      <c r="I86" s="10">
        <f t="shared" si="10"/>
        <v>3.125E-2</v>
      </c>
      <c r="J86" s="11">
        <v>4</v>
      </c>
      <c r="K86" s="11">
        <f>4.25*20</f>
        <v>85</v>
      </c>
      <c r="L86" s="16">
        <f t="shared" si="11"/>
        <v>28.333333333333332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>
        <v>45</v>
      </c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17" t="s">
        <v>2788</v>
      </c>
      <c r="F87" s="8" t="s">
        <v>42</v>
      </c>
      <c r="G87" s="9">
        <v>0.42708333333333331</v>
      </c>
      <c r="H87" s="9">
        <v>0.45833333333333331</v>
      </c>
      <c r="I87" s="10">
        <f t="shared" si="10"/>
        <v>3.125E-2</v>
      </c>
      <c r="J87" s="11">
        <v>4</v>
      </c>
      <c r="K87" s="11">
        <f>4.25*10</f>
        <v>42.5</v>
      </c>
      <c r="L87" s="16">
        <f t="shared" si="11"/>
        <v>14.166666666666666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>
        <v>45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17" t="s">
        <v>1709</v>
      </c>
      <c r="F88" s="8" t="s">
        <v>42</v>
      </c>
      <c r="G88" s="9">
        <v>0.42708333333333331</v>
      </c>
      <c r="H88" s="9">
        <v>0.45833333333333331</v>
      </c>
      <c r="I88" s="10">
        <f t="shared" si="10"/>
        <v>3.125E-2</v>
      </c>
      <c r="J88" s="11">
        <v>4</v>
      </c>
      <c r="K88" s="11">
        <f>4.25*10</f>
        <v>42.5</v>
      </c>
      <c r="L88" s="16">
        <f t="shared" si="11"/>
        <v>14.166666666666666</v>
      </c>
      <c r="M88" s="11"/>
      <c r="N88" s="11"/>
      <c r="O88" s="11"/>
      <c r="P88" s="11"/>
      <c r="Q88" s="11"/>
      <c r="R88" s="12"/>
      <c r="S88" s="12"/>
      <c r="T88" s="11"/>
      <c r="U88" s="11"/>
      <c r="V88" s="12"/>
      <c r="W88" s="12">
        <v>2</v>
      </c>
      <c r="X88" s="11"/>
      <c r="Y88" s="11"/>
      <c r="Z88" s="11">
        <v>45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7" t="s">
        <v>1710</v>
      </c>
      <c r="F89" s="8" t="s">
        <v>42</v>
      </c>
      <c r="G89" s="9">
        <v>0.43055555555555558</v>
      </c>
      <c r="H89" s="9">
        <v>0.46180555555555558</v>
      </c>
      <c r="I89" s="10">
        <f t="shared" si="10"/>
        <v>3.125E-2</v>
      </c>
      <c r="J89" s="11">
        <v>4</v>
      </c>
      <c r="K89" s="11">
        <f t="shared" ref="K89:K90" si="12">4.25*20</f>
        <v>85</v>
      </c>
      <c r="L89" s="16">
        <f t="shared" si="11"/>
        <v>28.333333333333332</v>
      </c>
      <c r="M89" s="11"/>
      <c r="N89" s="11"/>
      <c r="O89" s="11"/>
      <c r="P89" s="11"/>
      <c r="Q89" s="11"/>
      <c r="R89" s="12"/>
      <c r="S89" s="12"/>
      <c r="T89" s="11"/>
      <c r="U89" s="11"/>
      <c r="V89" s="12">
        <v>2</v>
      </c>
      <c r="W89" s="12"/>
      <c r="X89" s="11"/>
      <c r="Y89" s="11">
        <v>45</v>
      </c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7" t="s">
        <v>1711</v>
      </c>
      <c r="F90" s="8" t="s">
        <v>42</v>
      </c>
      <c r="G90" s="9">
        <v>0.44444444444444442</v>
      </c>
      <c r="H90" s="9">
        <v>0.47569444444444442</v>
      </c>
      <c r="I90" s="10">
        <f t="shared" si="10"/>
        <v>3.125E-2</v>
      </c>
      <c r="J90" s="11">
        <v>4</v>
      </c>
      <c r="K90" s="11">
        <f t="shared" si="12"/>
        <v>85</v>
      </c>
      <c r="L90" s="16">
        <f t="shared" si="11"/>
        <v>28.333333333333332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/>
      <c r="AA90" s="11">
        <v>45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7" t="s">
        <v>1712</v>
      </c>
      <c r="F91" s="8" t="s">
        <v>42</v>
      </c>
      <c r="G91" s="9">
        <v>0.4465277777777778</v>
      </c>
      <c r="H91" s="9">
        <v>0.4777777777777778</v>
      </c>
      <c r="I91" s="10">
        <f t="shared" si="10"/>
        <v>3.125E-2</v>
      </c>
      <c r="J91" s="11">
        <v>4</v>
      </c>
      <c r="K91" s="11">
        <f>4.25*10</f>
        <v>42.5</v>
      </c>
      <c r="L91" s="16">
        <f t="shared" si="11"/>
        <v>14.166666666666666</v>
      </c>
      <c r="M91" s="11"/>
      <c r="N91" s="11"/>
      <c r="O91" s="11"/>
      <c r="P91" s="11"/>
      <c r="Q91" s="11"/>
      <c r="R91" s="12"/>
      <c r="S91" s="12"/>
      <c r="T91" s="11"/>
      <c r="U91" s="11"/>
      <c r="V91" s="12">
        <v>2</v>
      </c>
      <c r="W91" s="12"/>
      <c r="X91" s="11">
        <v>45</v>
      </c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9"/>
      <c r="F92" s="8" t="s">
        <v>42</v>
      </c>
      <c r="G92" s="9"/>
      <c r="H92" s="9"/>
      <c r="I92" s="10">
        <f t="shared" ref="I92:I102" si="13">H92-G92</f>
        <v>0</v>
      </c>
      <c r="J92" s="11"/>
      <c r="K92" s="11"/>
      <c r="L92" s="16" t="str">
        <f t="shared" ref="L92:L95" si="14">IFERROR(((K92/(J92*I92)/24)),"0")</f>
        <v>0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6" t="s">
        <v>2770</v>
      </c>
      <c r="E93" s="19" t="s">
        <v>2789</v>
      </c>
      <c r="F93" s="8" t="s">
        <v>42</v>
      </c>
      <c r="G93" s="9">
        <v>0.57847222222222228</v>
      </c>
      <c r="H93" s="9">
        <v>0.59027777777777779</v>
      </c>
      <c r="I93" s="10">
        <f t="shared" si="13"/>
        <v>1.1805555555555514E-2</v>
      </c>
      <c r="J93" s="11">
        <v>4</v>
      </c>
      <c r="K93" s="11">
        <v>76.78</v>
      </c>
      <c r="L93" s="16">
        <f t="shared" si="14"/>
        <v>67.747058823529656</v>
      </c>
      <c r="M93" s="11"/>
      <c r="N93" s="11"/>
      <c r="O93" s="11"/>
      <c r="P93" s="11"/>
      <c r="Q93" s="11"/>
      <c r="R93" s="12"/>
      <c r="S93" s="12"/>
      <c r="T93" s="11"/>
      <c r="U93" s="11"/>
      <c r="V93" s="12">
        <v>2</v>
      </c>
      <c r="W93" s="12"/>
      <c r="X93" s="11"/>
      <c r="Y93" s="11"/>
      <c r="Z93" s="11"/>
      <c r="AA93" s="11"/>
      <c r="AB93" s="11"/>
      <c r="AC93" s="11"/>
      <c r="AD93" s="11">
        <v>17</v>
      </c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9" t="s">
        <v>2790</v>
      </c>
      <c r="F94" s="8" t="s">
        <v>42</v>
      </c>
      <c r="G94" s="9">
        <v>0.59722222222222221</v>
      </c>
      <c r="H94" s="9">
        <v>0.60763888888888884</v>
      </c>
      <c r="I94" s="10">
        <f t="shared" si="13"/>
        <v>1.041666666666663E-2</v>
      </c>
      <c r="J94" s="11">
        <v>4</v>
      </c>
      <c r="K94" s="11">
        <v>75.52</v>
      </c>
      <c r="L94" s="16">
        <f t="shared" si="14"/>
        <v>75.520000000000266</v>
      </c>
      <c r="M94" s="11"/>
      <c r="N94" s="11"/>
      <c r="O94" s="11"/>
      <c r="P94" s="11"/>
      <c r="Q94" s="11"/>
      <c r="R94" s="12"/>
      <c r="S94" s="12"/>
      <c r="T94" s="11"/>
      <c r="U94" s="11"/>
      <c r="V94" s="12">
        <v>2</v>
      </c>
      <c r="W94" s="12"/>
      <c r="X94" s="11"/>
      <c r="Y94" s="11"/>
      <c r="Z94" s="11"/>
      <c r="AA94" s="11"/>
      <c r="AB94" s="11"/>
      <c r="AC94" s="11"/>
      <c r="AD94" s="11">
        <v>15</v>
      </c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2791</v>
      </c>
      <c r="F95" s="8" t="s">
        <v>42</v>
      </c>
      <c r="G95" s="9">
        <v>0.47083333333333333</v>
      </c>
      <c r="H95" s="9">
        <v>0.50277777777777777</v>
      </c>
      <c r="I95" s="10">
        <f t="shared" si="13"/>
        <v>3.1944444444444442E-2</v>
      </c>
      <c r="J95" s="11">
        <v>2</v>
      </c>
      <c r="K95" s="11">
        <v>105.72</v>
      </c>
      <c r="L95" s="16">
        <f t="shared" si="14"/>
        <v>68.947826086956525</v>
      </c>
      <c r="M95" s="11"/>
      <c r="N95" s="11"/>
      <c r="O95" s="11"/>
      <c r="P95" s="11"/>
      <c r="Q95" s="11"/>
      <c r="R95" s="12"/>
      <c r="S95" s="12"/>
      <c r="T95" s="11"/>
      <c r="U95" s="11"/>
      <c r="V95" s="12"/>
      <c r="W95" s="12"/>
      <c r="X95" s="11"/>
      <c r="Y95" s="11"/>
      <c r="Z95" s="11"/>
      <c r="AA95" s="11"/>
      <c r="AB95" s="11"/>
      <c r="AC95" s="11">
        <v>28</v>
      </c>
      <c r="AD95" s="11"/>
      <c r="AE95" s="11">
        <v>46</v>
      </c>
      <c r="AF95" s="11"/>
      <c r="AG95" s="11"/>
      <c r="AH95" s="11"/>
      <c r="AI95" s="11"/>
      <c r="AJ95" s="11"/>
      <c r="AK95" s="11"/>
      <c r="AL95" s="14"/>
    </row>
    <row r="96" spans="2:38" ht="25.05" customHeight="1">
      <c r="B96" s="13"/>
      <c r="C96" s="29"/>
      <c r="D96" s="30"/>
      <c r="E96" s="19" t="s">
        <v>2792</v>
      </c>
      <c r="F96" s="8" t="s">
        <v>42</v>
      </c>
      <c r="G96" s="9">
        <v>0.60347222222222219</v>
      </c>
      <c r="H96" s="9">
        <v>0.61944444444444446</v>
      </c>
      <c r="I96" s="10">
        <f t="shared" ref="I96:I101" si="15">H96-G96</f>
        <v>1.5972222222222276E-2</v>
      </c>
      <c r="J96" s="11">
        <v>4</v>
      </c>
      <c r="K96" s="11">
        <v>118.62</v>
      </c>
      <c r="L96" s="16">
        <f t="shared" ref="L96:L102" si="16">IFERROR(((K96/(J96*I96)/24)),"0")</f>
        <v>77.360869565217129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/>
      <c r="X96" s="11"/>
      <c r="Y96" s="11"/>
      <c r="Z96" s="11"/>
      <c r="AA96" s="11"/>
      <c r="AB96" s="11"/>
      <c r="AC96" s="11"/>
      <c r="AD96" s="11">
        <v>29</v>
      </c>
      <c r="AE96" s="11"/>
      <c r="AF96" s="11"/>
      <c r="AG96" s="11"/>
      <c r="AH96" s="11"/>
      <c r="AI96" s="11"/>
      <c r="AJ96" s="11"/>
      <c r="AK96" s="11"/>
      <c r="AL96" s="14"/>
    </row>
    <row r="97" spans="2:38" ht="25.05" customHeight="1">
      <c r="B97" s="13"/>
      <c r="C97" s="29"/>
      <c r="D97" s="30"/>
      <c r="E97" s="19" t="s">
        <v>2793</v>
      </c>
      <c r="F97" s="8" t="s">
        <v>42</v>
      </c>
      <c r="G97" s="9">
        <v>0.6166666666666667</v>
      </c>
      <c r="H97" s="9">
        <v>0.63541666666666663</v>
      </c>
      <c r="I97" s="10">
        <f t="shared" si="15"/>
        <v>1.8749999999999933E-2</v>
      </c>
      <c r="J97" s="11">
        <v>4</v>
      </c>
      <c r="K97" s="11">
        <v>118.5</v>
      </c>
      <c r="L97" s="16">
        <f t="shared" si="16"/>
        <v>65.83333333333357</v>
      </c>
      <c r="M97" s="11"/>
      <c r="N97" s="11"/>
      <c r="O97" s="11"/>
      <c r="P97" s="11"/>
      <c r="Q97" s="11"/>
      <c r="R97" s="12"/>
      <c r="S97" s="12"/>
      <c r="T97" s="11"/>
      <c r="U97" s="11"/>
      <c r="V97" s="12"/>
      <c r="W97" s="12"/>
      <c r="X97" s="11"/>
      <c r="Y97" s="11"/>
      <c r="Z97" s="11"/>
      <c r="AA97" s="11"/>
      <c r="AB97" s="11"/>
      <c r="AC97" s="11"/>
      <c r="AD97" s="11">
        <v>27</v>
      </c>
      <c r="AE97" s="11"/>
      <c r="AF97" s="11"/>
      <c r="AG97" s="11"/>
      <c r="AH97" s="11"/>
      <c r="AI97" s="11"/>
      <c r="AJ97" s="11"/>
      <c r="AK97" s="11"/>
      <c r="AL97" s="14"/>
    </row>
    <row r="98" spans="2:38" ht="25.05" customHeight="1">
      <c r="B98" s="13"/>
      <c r="C98" s="29"/>
      <c r="D98" s="30"/>
      <c r="E98" s="19" t="s">
        <v>2794</v>
      </c>
      <c r="F98" s="8" t="s">
        <v>42</v>
      </c>
      <c r="G98" s="9">
        <v>0.44305555555555554</v>
      </c>
      <c r="H98" s="9">
        <v>0.46180555555555558</v>
      </c>
      <c r="I98" s="10">
        <f t="shared" si="15"/>
        <v>1.8750000000000044E-2</v>
      </c>
      <c r="J98" s="11">
        <v>2</v>
      </c>
      <c r="K98" s="11">
        <v>71</v>
      </c>
      <c r="L98" s="16">
        <f t="shared" si="16"/>
        <v>78.888888888888701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/>
      <c r="X98" s="11"/>
      <c r="Y98" s="11"/>
      <c r="Z98" s="11"/>
      <c r="AA98" s="11"/>
      <c r="AB98" s="11"/>
      <c r="AC98" s="11"/>
      <c r="AD98" s="11">
        <v>27</v>
      </c>
      <c r="AE98" s="11"/>
      <c r="AF98" s="11"/>
      <c r="AG98" s="11"/>
      <c r="AH98" s="11"/>
      <c r="AI98" s="11"/>
      <c r="AJ98" s="11"/>
      <c r="AK98" s="11"/>
      <c r="AL98" s="14"/>
    </row>
    <row r="99" spans="2:38" ht="25.05" customHeight="1">
      <c r="B99" s="13"/>
      <c r="C99" s="29"/>
      <c r="D99" s="30"/>
      <c r="E99" s="19" t="s">
        <v>1972</v>
      </c>
      <c r="F99" s="8" t="s">
        <v>42</v>
      </c>
      <c r="G99" s="9">
        <v>0.47430555555555554</v>
      </c>
      <c r="H99" s="9">
        <v>0.49513888888888891</v>
      </c>
      <c r="I99" s="10">
        <f t="shared" si="15"/>
        <v>2.083333333333337E-2</v>
      </c>
      <c r="J99" s="11">
        <v>4</v>
      </c>
      <c r="K99" s="11">
        <f>4.66*20</f>
        <v>93.2</v>
      </c>
      <c r="L99" s="16">
        <f t="shared" si="16"/>
        <v>46.599999999999916</v>
      </c>
      <c r="M99" s="11"/>
      <c r="N99" s="11"/>
      <c r="O99" s="11"/>
      <c r="P99" s="11"/>
      <c r="Q99" s="11"/>
      <c r="R99" s="12"/>
      <c r="S99" s="12"/>
      <c r="T99" s="11"/>
      <c r="U99" s="11"/>
      <c r="V99" s="12">
        <v>2</v>
      </c>
      <c r="W99" s="12"/>
      <c r="X99" s="11"/>
      <c r="Y99" s="11"/>
      <c r="Z99" s="11">
        <v>30</v>
      </c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4"/>
    </row>
    <row r="100" spans="2:38" ht="25.05" customHeight="1">
      <c r="B100" s="13"/>
      <c r="C100" s="29"/>
      <c r="D100" s="30"/>
      <c r="E100" s="19" t="s">
        <v>1973</v>
      </c>
      <c r="F100" s="8" t="s">
        <v>42</v>
      </c>
      <c r="G100" s="9">
        <v>0.47986111111111113</v>
      </c>
      <c r="H100" s="9">
        <v>0.50069444444444444</v>
      </c>
      <c r="I100" s="10">
        <f t="shared" si="15"/>
        <v>2.0833333333333315E-2</v>
      </c>
      <c r="J100" s="11">
        <v>4</v>
      </c>
      <c r="K100" s="11">
        <f t="shared" ref="K100:K102" si="17">4.66*20</f>
        <v>93.2</v>
      </c>
      <c r="L100" s="16">
        <f t="shared" si="16"/>
        <v>46.600000000000044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>
        <v>2</v>
      </c>
      <c r="X100" s="11"/>
      <c r="Y100" s="11">
        <v>30</v>
      </c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/>
      <c r="E101" s="19" t="s">
        <v>1974</v>
      </c>
      <c r="F101" s="8" t="s">
        <v>42</v>
      </c>
      <c r="G101" s="9">
        <v>0.48680555555555555</v>
      </c>
      <c r="H101" s="9">
        <v>0.50763888888888886</v>
      </c>
      <c r="I101" s="10">
        <f t="shared" si="15"/>
        <v>2.0833333333333315E-2</v>
      </c>
      <c r="J101" s="11">
        <v>4</v>
      </c>
      <c r="K101" s="11">
        <f t="shared" si="17"/>
        <v>93.2</v>
      </c>
      <c r="L101" s="16">
        <f t="shared" si="16"/>
        <v>46.600000000000044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2</v>
      </c>
      <c r="W101" s="12"/>
      <c r="X101" s="11"/>
      <c r="Y101" s="11"/>
      <c r="Z101" s="11"/>
      <c r="AA101" s="11">
        <v>30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1975</v>
      </c>
      <c r="F102" s="8" t="s">
        <v>42</v>
      </c>
      <c r="G102" s="9">
        <v>0.49305555555555558</v>
      </c>
      <c r="H102" s="9">
        <v>0.51388888888888884</v>
      </c>
      <c r="I102" s="10">
        <f t="shared" si="13"/>
        <v>2.0833333333333259E-2</v>
      </c>
      <c r="J102" s="11">
        <v>4</v>
      </c>
      <c r="K102" s="11">
        <f t="shared" si="17"/>
        <v>93.2</v>
      </c>
      <c r="L102" s="16">
        <f t="shared" si="16"/>
        <v>46.600000000000165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>
        <v>2</v>
      </c>
      <c r="X102" s="11">
        <v>30</v>
      </c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/>
      <c r="F103" s="8" t="s">
        <v>42</v>
      </c>
      <c r="G103" s="9"/>
      <c r="H103" s="9"/>
      <c r="I103" s="10">
        <f t="shared" ref="I103:I109" si="18">H103-G103</f>
        <v>0</v>
      </c>
      <c r="J103" s="11"/>
      <c r="K103" s="11"/>
      <c r="L103" s="16" t="str">
        <f t="shared" ref="L103:L109" si="19">IFERROR(((K103/(J103*I103)/24)),"0")</f>
        <v>0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/>
      <c r="W103" s="12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 t="s">
        <v>2782</v>
      </c>
      <c r="E104" s="19" t="s">
        <v>1340</v>
      </c>
      <c r="F104" s="8" t="s">
        <v>42</v>
      </c>
      <c r="G104" s="9">
        <v>0.47569444444444442</v>
      </c>
      <c r="H104" s="9">
        <v>0.48194444444444445</v>
      </c>
      <c r="I104" s="10">
        <f t="shared" si="18"/>
        <v>6.2500000000000333E-3</v>
      </c>
      <c r="J104" s="11">
        <v>3</v>
      </c>
      <c r="K104" s="11">
        <v>53</v>
      </c>
      <c r="L104" s="16">
        <f t="shared" si="19"/>
        <v>117.77777777777715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/>
      <c r="X104" s="11"/>
      <c r="Y104" s="11"/>
      <c r="Z104" s="11"/>
      <c r="AA104" s="11"/>
      <c r="AB104" s="11">
        <v>9</v>
      </c>
      <c r="AC104" s="11"/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279</v>
      </c>
      <c r="F105" s="8" t="s">
        <v>42</v>
      </c>
      <c r="G105" s="9">
        <v>0.53680555555555554</v>
      </c>
      <c r="H105" s="9">
        <v>0.56458333333333333</v>
      </c>
      <c r="I105" s="10">
        <f t="shared" si="18"/>
        <v>2.777777777777779E-2</v>
      </c>
      <c r="J105" s="11">
        <v>4</v>
      </c>
      <c r="K105" s="11">
        <v>80</v>
      </c>
      <c r="L105" s="16">
        <f t="shared" si="19"/>
        <v>29.999999999999986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/>
      <c r="W105" s="12">
        <v>2</v>
      </c>
      <c r="X105" s="11">
        <v>40</v>
      </c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280</v>
      </c>
      <c r="F106" s="8" t="s">
        <v>42</v>
      </c>
      <c r="G106" s="9">
        <v>0.55486111111111114</v>
      </c>
      <c r="H106" s="9">
        <v>0.5756944444444444</v>
      </c>
      <c r="I106" s="10">
        <f t="shared" si="18"/>
        <v>2.0833333333333259E-2</v>
      </c>
      <c r="J106" s="11">
        <v>4</v>
      </c>
      <c r="K106" s="11">
        <v>80</v>
      </c>
      <c r="L106" s="16">
        <f t="shared" si="19"/>
        <v>40.000000000000142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2</v>
      </c>
      <c r="W106" s="12"/>
      <c r="X106" s="11"/>
      <c r="Y106" s="11"/>
      <c r="Z106" s="11">
        <v>40</v>
      </c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281</v>
      </c>
      <c r="F107" s="8" t="s">
        <v>42</v>
      </c>
      <c r="G107" s="9">
        <v>0.56319444444444444</v>
      </c>
      <c r="H107" s="9">
        <v>0.59097222222222223</v>
      </c>
      <c r="I107" s="10">
        <f t="shared" si="18"/>
        <v>2.777777777777779E-2</v>
      </c>
      <c r="J107" s="11">
        <v>4</v>
      </c>
      <c r="K107" s="11">
        <v>44.11</v>
      </c>
      <c r="L107" s="16">
        <f t="shared" si="19"/>
        <v>16.541249999999994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/>
      <c r="W107" s="12">
        <v>2</v>
      </c>
      <c r="X107" s="11"/>
      <c r="Y107" s="11">
        <v>40</v>
      </c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/>
      <c r="F108" s="8" t="s">
        <v>42</v>
      </c>
      <c r="G108" s="9"/>
      <c r="H108" s="9"/>
      <c r="I108" s="10">
        <f t="shared" si="18"/>
        <v>0</v>
      </c>
      <c r="J108" s="11"/>
      <c r="K108" s="11"/>
      <c r="L108" s="16" t="str">
        <f t="shared" si="19"/>
        <v>0</v>
      </c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5" customHeight="1">
      <c r="B109" s="13"/>
      <c r="C109" s="29"/>
      <c r="D109" s="30" t="s">
        <v>1167</v>
      </c>
      <c r="E109" s="19" t="s">
        <v>132</v>
      </c>
      <c r="F109" s="8" t="s">
        <v>42</v>
      </c>
      <c r="G109" s="9">
        <v>0.57986111111111116</v>
      </c>
      <c r="H109" s="9">
        <v>0.57991898148148147</v>
      </c>
      <c r="I109" s="10">
        <f t="shared" si="18"/>
        <v>5.7870370370305402E-5</v>
      </c>
      <c r="J109" s="11">
        <v>4</v>
      </c>
      <c r="K109" s="11">
        <v>4.4000000000000004</v>
      </c>
      <c r="L109" s="16">
        <f t="shared" si="19"/>
        <v>792.00000000088914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>
        <v>2</v>
      </c>
      <c r="W109" s="12"/>
      <c r="X109" s="11"/>
      <c r="Y109" s="11"/>
      <c r="Z109" s="11"/>
      <c r="AA109" s="11"/>
      <c r="AB109" s="11"/>
      <c r="AC109" s="11">
        <v>1</v>
      </c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133</v>
      </c>
      <c r="F110" s="8" t="s">
        <v>42</v>
      </c>
      <c r="G110" s="9">
        <v>0.56666666666666665</v>
      </c>
      <c r="H110" s="9">
        <v>0.56672453703703707</v>
      </c>
      <c r="I110" s="10">
        <f t="shared" ref="I110:I141" si="20">H110-G110</f>
        <v>5.7870370370416424E-5</v>
      </c>
      <c r="J110" s="11">
        <v>4</v>
      </c>
      <c r="K110" s="11">
        <v>4.4400000000000004</v>
      </c>
      <c r="L110" s="16">
        <f t="shared" ref="L110:L141" si="21">IFERROR(((K110/(J110*I110)/24)),"0")</f>
        <v>799.19999999936408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>
        <v>2</v>
      </c>
      <c r="W110" s="12"/>
      <c r="X110" s="11"/>
      <c r="Y110" s="11"/>
      <c r="Z110" s="11"/>
      <c r="AA110" s="11"/>
      <c r="AB110" s="11"/>
      <c r="AC110" s="11">
        <v>1</v>
      </c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134</v>
      </c>
      <c r="F111" s="8" t="s">
        <v>42</v>
      </c>
      <c r="G111" s="9">
        <v>0.56736111111111109</v>
      </c>
      <c r="H111" s="9">
        <v>0.56741898148148151</v>
      </c>
      <c r="I111" s="10">
        <f t="shared" si="20"/>
        <v>5.7870370370416424E-5</v>
      </c>
      <c r="J111" s="11">
        <v>4</v>
      </c>
      <c r="K111" s="11">
        <v>4.1399999999999997</v>
      </c>
      <c r="L111" s="16">
        <f t="shared" si="21"/>
        <v>745.19999999940694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>
        <v>2</v>
      </c>
      <c r="W111" s="12"/>
      <c r="X111" s="11"/>
      <c r="Y111" s="11"/>
      <c r="Z111" s="11"/>
      <c r="AA111" s="11"/>
      <c r="AB111" s="11"/>
      <c r="AC111" s="11">
        <v>1</v>
      </c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135</v>
      </c>
      <c r="F112" s="8" t="s">
        <v>42</v>
      </c>
      <c r="G112" s="9">
        <v>0.56805555555555554</v>
      </c>
      <c r="H112" s="9">
        <v>0.56811342592592595</v>
      </c>
      <c r="I112" s="10">
        <f t="shared" si="20"/>
        <v>5.7870370370416424E-5</v>
      </c>
      <c r="J112" s="11">
        <v>4</v>
      </c>
      <c r="K112" s="11">
        <v>4.0999999999999996</v>
      </c>
      <c r="L112" s="16">
        <f t="shared" si="21"/>
        <v>737.99999999941258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>
        <v>2</v>
      </c>
      <c r="W112" s="12"/>
      <c r="X112" s="11"/>
      <c r="Y112" s="11"/>
      <c r="Z112" s="11"/>
      <c r="AA112" s="11"/>
      <c r="AB112" s="11"/>
      <c r="AC112" s="11">
        <v>1</v>
      </c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2:38" ht="25.05" customHeight="1">
      <c r="B113" s="13"/>
      <c r="C113" s="29"/>
      <c r="D113" s="30"/>
      <c r="E113" s="19" t="s">
        <v>1192</v>
      </c>
      <c r="F113" s="8" t="s">
        <v>42</v>
      </c>
      <c r="G113" s="9">
        <v>0.5854166666666667</v>
      </c>
      <c r="H113" s="9">
        <v>0.585474537037037</v>
      </c>
      <c r="I113" s="10">
        <f t="shared" si="20"/>
        <v>5.7870370370305402E-5</v>
      </c>
      <c r="J113" s="11">
        <v>4</v>
      </c>
      <c r="K113" s="11">
        <v>14.05</v>
      </c>
      <c r="L113" s="16">
        <f t="shared" si="21"/>
        <v>2529.0000000028394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>
        <v>2</v>
      </c>
      <c r="X113" s="11"/>
      <c r="Y113" s="11"/>
      <c r="Z113" s="11"/>
      <c r="AA113" s="11"/>
      <c r="AB113" s="11">
        <v>1</v>
      </c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2:38" ht="25.05" customHeight="1">
      <c r="B114" s="13"/>
      <c r="C114" s="29"/>
      <c r="D114" s="30"/>
      <c r="E114" s="19" t="s">
        <v>1193</v>
      </c>
      <c r="F114" s="8" t="s">
        <v>42</v>
      </c>
      <c r="G114" s="9">
        <v>0.58680555555555558</v>
      </c>
      <c r="H114" s="9">
        <v>0.58686342592592589</v>
      </c>
      <c r="I114" s="10">
        <f t="shared" si="20"/>
        <v>5.7870370370305402E-5</v>
      </c>
      <c r="J114" s="11">
        <v>4</v>
      </c>
      <c r="K114" s="11">
        <v>14.08</v>
      </c>
      <c r="L114" s="16">
        <f t="shared" si="21"/>
        <v>2534.400000002845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/>
      <c r="W114" s="12">
        <v>2</v>
      </c>
      <c r="X114" s="11"/>
      <c r="Y114" s="11"/>
      <c r="Z114" s="11"/>
      <c r="AA114" s="11"/>
      <c r="AB114" s="11">
        <v>1</v>
      </c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2:38" ht="25.05" customHeight="1">
      <c r="B115" s="13"/>
      <c r="C115" s="29"/>
      <c r="D115" s="30"/>
      <c r="E115" s="19" t="s">
        <v>1194</v>
      </c>
      <c r="F115" s="8" t="s">
        <v>42</v>
      </c>
      <c r="G115" s="9">
        <v>0.58819444444444446</v>
      </c>
      <c r="H115" s="9">
        <v>0.58825231481481477</v>
      </c>
      <c r="I115" s="10">
        <f t="shared" si="20"/>
        <v>5.7870370370305402E-5</v>
      </c>
      <c r="J115" s="11">
        <v>4</v>
      </c>
      <c r="K115" s="11">
        <v>14.08</v>
      </c>
      <c r="L115" s="16">
        <f t="shared" si="21"/>
        <v>2534.400000002845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>
        <v>2</v>
      </c>
      <c r="X115" s="11"/>
      <c r="Y115" s="11"/>
      <c r="Z115" s="11"/>
      <c r="AA115" s="11"/>
      <c r="AB115" s="11">
        <v>1</v>
      </c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2:38" ht="25.05" customHeight="1">
      <c r="B116" s="13"/>
      <c r="C116" s="29"/>
      <c r="D116" s="30"/>
      <c r="E116" s="19" t="s">
        <v>1195</v>
      </c>
      <c r="F116" s="8" t="s">
        <v>42</v>
      </c>
      <c r="G116" s="9">
        <v>0.58958333333333335</v>
      </c>
      <c r="H116" s="9">
        <v>0.58964120370370365</v>
      </c>
      <c r="I116" s="10">
        <f t="shared" si="20"/>
        <v>5.7870370370305402E-5</v>
      </c>
      <c r="J116" s="11">
        <v>4</v>
      </c>
      <c r="K116" s="11">
        <v>14.11</v>
      </c>
      <c r="L116" s="16">
        <f t="shared" si="21"/>
        <v>2539.800000002851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2</v>
      </c>
      <c r="X116" s="11"/>
      <c r="Y116" s="11"/>
      <c r="Z116" s="11"/>
      <c r="AA116" s="11"/>
      <c r="AB116" s="11">
        <v>1</v>
      </c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2:38" ht="25.05" customHeight="1">
      <c r="B117" s="13"/>
      <c r="C117" s="29"/>
      <c r="D117" s="30"/>
      <c r="E117" s="19" t="s">
        <v>1183</v>
      </c>
      <c r="F117" s="8" t="s">
        <v>42</v>
      </c>
      <c r="G117" s="9">
        <v>0.59444444444444444</v>
      </c>
      <c r="H117" s="9">
        <v>0.59450231481481486</v>
      </c>
      <c r="I117" s="10">
        <f t="shared" si="20"/>
        <v>5.7870370370416424E-5</v>
      </c>
      <c r="J117" s="11">
        <v>4</v>
      </c>
      <c r="K117" s="11">
        <v>16.940000000000001</v>
      </c>
      <c r="L117" s="16">
        <f t="shared" si="21"/>
        <v>3049.1999999975737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>
        <v>2</v>
      </c>
      <c r="W117" s="12"/>
      <c r="X117" s="11"/>
      <c r="Y117" s="11"/>
      <c r="Z117" s="11"/>
      <c r="AA117" s="11"/>
      <c r="AB117" s="11">
        <v>1</v>
      </c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2:38" ht="25.05" customHeight="1">
      <c r="B118" s="13"/>
      <c r="C118" s="29"/>
      <c r="D118" s="30"/>
      <c r="E118" s="19" t="s">
        <v>1184</v>
      </c>
      <c r="F118" s="8" t="s">
        <v>42</v>
      </c>
      <c r="G118" s="9">
        <v>0.59513888888888888</v>
      </c>
      <c r="H118" s="9">
        <v>0.5951967592592593</v>
      </c>
      <c r="I118" s="10">
        <f t="shared" si="20"/>
        <v>5.7870370370416424E-5</v>
      </c>
      <c r="J118" s="11">
        <v>4</v>
      </c>
      <c r="K118" s="11">
        <v>17.95</v>
      </c>
      <c r="L118" s="16">
        <f t="shared" si="21"/>
        <v>3230.9999999974284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>
        <v>2</v>
      </c>
      <c r="W118" s="12"/>
      <c r="X118" s="11"/>
      <c r="Y118" s="11"/>
      <c r="Z118" s="11"/>
      <c r="AA118" s="11"/>
      <c r="AB118" s="11">
        <v>1</v>
      </c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2:38" ht="25.05" customHeight="1">
      <c r="B119" s="13"/>
      <c r="C119" s="29"/>
      <c r="D119" s="30"/>
      <c r="E119" s="19" t="s">
        <v>1185</v>
      </c>
      <c r="F119" s="8" t="s">
        <v>42</v>
      </c>
      <c r="G119" s="9">
        <v>0.59583333333333333</v>
      </c>
      <c r="H119" s="9">
        <v>0.59589120370370374</v>
      </c>
      <c r="I119" s="10">
        <f t="shared" si="20"/>
        <v>5.7870370370416424E-5</v>
      </c>
      <c r="J119" s="11">
        <v>4</v>
      </c>
      <c r="K119" s="11">
        <v>17.670000000000002</v>
      </c>
      <c r="L119" s="16">
        <f t="shared" si="21"/>
        <v>3180.5999999974688</v>
      </c>
      <c r="M119" s="11"/>
      <c r="N119" s="11"/>
      <c r="O119" s="11"/>
      <c r="P119" s="11"/>
      <c r="Q119" s="11"/>
      <c r="R119" s="12"/>
      <c r="S119" s="12"/>
      <c r="T119" s="11"/>
      <c r="U119" s="11"/>
      <c r="V119" s="12">
        <v>2</v>
      </c>
      <c r="W119" s="12"/>
      <c r="X119" s="11"/>
      <c r="Y119" s="11"/>
      <c r="Z119" s="11"/>
      <c r="AA119" s="11"/>
      <c r="AB119" s="11">
        <v>1</v>
      </c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2:38" ht="25.05" customHeight="1">
      <c r="B120" s="13"/>
      <c r="C120" s="29"/>
      <c r="D120" s="30"/>
      <c r="E120" s="19" t="s">
        <v>1186</v>
      </c>
      <c r="F120" s="8" t="s">
        <v>42</v>
      </c>
      <c r="G120" s="9">
        <v>0.59652777777777777</v>
      </c>
      <c r="H120" s="9">
        <v>0.59658564814814818</v>
      </c>
      <c r="I120" s="10">
        <f t="shared" si="20"/>
        <v>5.7870370370416424E-5</v>
      </c>
      <c r="J120" s="11">
        <v>4</v>
      </c>
      <c r="K120" s="11">
        <v>17.600000000000001</v>
      </c>
      <c r="L120" s="16">
        <f t="shared" si="21"/>
        <v>3167.9999999974789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>
        <v>2</v>
      </c>
      <c r="W120" s="12"/>
      <c r="X120" s="11"/>
      <c r="Y120" s="11"/>
      <c r="Z120" s="11"/>
      <c r="AA120" s="11"/>
      <c r="AB120" s="11">
        <v>1</v>
      </c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2:38" ht="25.05" customHeight="1">
      <c r="B121" s="13"/>
      <c r="C121" s="29"/>
      <c r="D121" s="30"/>
      <c r="E121" s="19" t="s">
        <v>2795</v>
      </c>
      <c r="F121" s="8" t="s">
        <v>42</v>
      </c>
      <c r="G121" s="9">
        <v>0.58194444444444449</v>
      </c>
      <c r="H121" s="9">
        <v>0.5854166666666667</v>
      </c>
      <c r="I121" s="10">
        <f t="shared" si="20"/>
        <v>3.4722222222222099E-3</v>
      </c>
      <c r="J121" s="11">
        <v>4</v>
      </c>
      <c r="K121" s="11">
        <v>62.56</v>
      </c>
      <c r="L121" s="16">
        <f t="shared" si="21"/>
        <v>187.68000000000066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>
        <v>2</v>
      </c>
      <c r="X121" s="11"/>
      <c r="Y121" s="11"/>
      <c r="Z121" s="11"/>
      <c r="AA121" s="11"/>
      <c r="AB121" s="11"/>
      <c r="AC121" s="11">
        <v>5</v>
      </c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2:38" ht="25.05" customHeight="1">
      <c r="B122" s="13"/>
      <c r="C122" s="29"/>
      <c r="D122" s="30"/>
      <c r="E122" s="19" t="s">
        <v>2796</v>
      </c>
      <c r="F122" s="8" t="s">
        <v>42</v>
      </c>
      <c r="G122" s="9">
        <v>0.60416666666666663</v>
      </c>
      <c r="H122" s="9">
        <v>0.6166666666666667</v>
      </c>
      <c r="I122" s="10">
        <f t="shared" si="20"/>
        <v>1.2500000000000067E-2</v>
      </c>
      <c r="J122" s="11">
        <v>4</v>
      </c>
      <c r="K122" s="11">
        <v>83.3</v>
      </c>
      <c r="L122" s="16">
        <f t="shared" si="21"/>
        <v>69.416666666666302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>
        <v>2</v>
      </c>
      <c r="W122" s="12"/>
      <c r="X122" s="11"/>
      <c r="Y122" s="11"/>
      <c r="Z122" s="11"/>
      <c r="AA122" s="11"/>
      <c r="AB122" s="11">
        <v>18</v>
      </c>
      <c r="AC122" s="11"/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2:38" ht="25.05" customHeight="1">
      <c r="B123" s="13"/>
      <c r="C123" s="29"/>
      <c r="D123" s="30"/>
      <c r="E123" s="19" t="s">
        <v>2797</v>
      </c>
      <c r="F123" s="8" t="s">
        <v>42</v>
      </c>
      <c r="G123" s="9">
        <v>0.62152777777777779</v>
      </c>
      <c r="H123" s="9">
        <v>0.6333333333333333</v>
      </c>
      <c r="I123" s="10">
        <f t="shared" si="20"/>
        <v>1.1805555555555514E-2</v>
      </c>
      <c r="J123" s="11">
        <v>4</v>
      </c>
      <c r="K123" s="11">
        <v>83.24</v>
      </c>
      <c r="L123" s="16">
        <f t="shared" si="21"/>
        <v>73.447058823529673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>
        <v>2</v>
      </c>
      <c r="W123" s="12"/>
      <c r="X123" s="11"/>
      <c r="Y123" s="11"/>
      <c r="Z123" s="11"/>
      <c r="AA123" s="11"/>
      <c r="AB123" s="11">
        <v>17</v>
      </c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2:38" ht="25.5" customHeight="1">
      <c r="B124" s="13"/>
      <c r="C124" s="29"/>
      <c r="D124" s="30"/>
      <c r="E124" s="19" t="s">
        <v>1972</v>
      </c>
      <c r="F124" s="8" t="s">
        <v>42</v>
      </c>
      <c r="G124" s="9">
        <v>0.59583333333333333</v>
      </c>
      <c r="H124" s="9">
        <v>0.62708333333333333</v>
      </c>
      <c r="I124" s="10">
        <f t="shared" si="20"/>
        <v>3.125E-2</v>
      </c>
      <c r="J124" s="11">
        <v>4</v>
      </c>
      <c r="K124" s="11">
        <v>80.16</v>
      </c>
      <c r="L124" s="16">
        <f t="shared" si="21"/>
        <v>26.72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>
        <v>2</v>
      </c>
      <c r="W124" s="12"/>
      <c r="X124" s="11">
        <v>45</v>
      </c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2:38" ht="25.05" customHeight="1">
      <c r="B125" s="13"/>
      <c r="C125" s="29"/>
      <c r="D125" s="30"/>
      <c r="E125" s="19" t="s">
        <v>1973</v>
      </c>
      <c r="F125" s="8" t="s">
        <v>42</v>
      </c>
      <c r="G125" s="9">
        <v>0.6020833333333333</v>
      </c>
      <c r="H125" s="9">
        <v>0.6333333333333333</v>
      </c>
      <c r="I125" s="10">
        <f t="shared" si="20"/>
        <v>3.125E-2</v>
      </c>
      <c r="J125" s="11">
        <v>4</v>
      </c>
      <c r="K125" s="11">
        <v>80.16</v>
      </c>
      <c r="L125" s="16">
        <f t="shared" si="21"/>
        <v>26.72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>
        <v>2</v>
      </c>
      <c r="X125" s="11"/>
      <c r="Y125" s="11">
        <v>45</v>
      </c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2:38" ht="25.05" customHeight="1">
      <c r="B126" s="13"/>
      <c r="C126" s="29"/>
      <c r="D126" s="30"/>
      <c r="E126" s="19" t="s">
        <v>1974</v>
      </c>
      <c r="F126" s="8" t="s">
        <v>42</v>
      </c>
      <c r="G126" s="9">
        <v>0.60555555555555551</v>
      </c>
      <c r="H126" s="9">
        <v>0.63680555555555551</v>
      </c>
      <c r="I126" s="10">
        <f t="shared" si="20"/>
        <v>3.125E-2</v>
      </c>
      <c r="J126" s="11">
        <v>4</v>
      </c>
      <c r="K126" s="11">
        <v>80.16</v>
      </c>
      <c r="L126" s="16">
        <f t="shared" si="21"/>
        <v>26.72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>
        <v>2</v>
      </c>
      <c r="W126" s="12"/>
      <c r="X126" s="11"/>
      <c r="Y126" s="11"/>
      <c r="Z126" s="11">
        <v>45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2:38" ht="25.05" customHeight="1">
      <c r="B127" s="13"/>
      <c r="C127" s="29"/>
      <c r="D127" s="30"/>
      <c r="E127" s="19" t="s">
        <v>1975</v>
      </c>
      <c r="F127" s="8" t="s">
        <v>42</v>
      </c>
      <c r="G127" s="9">
        <v>0.6118055555555556</v>
      </c>
      <c r="H127" s="9">
        <v>0.6430555555555556</v>
      </c>
      <c r="I127" s="10">
        <f t="shared" si="20"/>
        <v>3.125E-2</v>
      </c>
      <c r="J127" s="11">
        <v>4</v>
      </c>
      <c r="K127" s="11">
        <v>80.16</v>
      </c>
      <c r="L127" s="16">
        <f t="shared" si="21"/>
        <v>26.72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>
        <v>2</v>
      </c>
      <c r="W127" s="12"/>
      <c r="X127" s="11"/>
      <c r="Y127" s="11"/>
      <c r="Z127" s="11"/>
      <c r="AA127" s="11">
        <v>45</v>
      </c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2:38" ht="25.05" customHeight="1">
      <c r="B128" s="13"/>
      <c r="C128" s="29"/>
      <c r="D128" s="30"/>
      <c r="E128" s="19" t="s">
        <v>1976</v>
      </c>
      <c r="F128" s="8" t="s">
        <v>42</v>
      </c>
      <c r="G128" s="9">
        <v>0.63958333333333328</v>
      </c>
      <c r="H128" s="9">
        <v>0.67083333333333328</v>
      </c>
      <c r="I128" s="10">
        <f t="shared" si="20"/>
        <v>3.125E-2</v>
      </c>
      <c r="J128" s="11">
        <v>4</v>
      </c>
      <c r="K128" s="11">
        <v>80.16</v>
      </c>
      <c r="L128" s="16">
        <f t="shared" si="21"/>
        <v>26.72</v>
      </c>
      <c r="M128" s="11"/>
      <c r="N128" s="11"/>
      <c r="O128" s="11"/>
      <c r="P128" s="11"/>
      <c r="Q128" s="11"/>
      <c r="R128" s="12"/>
      <c r="S128" s="12"/>
      <c r="T128" s="11"/>
      <c r="U128" s="11"/>
      <c r="V128" s="12"/>
      <c r="W128" s="12">
        <v>2</v>
      </c>
      <c r="X128" s="11">
        <v>45</v>
      </c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4"/>
    </row>
    <row r="129" spans="2:38" ht="25.05" customHeight="1">
      <c r="B129" s="13"/>
      <c r="C129" s="29"/>
      <c r="D129" s="30"/>
      <c r="E129" s="19" t="s">
        <v>1977</v>
      </c>
      <c r="F129" s="8" t="s">
        <v>42</v>
      </c>
      <c r="G129" s="9">
        <v>0.64513888888888893</v>
      </c>
      <c r="H129" s="9">
        <v>0.67638888888888893</v>
      </c>
      <c r="I129" s="10">
        <f t="shared" si="20"/>
        <v>3.125E-2</v>
      </c>
      <c r="J129" s="11">
        <v>4</v>
      </c>
      <c r="K129" s="11">
        <v>80.16</v>
      </c>
      <c r="L129" s="16">
        <f t="shared" si="21"/>
        <v>26.72</v>
      </c>
      <c r="M129" s="11"/>
      <c r="N129" s="11"/>
      <c r="O129" s="11"/>
      <c r="P129" s="11"/>
      <c r="Q129" s="11"/>
      <c r="R129" s="12"/>
      <c r="S129" s="12"/>
      <c r="T129" s="11"/>
      <c r="U129" s="11"/>
      <c r="V129" s="12">
        <v>2</v>
      </c>
      <c r="W129" s="12"/>
      <c r="X129" s="11"/>
      <c r="Y129" s="11">
        <v>45</v>
      </c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4"/>
    </row>
    <row r="130" spans="2:38" ht="25.05" customHeight="1">
      <c r="B130" s="13"/>
      <c r="C130" s="29"/>
      <c r="D130" s="30"/>
      <c r="E130" s="19" t="s">
        <v>1978</v>
      </c>
      <c r="F130" s="8" t="s">
        <v>42</v>
      </c>
      <c r="G130" s="9">
        <v>0.65277777777777779</v>
      </c>
      <c r="H130" s="9">
        <v>0.68402777777777779</v>
      </c>
      <c r="I130" s="10">
        <f t="shared" si="20"/>
        <v>3.125E-2</v>
      </c>
      <c r="J130" s="11">
        <v>4</v>
      </c>
      <c r="K130" s="11">
        <v>80.16</v>
      </c>
      <c r="L130" s="16">
        <f t="shared" si="21"/>
        <v>26.72</v>
      </c>
      <c r="M130" s="11"/>
      <c r="N130" s="11"/>
      <c r="O130" s="11"/>
      <c r="P130" s="11"/>
      <c r="Q130" s="11"/>
      <c r="R130" s="12"/>
      <c r="S130" s="12"/>
      <c r="T130" s="11"/>
      <c r="U130" s="11"/>
      <c r="V130" s="12"/>
      <c r="W130" s="12">
        <v>2</v>
      </c>
      <c r="X130" s="11"/>
      <c r="Y130" s="11"/>
      <c r="Z130" s="11">
        <v>45</v>
      </c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4"/>
    </row>
    <row r="131" spans="2:38" ht="25.05" customHeight="1">
      <c r="B131" s="13"/>
      <c r="C131" s="29"/>
      <c r="D131" s="30"/>
      <c r="E131" s="19" t="s">
        <v>1979</v>
      </c>
      <c r="F131" s="8" t="s">
        <v>42</v>
      </c>
      <c r="G131" s="9">
        <v>0.65763888888888888</v>
      </c>
      <c r="H131" s="9">
        <v>0.68888888888888888</v>
      </c>
      <c r="I131" s="10">
        <f t="shared" si="20"/>
        <v>3.125E-2</v>
      </c>
      <c r="J131" s="11">
        <v>4</v>
      </c>
      <c r="K131" s="11">
        <v>80.16</v>
      </c>
      <c r="L131" s="16">
        <f t="shared" si="21"/>
        <v>26.72</v>
      </c>
      <c r="M131" s="11"/>
      <c r="N131" s="11"/>
      <c r="O131" s="11"/>
      <c r="P131" s="11"/>
      <c r="Q131" s="11"/>
      <c r="R131" s="12"/>
      <c r="S131" s="12"/>
      <c r="T131" s="11"/>
      <c r="U131" s="11"/>
      <c r="V131" s="12">
        <v>2</v>
      </c>
      <c r="W131" s="12"/>
      <c r="X131" s="11"/>
      <c r="Y131" s="11"/>
      <c r="Z131" s="11"/>
      <c r="AA131" s="11">
        <v>45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4"/>
    </row>
    <row r="132" spans="2:38" ht="25.05" customHeight="1">
      <c r="B132" s="13"/>
      <c r="C132" s="29"/>
      <c r="D132" s="30"/>
      <c r="E132" s="19"/>
      <c r="F132" s="8" t="s">
        <v>42</v>
      </c>
      <c r="G132" s="9"/>
      <c r="H132" s="9"/>
      <c r="I132" s="10">
        <f t="shared" si="20"/>
        <v>0</v>
      </c>
      <c r="J132" s="11"/>
      <c r="K132" s="11"/>
      <c r="L132" s="16" t="str">
        <f t="shared" si="21"/>
        <v>0</v>
      </c>
      <c r="M132" s="11"/>
      <c r="N132" s="11"/>
      <c r="O132" s="11"/>
      <c r="P132" s="11"/>
      <c r="Q132" s="11"/>
      <c r="R132" s="12"/>
      <c r="S132" s="12"/>
      <c r="T132" s="11"/>
      <c r="U132" s="11"/>
      <c r="V132" s="12"/>
      <c r="W132" s="12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4"/>
    </row>
    <row r="133" spans="2:38" ht="25.05" customHeight="1">
      <c r="B133" s="13"/>
      <c r="C133" s="29"/>
      <c r="D133" s="30" t="s">
        <v>2769</v>
      </c>
      <c r="E133" s="19" t="s">
        <v>1090</v>
      </c>
      <c r="F133" s="8" t="s">
        <v>42</v>
      </c>
      <c r="G133" s="9">
        <v>0.47638888888888886</v>
      </c>
      <c r="H133" s="9">
        <v>0.48333333333333334</v>
      </c>
      <c r="I133" s="10">
        <f t="shared" si="20"/>
        <v>6.9444444444444753E-3</v>
      </c>
      <c r="J133" s="11">
        <v>1</v>
      </c>
      <c r="K133" s="11">
        <f t="shared" ref="K133:K151" si="22">0.089*520</f>
        <v>46.28</v>
      </c>
      <c r="L133" s="16">
        <f t="shared" si="21"/>
        <v>277.67999999999876</v>
      </c>
      <c r="M133" s="11"/>
      <c r="N133" s="11"/>
      <c r="O133" s="11"/>
      <c r="P133" s="11"/>
      <c r="Q133" s="11"/>
      <c r="R133" s="12"/>
      <c r="S133" s="12"/>
      <c r="T133" s="11"/>
      <c r="U133" s="11"/>
      <c r="V133" s="12">
        <v>10</v>
      </c>
      <c r="W133" s="12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4"/>
    </row>
    <row r="134" spans="2:38" ht="25.05" customHeight="1">
      <c r="B134" s="13"/>
      <c r="C134" s="29"/>
      <c r="D134" s="30"/>
      <c r="E134" s="19" t="s">
        <v>1091</v>
      </c>
      <c r="F134" s="8" t="s">
        <v>42</v>
      </c>
      <c r="G134" s="9">
        <v>0.50416666666666665</v>
      </c>
      <c r="H134" s="9">
        <v>0.51111111111111107</v>
      </c>
      <c r="I134" s="10">
        <f t="shared" si="20"/>
        <v>6.9444444444444198E-3</v>
      </c>
      <c r="J134" s="11">
        <v>1</v>
      </c>
      <c r="K134" s="11">
        <f t="shared" si="22"/>
        <v>46.28</v>
      </c>
      <c r="L134" s="16">
        <f t="shared" si="21"/>
        <v>277.68000000000103</v>
      </c>
      <c r="M134" s="11"/>
      <c r="N134" s="11"/>
      <c r="O134" s="11"/>
      <c r="P134" s="11"/>
      <c r="Q134" s="11"/>
      <c r="R134" s="12"/>
      <c r="S134" s="12"/>
      <c r="T134" s="11"/>
      <c r="U134" s="11"/>
      <c r="V134" s="12"/>
      <c r="W134" s="12">
        <v>10</v>
      </c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4"/>
    </row>
    <row r="135" spans="2:38" ht="25.05" customHeight="1">
      <c r="B135" s="13"/>
      <c r="C135" s="29"/>
      <c r="D135" s="30"/>
      <c r="E135" s="19" t="s">
        <v>1092</v>
      </c>
      <c r="F135" s="8" t="s">
        <v>42</v>
      </c>
      <c r="G135" s="9">
        <v>0.52222222222222225</v>
      </c>
      <c r="H135" s="9">
        <v>0.52916666666666667</v>
      </c>
      <c r="I135" s="10">
        <f t="shared" si="20"/>
        <v>6.9444444444444198E-3</v>
      </c>
      <c r="J135" s="11">
        <v>1</v>
      </c>
      <c r="K135" s="11">
        <f t="shared" si="22"/>
        <v>46.28</v>
      </c>
      <c r="L135" s="16">
        <f t="shared" si="21"/>
        <v>277.68000000000103</v>
      </c>
      <c r="M135" s="11"/>
      <c r="N135" s="11"/>
      <c r="O135" s="11"/>
      <c r="P135" s="11"/>
      <c r="Q135" s="11"/>
      <c r="R135" s="12"/>
      <c r="S135" s="12"/>
      <c r="T135" s="11"/>
      <c r="U135" s="11"/>
      <c r="V135" s="12">
        <v>10</v>
      </c>
      <c r="W135" s="12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4"/>
    </row>
    <row r="136" spans="2:38" ht="25.05" customHeight="1">
      <c r="B136" s="13"/>
      <c r="C136" s="29"/>
      <c r="D136" s="30"/>
      <c r="E136" s="19" t="s">
        <v>1093</v>
      </c>
      <c r="F136" s="8" t="s">
        <v>42</v>
      </c>
      <c r="G136" s="9">
        <v>0.53333333333333333</v>
      </c>
      <c r="H136" s="9">
        <v>0.54027777777777775</v>
      </c>
      <c r="I136" s="10">
        <f t="shared" si="20"/>
        <v>6.9444444444444198E-3</v>
      </c>
      <c r="J136" s="11">
        <v>1</v>
      </c>
      <c r="K136" s="11">
        <f t="shared" si="22"/>
        <v>46.28</v>
      </c>
      <c r="L136" s="16">
        <f t="shared" si="21"/>
        <v>277.68000000000103</v>
      </c>
      <c r="M136" s="11"/>
      <c r="N136" s="11"/>
      <c r="O136" s="11"/>
      <c r="P136" s="11"/>
      <c r="Q136" s="11"/>
      <c r="R136" s="12"/>
      <c r="S136" s="12"/>
      <c r="T136" s="11"/>
      <c r="U136" s="11"/>
      <c r="V136" s="12"/>
      <c r="W136" s="12">
        <v>10</v>
      </c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4"/>
    </row>
    <row r="137" spans="2:38" ht="25.05" customHeight="1">
      <c r="B137" s="13"/>
      <c r="C137" s="29"/>
      <c r="D137" s="30"/>
      <c r="E137" s="19" t="s">
        <v>1094</v>
      </c>
      <c r="F137" s="8" t="s">
        <v>42</v>
      </c>
      <c r="G137" s="9">
        <v>0.53472222222222221</v>
      </c>
      <c r="H137" s="9">
        <v>0.54166666666666663</v>
      </c>
      <c r="I137" s="10">
        <f t="shared" si="20"/>
        <v>6.9444444444444198E-3</v>
      </c>
      <c r="J137" s="11">
        <v>1</v>
      </c>
      <c r="K137" s="11">
        <f t="shared" si="22"/>
        <v>46.28</v>
      </c>
      <c r="L137" s="16">
        <f t="shared" si="21"/>
        <v>277.68000000000103</v>
      </c>
      <c r="M137" s="11"/>
      <c r="N137" s="11"/>
      <c r="O137" s="11"/>
      <c r="P137" s="11"/>
      <c r="Q137" s="11"/>
      <c r="R137" s="12"/>
      <c r="S137" s="12"/>
      <c r="T137" s="11"/>
      <c r="U137" s="11"/>
      <c r="V137" s="12">
        <v>10</v>
      </c>
      <c r="W137" s="12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4"/>
    </row>
    <row r="138" spans="2:38" ht="25.05" customHeight="1">
      <c r="B138" s="13"/>
      <c r="C138" s="29"/>
      <c r="D138" s="30"/>
      <c r="E138" s="19" t="s">
        <v>1095</v>
      </c>
      <c r="F138" s="8" t="s">
        <v>42</v>
      </c>
      <c r="G138" s="9">
        <v>0.54583333333333328</v>
      </c>
      <c r="H138" s="9">
        <v>0.55277777777777781</v>
      </c>
      <c r="I138" s="10">
        <f t="shared" si="20"/>
        <v>6.9444444444445308E-3</v>
      </c>
      <c r="J138" s="11">
        <v>1</v>
      </c>
      <c r="K138" s="11">
        <f t="shared" si="22"/>
        <v>46.28</v>
      </c>
      <c r="L138" s="16">
        <f t="shared" si="21"/>
        <v>277.67999999999654</v>
      </c>
      <c r="M138" s="11"/>
      <c r="N138" s="11"/>
      <c r="O138" s="11"/>
      <c r="P138" s="11"/>
      <c r="Q138" s="11"/>
      <c r="R138" s="12"/>
      <c r="S138" s="12"/>
      <c r="T138" s="11"/>
      <c r="U138" s="11"/>
      <c r="V138" s="12"/>
      <c r="W138" s="12">
        <v>10</v>
      </c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4"/>
    </row>
    <row r="139" spans="2:38" ht="25.05" customHeight="1">
      <c r="B139" s="13"/>
      <c r="C139" s="29"/>
      <c r="D139" s="30"/>
      <c r="E139" s="19" t="s">
        <v>1096</v>
      </c>
      <c r="F139" s="8" t="s">
        <v>42</v>
      </c>
      <c r="G139" s="9">
        <v>0.54861111111111116</v>
      </c>
      <c r="H139" s="9">
        <v>0.55555555555555558</v>
      </c>
      <c r="I139" s="10">
        <f t="shared" si="20"/>
        <v>6.9444444444444198E-3</v>
      </c>
      <c r="J139" s="11">
        <v>1</v>
      </c>
      <c r="K139" s="11">
        <f t="shared" si="22"/>
        <v>46.28</v>
      </c>
      <c r="L139" s="16">
        <f t="shared" si="21"/>
        <v>277.68000000000103</v>
      </c>
      <c r="M139" s="11"/>
      <c r="N139" s="11"/>
      <c r="O139" s="11"/>
      <c r="P139" s="11"/>
      <c r="Q139" s="11"/>
      <c r="R139" s="12"/>
      <c r="S139" s="12"/>
      <c r="T139" s="11"/>
      <c r="U139" s="11"/>
      <c r="V139" s="12">
        <v>10</v>
      </c>
      <c r="W139" s="12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4"/>
    </row>
    <row r="140" spans="2:38" ht="25.05" customHeight="1">
      <c r="B140" s="13"/>
      <c r="C140" s="29"/>
      <c r="D140" s="30"/>
      <c r="E140" s="19" t="s">
        <v>1097</v>
      </c>
      <c r="F140" s="8" t="s">
        <v>42</v>
      </c>
      <c r="G140" s="9">
        <v>0.55555555555555558</v>
      </c>
      <c r="H140" s="9">
        <v>0.5625</v>
      </c>
      <c r="I140" s="10">
        <f t="shared" si="20"/>
        <v>6.9444444444444198E-3</v>
      </c>
      <c r="J140" s="11">
        <v>1</v>
      </c>
      <c r="K140" s="11">
        <f t="shared" si="22"/>
        <v>46.28</v>
      </c>
      <c r="L140" s="16">
        <f t="shared" si="21"/>
        <v>277.68000000000103</v>
      </c>
      <c r="M140" s="11"/>
      <c r="N140" s="11"/>
      <c r="O140" s="11"/>
      <c r="P140" s="11"/>
      <c r="Q140" s="11"/>
      <c r="R140" s="12"/>
      <c r="S140" s="12"/>
      <c r="T140" s="11"/>
      <c r="U140" s="11"/>
      <c r="V140" s="12"/>
      <c r="W140" s="12">
        <v>10</v>
      </c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4"/>
    </row>
    <row r="141" spans="2:38" ht="25.05" customHeight="1">
      <c r="B141" s="13"/>
      <c r="C141" s="29"/>
      <c r="D141" s="30"/>
      <c r="E141" s="19" t="s">
        <v>1098</v>
      </c>
      <c r="F141" s="8" t="s">
        <v>42</v>
      </c>
      <c r="G141" s="9">
        <v>0.5625</v>
      </c>
      <c r="H141" s="9">
        <v>0.56944444444444442</v>
      </c>
      <c r="I141" s="10">
        <f t="shared" si="20"/>
        <v>6.9444444444444198E-3</v>
      </c>
      <c r="J141" s="11">
        <v>1</v>
      </c>
      <c r="K141" s="11">
        <f t="shared" si="22"/>
        <v>46.28</v>
      </c>
      <c r="L141" s="16">
        <f t="shared" si="21"/>
        <v>277.68000000000103</v>
      </c>
      <c r="M141" s="11"/>
      <c r="N141" s="11"/>
      <c r="O141" s="11"/>
      <c r="P141" s="11"/>
      <c r="Q141" s="11"/>
      <c r="R141" s="12"/>
      <c r="S141" s="12"/>
      <c r="T141" s="11"/>
      <c r="U141" s="11"/>
      <c r="V141" s="12">
        <v>10</v>
      </c>
      <c r="W141" s="12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4"/>
    </row>
    <row r="142" spans="2:38" ht="25.05" customHeight="1">
      <c r="B142" s="13"/>
      <c r="C142" s="29"/>
      <c r="D142" s="30"/>
      <c r="E142" s="19" t="s">
        <v>1099</v>
      </c>
      <c r="F142" s="8" t="s">
        <v>42</v>
      </c>
      <c r="G142" s="9">
        <v>0.62708333333333333</v>
      </c>
      <c r="H142" s="9">
        <v>0.63402777777777775</v>
      </c>
      <c r="I142" s="10">
        <f t="shared" ref="I142:I160" si="23">H142-G142</f>
        <v>6.9444444444444198E-3</v>
      </c>
      <c r="J142" s="11">
        <v>1</v>
      </c>
      <c r="K142" s="11">
        <f t="shared" si="22"/>
        <v>46.28</v>
      </c>
      <c r="L142" s="16">
        <f t="shared" ref="L142:L160" si="24">IFERROR(((K142/(J142*I142)/24)),"0")</f>
        <v>277.68000000000103</v>
      </c>
      <c r="M142" s="11"/>
      <c r="N142" s="11"/>
      <c r="O142" s="11"/>
      <c r="P142" s="11"/>
      <c r="Q142" s="11"/>
      <c r="R142" s="12"/>
      <c r="S142" s="12"/>
      <c r="T142" s="11"/>
      <c r="U142" s="11"/>
      <c r="V142" s="12"/>
      <c r="W142" s="12">
        <v>10</v>
      </c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4"/>
    </row>
    <row r="143" spans="2:38" ht="25.05" customHeight="1">
      <c r="B143" s="13"/>
      <c r="C143" s="29"/>
      <c r="D143" s="30"/>
      <c r="E143" s="19" t="s">
        <v>1100</v>
      </c>
      <c r="F143" s="8" t="s">
        <v>42</v>
      </c>
      <c r="G143" s="9">
        <v>0.63611111111111107</v>
      </c>
      <c r="H143" s="9">
        <v>0.6430555555555556</v>
      </c>
      <c r="I143" s="10">
        <f t="shared" si="23"/>
        <v>6.9444444444445308E-3</v>
      </c>
      <c r="J143" s="11">
        <v>1</v>
      </c>
      <c r="K143" s="11">
        <f t="shared" si="22"/>
        <v>46.28</v>
      </c>
      <c r="L143" s="16">
        <f t="shared" si="24"/>
        <v>277.67999999999654</v>
      </c>
      <c r="M143" s="11"/>
      <c r="N143" s="11"/>
      <c r="O143" s="11"/>
      <c r="P143" s="11"/>
      <c r="Q143" s="11"/>
      <c r="R143" s="12"/>
      <c r="S143" s="12"/>
      <c r="T143" s="11"/>
      <c r="U143" s="11"/>
      <c r="V143" s="12">
        <v>10</v>
      </c>
      <c r="W143" s="12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4"/>
    </row>
    <row r="144" spans="2:38" ht="25.05" customHeight="1">
      <c r="B144" s="13"/>
      <c r="C144" s="29"/>
      <c r="D144" s="30"/>
      <c r="E144" s="19" t="s">
        <v>1101</v>
      </c>
      <c r="F144" s="8" t="s">
        <v>42</v>
      </c>
      <c r="G144" s="9">
        <v>0.64930555555555558</v>
      </c>
      <c r="H144" s="9">
        <v>0.65625</v>
      </c>
      <c r="I144" s="10">
        <f t="shared" si="23"/>
        <v>6.9444444444444198E-3</v>
      </c>
      <c r="J144" s="11">
        <v>1</v>
      </c>
      <c r="K144" s="11">
        <f t="shared" si="22"/>
        <v>46.28</v>
      </c>
      <c r="L144" s="16">
        <f t="shared" si="24"/>
        <v>277.68000000000103</v>
      </c>
      <c r="M144" s="11"/>
      <c r="N144" s="11"/>
      <c r="O144" s="11"/>
      <c r="P144" s="11"/>
      <c r="Q144" s="11"/>
      <c r="R144" s="12"/>
      <c r="S144" s="12"/>
      <c r="T144" s="11"/>
      <c r="U144" s="11"/>
      <c r="V144" s="12"/>
      <c r="W144" s="12">
        <v>10</v>
      </c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4"/>
    </row>
    <row r="145" spans="2:38" ht="25.05" customHeight="1">
      <c r="B145" s="13"/>
      <c r="C145" s="29"/>
      <c r="D145" s="30"/>
      <c r="E145" s="19" t="s">
        <v>1102</v>
      </c>
      <c r="F145" s="8" t="s">
        <v>42</v>
      </c>
      <c r="G145" s="9">
        <v>0.65138888888888891</v>
      </c>
      <c r="H145" s="9">
        <v>0.65833333333333333</v>
      </c>
      <c r="I145" s="10">
        <f t="shared" si="23"/>
        <v>6.9444444444444198E-3</v>
      </c>
      <c r="J145" s="11">
        <v>1</v>
      </c>
      <c r="K145" s="11">
        <f t="shared" si="22"/>
        <v>46.28</v>
      </c>
      <c r="L145" s="16">
        <f t="shared" si="24"/>
        <v>277.68000000000103</v>
      </c>
      <c r="M145" s="11"/>
      <c r="N145" s="11"/>
      <c r="O145" s="11"/>
      <c r="P145" s="11"/>
      <c r="Q145" s="11"/>
      <c r="R145" s="12"/>
      <c r="S145" s="12"/>
      <c r="T145" s="11"/>
      <c r="U145" s="11"/>
      <c r="V145" s="12">
        <v>10</v>
      </c>
      <c r="W145" s="12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4"/>
    </row>
    <row r="146" spans="2:38" ht="25.05" customHeight="1">
      <c r="B146" s="13"/>
      <c r="C146" s="29"/>
      <c r="D146" s="30"/>
      <c r="E146" s="19" t="s">
        <v>1103</v>
      </c>
      <c r="F146" s="8" t="s">
        <v>42</v>
      </c>
      <c r="G146" s="9">
        <v>0.65763888888888888</v>
      </c>
      <c r="H146" s="9">
        <v>0.6645833333333333</v>
      </c>
      <c r="I146" s="10">
        <f t="shared" si="23"/>
        <v>6.9444444444444198E-3</v>
      </c>
      <c r="J146" s="11">
        <v>1</v>
      </c>
      <c r="K146" s="11">
        <f t="shared" si="22"/>
        <v>46.28</v>
      </c>
      <c r="L146" s="16">
        <f t="shared" si="24"/>
        <v>277.68000000000103</v>
      </c>
      <c r="M146" s="11"/>
      <c r="N146" s="11"/>
      <c r="O146" s="11"/>
      <c r="P146" s="11"/>
      <c r="Q146" s="11"/>
      <c r="R146" s="12"/>
      <c r="S146" s="12"/>
      <c r="T146" s="11"/>
      <c r="U146" s="11"/>
      <c r="V146" s="12"/>
      <c r="W146" s="12">
        <v>10</v>
      </c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4"/>
    </row>
    <row r="147" spans="2:38" ht="25.05" customHeight="1">
      <c r="B147" s="13"/>
      <c r="C147" s="29"/>
      <c r="D147" s="30"/>
      <c r="E147" s="19" t="s">
        <v>1104</v>
      </c>
      <c r="F147" s="8" t="s">
        <v>42</v>
      </c>
      <c r="G147" s="9">
        <v>0.66666666666666663</v>
      </c>
      <c r="H147" s="9">
        <v>0.67361111111111116</v>
      </c>
      <c r="I147" s="10">
        <f t="shared" si="23"/>
        <v>6.9444444444445308E-3</v>
      </c>
      <c r="J147" s="11">
        <v>1</v>
      </c>
      <c r="K147" s="11">
        <f t="shared" si="22"/>
        <v>46.28</v>
      </c>
      <c r="L147" s="16">
        <f t="shared" si="24"/>
        <v>277.67999999999654</v>
      </c>
      <c r="M147" s="11"/>
      <c r="N147" s="11"/>
      <c r="O147" s="11"/>
      <c r="P147" s="11"/>
      <c r="Q147" s="11"/>
      <c r="R147" s="12"/>
      <c r="S147" s="12"/>
      <c r="T147" s="11"/>
      <c r="U147" s="11"/>
      <c r="V147" s="12">
        <v>10</v>
      </c>
      <c r="W147" s="12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4"/>
    </row>
    <row r="148" spans="2:38" ht="25.05" customHeight="1">
      <c r="B148" s="13"/>
      <c r="C148" s="29"/>
      <c r="D148" s="30"/>
      <c r="E148" s="19" t="s">
        <v>1257</v>
      </c>
      <c r="F148" s="8" t="s">
        <v>42</v>
      </c>
      <c r="G148" s="9">
        <v>0.66805555555555551</v>
      </c>
      <c r="H148" s="9">
        <v>0.67500000000000004</v>
      </c>
      <c r="I148" s="10">
        <f t="shared" si="23"/>
        <v>6.9444444444445308E-3</v>
      </c>
      <c r="J148" s="11">
        <v>1</v>
      </c>
      <c r="K148" s="11">
        <f t="shared" si="22"/>
        <v>46.28</v>
      </c>
      <c r="L148" s="16">
        <f t="shared" si="24"/>
        <v>277.67999999999654</v>
      </c>
      <c r="M148" s="11"/>
      <c r="N148" s="11"/>
      <c r="O148" s="11"/>
      <c r="P148" s="11"/>
      <c r="Q148" s="11"/>
      <c r="R148" s="12"/>
      <c r="S148" s="12"/>
      <c r="T148" s="11"/>
      <c r="U148" s="11"/>
      <c r="V148" s="12"/>
      <c r="W148" s="12">
        <v>10</v>
      </c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4"/>
    </row>
    <row r="149" spans="2:38" ht="25.05" customHeight="1">
      <c r="B149" s="13"/>
      <c r="C149" s="29"/>
      <c r="D149" s="30"/>
      <c r="E149" s="19" t="s">
        <v>1258</v>
      </c>
      <c r="F149" s="8" t="s">
        <v>42</v>
      </c>
      <c r="G149" s="9">
        <v>0.68055555555555558</v>
      </c>
      <c r="H149" s="9">
        <v>0.6875</v>
      </c>
      <c r="I149" s="10">
        <f t="shared" si="23"/>
        <v>6.9444444444444198E-3</v>
      </c>
      <c r="J149" s="11">
        <v>1</v>
      </c>
      <c r="K149" s="11">
        <f t="shared" si="22"/>
        <v>46.28</v>
      </c>
      <c r="L149" s="16">
        <f t="shared" si="24"/>
        <v>277.68000000000103</v>
      </c>
      <c r="M149" s="11"/>
      <c r="N149" s="11"/>
      <c r="O149" s="11"/>
      <c r="P149" s="11"/>
      <c r="Q149" s="11"/>
      <c r="R149" s="12"/>
      <c r="S149" s="12"/>
      <c r="T149" s="11"/>
      <c r="U149" s="11"/>
      <c r="V149" s="12">
        <v>10</v>
      </c>
      <c r="W149" s="12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4"/>
    </row>
    <row r="150" spans="2:38" ht="25.05" customHeight="1">
      <c r="B150" s="13"/>
      <c r="C150" s="29"/>
      <c r="D150" s="30"/>
      <c r="E150" s="19" t="s">
        <v>1259</v>
      </c>
      <c r="F150" s="8" t="s">
        <v>42</v>
      </c>
      <c r="G150" s="9">
        <v>0.69236111111111109</v>
      </c>
      <c r="H150" s="9">
        <v>0.69930555555555551</v>
      </c>
      <c r="I150" s="10">
        <f t="shared" si="23"/>
        <v>6.9444444444444198E-3</v>
      </c>
      <c r="J150" s="11">
        <v>1</v>
      </c>
      <c r="K150" s="11">
        <f t="shared" si="22"/>
        <v>46.28</v>
      </c>
      <c r="L150" s="16">
        <f t="shared" si="24"/>
        <v>277.68000000000103</v>
      </c>
      <c r="M150" s="11"/>
      <c r="N150" s="11"/>
      <c r="O150" s="11"/>
      <c r="P150" s="11"/>
      <c r="Q150" s="11"/>
      <c r="R150" s="12"/>
      <c r="S150" s="12"/>
      <c r="T150" s="11"/>
      <c r="U150" s="11"/>
      <c r="V150" s="12"/>
      <c r="W150" s="12">
        <v>10</v>
      </c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4"/>
    </row>
    <row r="151" spans="2:38" ht="25.05" customHeight="1">
      <c r="B151" s="13"/>
      <c r="C151" s="29"/>
      <c r="D151" s="30"/>
      <c r="E151" s="19" t="s">
        <v>1260</v>
      </c>
      <c r="F151" s="8" t="s">
        <v>42</v>
      </c>
      <c r="G151" s="9">
        <v>0.69444444444444442</v>
      </c>
      <c r="H151" s="9">
        <v>0.70138888888888884</v>
      </c>
      <c r="I151" s="10">
        <f t="shared" si="23"/>
        <v>6.9444444444444198E-3</v>
      </c>
      <c r="J151" s="11">
        <v>1</v>
      </c>
      <c r="K151" s="11">
        <f t="shared" si="22"/>
        <v>46.28</v>
      </c>
      <c r="L151" s="16">
        <f t="shared" si="24"/>
        <v>277.68000000000103</v>
      </c>
      <c r="M151" s="11"/>
      <c r="N151" s="11"/>
      <c r="O151" s="11"/>
      <c r="P151" s="11"/>
      <c r="Q151" s="11"/>
      <c r="R151" s="12"/>
      <c r="S151" s="12"/>
      <c r="T151" s="11"/>
      <c r="U151" s="11"/>
      <c r="V151" s="12">
        <v>10</v>
      </c>
      <c r="W151" s="12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4"/>
    </row>
    <row r="152" spans="2:38" ht="25.05" customHeight="1">
      <c r="B152" s="13"/>
      <c r="C152" s="29"/>
      <c r="D152" s="30"/>
      <c r="E152" s="19" t="s">
        <v>1261</v>
      </c>
      <c r="F152" s="8" t="s">
        <v>42</v>
      </c>
      <c r="G152" s="9">
        <v>0.70277777777777772</v>
      </c>
      <c r="H152" s="9">
        <v>0.70972222222222225</v>
      </c>
      <c r="I152" s="10">
        <f t="shared" si="23"/>
        <v>6.9444444444445308E-3</v>
      </c>
      <c r="J152" s="11">
        <v>1</v>
      </c>
      <c r="K152" s="11">
        <f t="shared" ref="K152:K158" si="25">0.089*520</f>
        <v>46.28</v>
      </c>
      <c r="L152" s="16">
        <f t="shared" si="24"/>
        <v>277.67999999999654</v>
      </c>
      <c r="M152" s="11"/>
      <c r="N152" s="11"/>
      <c r="O152" s="11"/>
      <c r="P152" s="11"/>
      <c r="Q152" s="11"/>
      <c r="R152" s="12"/>
      <c r="S152" s="12"/>
      <c r="T152" s="11"/>
      <c r="U152" s="11"/>
      <c r="V152" s="12"/>
      <c r="W152" s="12">
        <v>10</v>
      </c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4"/>
    </row>
    <row r="153" spans="2:38" ht="25.05" customHeight="1">
      <c r="B153" s="13"/>
      <c r="C153" s="29"/>
      <c r="D153" s="30"/>
      <c r="E153" s="19" t="s">
        <v>1262</v>
      </c>
      <c r="F153" s="8" t="s">
        <v>42</v>
      </c>
      <c r="G153" s="9">
        <v>0.70416666666666672</v>
      </c>
      <c r="H153" s="9">
        <v>0.71111111111111114</v>
      </c>
      <c r="I153" s="10">
        <f t="shared" si="23"/>
        <v>6.9444444444444198E-3</v>
      </c>
      <c r="J153" s="11">
        <v>1</v>
      </c>
      <c r="K153" s="11">
        <f t="shared" si="25"/>
        <v>46.28</v>
      </c>
      <c r="L153" s="16">
        <f t="shared" si="24"/>
        <v>277.68000000000103</v>
      </c>
      <c r="M153" s="11"/>
      <c r="N153" s="11"/>
      <c r="O153" s="11"/>
      <c r="P153" s="11"/>
      <c r="Q153" s="11"/>
      <c r="R153" s="12"/>
      <c r="S153" s="12"/>
      <c r="T153" s="11"/>
      <c r="U153" s="11"/>
      <c r="V153" s="12">
        <v>10</v>
      </c>
      <c r="W153" s="12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4"/>
    </row>
    <row r="154" spans="2:38" ht="25.05" customHeight="1">
      <c r="B154" s="13"/>
      <c r="C154" s="29"/>
      <c r="D154" s="30"/>
      <c r="E154" s="19" t="s">
        <v>1263</v>
      </c>
      <c r="F154" s="8" t="s">
        <v>42</v>
      </c>
      <c r="G154" s="9">
        <v>0.71111111111111114</v>
      </c>
      <c r="H154" s="9">
        <v>0.71805555555555556</v>
      </c>
      <c r="I154" s="10">
        <f t="shared" si="23"/>
        <v>6.9444444444444198E-3</v>
      </c>
      <c r="J154" s="11">
        <v>1</v>
      </c>
      <c r="K154" s="11">
        <f t="shared" si="25"/>
        <v>46.28</v>
      </c>
      <c r="L154" s="16">
        <f t="shared" si="24"/>
        <v>277.68000000000103</v>
      </c>
      <c r="M154" s="11"/>
      <c r="N154" s="11"/>
      <c r="O154" s="11"/>
      <c r="P154" s="11"/>
      <c r="Q154" s="11"/>
      <c r="R154" s="12"/>
      <c r="S154" s="12"/>
      <c r="T154" s="11"/>
      <c r="U154" s="11"/>
      <c r="V154" s="12"/>
      <c r="W154" s="12">
        <v>10</v>
      </c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4"/>
    </row>
    <row r="155" spans="2:38" ht="25.05" customHeight="1">
      <c r="B155" s="13"/>
      <c r="C155" s="29"/>
      <c r="D155" s="30"/>
      <c r="E155" s="19" t="s">
        <v>1264</v>
      </c>
      <c r="F155" s="8" t="s">
        <v>42</v>
      </c>
      <c r="G155" s="9">
        <v>0.71805555555555556</v>
      </c>
      <c r="H155" s="9">
        <v>0.72499999999999998</v>
      </c>
      <c r="I155" s="10">
        <f t="shared" si="23"/>
        <v>6.9444444444444198E-3</v>
      </c>
      <c r="J155" s="11">
        <v>1</v>
      </c>
      <c r="K155" s="11">
        <f t="shared" si="25"/>
        <v>46.28</v>
      </c>
      <c r="L155" s="16">
        <f t="shared" si="24"/>
        <v>277.68000000000103</v>
      </c>
      <c r="M155" s="11"/>
      <c r="N155" s="11"/>
      <c r="O155" s="11"/>
      <c r="P155" s="11"/>
      <c r="Q155" s="11"/>
      <c r="R155" s="12"/>
      <c r="S155" s="12"/>
      <c r="T155" s="11"/>
      <c r="U155" s="11"/>
      <c r="V155" s="12">
        <v>10</v>
      </c>
      <c r="W155" s="12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4"/>
    </row>
    <row r="156" spans="2:38" ht="25.05" customHeight="1">
      <c r="B156" s="13"/>
      <c r="C156" s="29"/>
      <c r="D156" s="30"/>
      <c r="E156" s="19" t="s">
        <v>1265</v>
      </c>
      <c r="F156" s="8" t="s">
        <v>42</v>
      </c>
      <c r="G156" s="9">
        <v>0.72222222222222221</v>
      </c>
      <c r="H156" s="9">
        <v>0.72916666666666663</v>
      </c>
      <c r="I156" s="10">
        <f t="shared" si="23"/>
        <v>6.9444444444444198E-3</v>
      </c>
      <c r="J156" s="11">
        <v>1</v>
      </c>
      <c r="K156" s="11">
        <f t="shared" si="25"/>
        <v>46.28</v>
      </c>
      <c r="L156" s="16">
        <f t="shared" si="24"/>
        <v>277.68000000000103</v>
      </c>
      <c r="M156" s="11"/>
      <c r="N156" s="11"/>
      <c r="O156" s="11"/>
      <c r="P156" s="11"/>
      <c r="Q156" s="11"/>
      <c r="R156" s="12"/>
      <c r="S156" s="12"/>
      <c r="T156" s="11"/>
      <c r="U156" s="11"/>
      <c r="V156" s="12"/>
      <c r="W156" s="12">
        <v>10</v>
      </c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4"/>
    </row>
    <row r="157" spans="2:38" ht="25.05" customHeight="1">
      <c r="B157" s="13"/>
      <c r="C157" s="29"/>
      <c r="D157" s="30"/>
      <c r="E157" s="19" t="s">
        <v>2602</v>
      </c>
      <c r="F157" s="8" t="s">
        <v>42</v>
      </c>
      <c r="G157" s="9">
        <v>0.72569444444444442</v>
      </c>
      <c r="H157" s="9">
        <v>0.73263888888888884</v>
      </c>
      <c r="I157" s="10">
        <f t="shared" si="23"/>
        <v>6.9444444444444198E-3</v>
      </c>
      <c r="J157" s="11">
        <v>1</v>
      </c>
      <c r="K157" s="11">
        <f t="shared" si="25"/>
        <v>46.28</v>
      </c>
      <c r="L157" s="16">
        <f t="shared" si="24"/>
        <v>277.68000000000103</v>
      </c>
      <c r="M157" s="11"/>
      <c r="N157" s="11"/>
      <c r="O157" s="11"/>
      <c r="P157" s="11"/>
      <c r="Q157" s="11"/>
      <c r="R157" s="12"/>
      <c r="S157" s="12"/>
      <c r="T157" s="11"/>
      <c r="U157" s="11"/>
      <c r="V157" s="12">
        <v>10</v>
      </c>
      <c r="W157" s="12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4"/>
    </row>
    <row r="158" spans="2:38" ht="25.05" customHeight="1">
      <c r="B158" s="13"/>
      <c r="C158" s="29"/>
      <c r="D158" s="30"/>
      <c r="E158" s="19" t="s">
        <v>2603</v>
      </c>
      <c r="F158" s="8" t="s">
        <v>42</v>
      </c>
      <c r="G158" s="9">
        <v>0.73333333333333328</v>
      </c>
      <c r="H158" s="9">
        <v>0.74027777777777781</v>
      </c>
      <c r="I158" s="10">
        <f t="shared" si="23"/>
        <v>6.9444444444445308E-3</v>
      </c>
      <c r="J158" s="11">
        <v>1</v>
      </c>
      <c r="K158" s="11">
        <f t="shared" si="25"/>
        <v>46.28</v>
      </c>
      <c r="L158" s="16">
        <f t="shared" si="24"/>
        <v>277.67999999999654</v>
      </c>
      <c r="M158" s="11"/>
      <c r="N158" s="11"/>
      <c r="O158" s="11"/>
      <c r="P158" s="11"/>
      <c r="Q158" s="11"/>
      <c r="R158" s="12"/>
      <c r="S158" s="12"/>
      <c r="T158" s="11"/>
      <c r="U158" s="11"/>
      <c r="V158" s="12"/>
      <c r="W158" s="12">
        <v>10</v>
      </c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4"/>
    </row>
    <row r="159" spans="2:38" ht="25.05" customHeight="1">
      <c r="B159" s="13"/>
      <c r="C159" s="29"/>
      <c r="D159" s="30"/>
      <c r="E159" s="19" t="s">
        <v>2604</v>
      </c>
      <c r="F159" s="8" t="s">
        <v>42</v>
      </c>
      <c r="G159" s="9">
        <v>0.7416666666666667</v>
      </c>
      <c r="H159" s="9">
        <v>0.74861111111111112</v>
      </c>
      <c r="I159" s="10">
        <f t="shared" si="23"/>
        <v>6.9444444444444198E-3</v>
      </c>
      <c r="J159" s="11">
        <v>1</v>
      </c>
      <c r="K159" s="11">
        <v>27.23</v>
      </c>
      <c r="L159" s="16">
        <f t="shared" si="24"/>
        <v>163.38000000000059</v>
      </c>
      <c r="M159" s="11"/>
      <c r="N159" s="11"/>
      <c r="O159" s="11"/>
      <c r="P159" s="11"/>
      <c r="Q159" s="11"/>
      <c r="R159" s="12"/>
      <c r="S159" s="12"/>
      <c r="T159" s="11"/>
      <c r="U159" s="11"/>
      <c r="V159" s="12">
        <v>10</v>
      </c>
      <c r="W159" s="12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4"/>
    </row>
    <row r="160" spans="2:38" ht="25.05" customHeight="1">
      <c r="B160" s="13"/>
      <c r="C160" s="29"/>
      <c r="D160" s="30"/>
      <c r="E160" s="19"/>
      <c r="F160" s="8" t="s">
        <v>42</v>
      </c>
      <c r="G160" s="9"/>
      <c r="H160" s="9"/>
      <c r="I160" s="10">
        <f t="shared" si="23"/>
        <v>0</v>
      </c>
      <c r="J160" s="11"/>
      <c r="K160" s="11"/>
      <c r="L160" s="16" t="str">
        <f t="shared" si="24"/>
        <v>0</v>
      </c>
      <c r="M160" s="11"/>
      <c r="N160" s="11"/>
      <c r="O160" s="11"/>
      <c r="P160" s="11"/>
      <c r="Q160" s="11"/>
      <c r="R160" s="12"/>
      <c r="S160" s="12"/>
      <c r="T160" s="11"/>
      <c r="U160" s="11"/>
      <c r="V160" s="12"/>
      <c r="W160" s="12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4"/>
    </row>
    <row r="161" spans="1:38" s="28" customFormat="1" ht="25.5" customHeight="1" thickBot="1">
      <c r="A161" s="2"/>
      <c r="B161" s="32"/>
      <c r="C161" s="33"/>
      <c r="D161" s="34"/>
      <c r="E161" s="35"/>
      <c r="F161" s="35"/>
      <c r="G161" s="36"/>
      <c r="H161" s="36"/>
      <c r="I161" s="37"/>
      <c r="J161" s="38"/>
      <c r="K161" s="38">
        <f t="shared" ref="K161:AL161" si="26">SUM(K35:K160)</f>
        <v>5753.1299999999919</v>
      </c>
      <c r="L161" s="39">
        <f t="shared" si="26"/>
        <v>60064.976525418846</v>
      </c>
      <c r="M161" s="38">
        <f t="shared" si="26"/>
        <v>0</v>
      </c>
      <c r="N161" s="38">
        <f t="shared" si="26"/>
        <v>0</v>
      </c>
      <c r="O161" s="38">
        <f t="shared" si="26"/>
        <v>0</v>
      </c>
      <c r="P161" s="38">
        <f t="shared" si="26"/>
        <v>0</v>
      </c>
      <c r="Q161" s="38">
        <f t="shared" si="26"/>
        <v>0</v>
      </c>
      <c r="R161" s="38">
        <f t="shared" si="26"/>
        <v>0</v>
      </c>
      <c r="S161" s="38">
        <f t="shared" si="26"/>
        <v>0</v>
      </c>
      <c r="T161" s="38">
        <f t="shared" si="26"/>
        <v>0</v>
      </c>
      <c r="U161" s="38">
        <f t="shared" si="26"/>
        <v>0</v>
      </c>
      <c r="V161" s="38">
        <f t="shared" si="26"/>
        <v>242</v>
      </c>
      <c r="W161" s="38">
        <f t="shared" si="26"/>
        <v>229</v>
      </c>
      <c r="X161" s="38">
        <f t="shared" si="26"/>
        <v>250</v>
      </c>
      <c r="Y161" s="38">
        <f t="shared" si="26"/>
        <v>205</v>
      </c>
      <c r="Z161" s="38">
        <f t="shared" si="26"/>
        <v>250</v>
      </c>
      <c r="AA161" s="38">
        <f t="shared" si="26"/>
        <v>165</v>
      </c>
      <c r="AB161" s="38">
        <f t="shared" si="26"/>
        <v>108</v>
      </c>
      <c r="AC161" s="38">
        <f t="shared" si="26"/>
        <v>133</v>
      </c>
      <c r="AD161" s="38">
        <f t="shared" si="26"/>
        <v>155</v>
      </c>
      <c r="AE161" s="38">
        <f t="shared" si="26"/>
        <v>46</v>
      </c>
      <c r="AF161" s="38">
        <f t="shared" si="26"/>
        <v>0</v>
      </c>
      <c r="AG161" s="38">
        <f t="shared" si="26"/>
        <v>0</v>
      </c>
      <c r="AH161" s="38">
        <f t="shared" si="26"/>
        <v>0</v>
      </c>
      <c r="AI161" s="38">
        <f t="shared" si="26"/>
        <v>0</v>
      </c>
      <c r="AJ161" s="38">
        <f t="shared" si="26"/>
        <v>0</v>
      </c>
      <c r="AK161" s="38">
        <f t="shared" si="26"/>
        <v>0</v>
      </c>
      <c r="AL161" s="38">
        <f t="shared" si="26"/>
        <v>0</v>
      </c>
    </row>
    <row r="162" spans="1:38" ht="38.1" customHeight="1">
      <c r="B162" s="40" t="s">
        <v>45</v>
      </c>
      <c r="C162" s="41"/>
      <c r="D162" s="41"/>
      <c r="E162" s="41"/>
      <c r="F162" s="41"/>
      <c r="G162" s="41"/>
      <c r="H162" s="41"/>
      <c r="I162" s="41"/>
      <c r="J162" s="41"/>
      <c r="K162" s="42">
        <f>K27+K34+K161</f>
        <v>8185.0699999999924</v>
      </c>
      <c r="L162" s="42">
        <f>L27+L34+L161</f>
        <v>61131.163677433498</v>
      </c>
      <c r="M162" s="43">
        <f t="shared" ref="M162:AL162" si="27">(M27+M34+M161)/(480-15-30)</f>
        <v>0.21839080459770116</v>
      </c>
      <c r="N162" s="43">
        <f t="shared" si="27"/>
        <v>0</v>
      </c>
      <c r="O162" s="43">
        <f t="shared" si="27"/>
        <v>4.1379310344827586E-2</v>
      </c>
      <c r="P162" s="43">
        <f t="shared" si="27"/>
        <v>6.8965517241379309E-2</v>
      </c>
      <c r="Q162" s="43">
        <f t="shared" si="27"/>
        <v>0</v>
      </c>
      <c r="R162" s="43">
        <f t="shared" si="27"/>
        <v>0.19540229885057472</v>
      </c>
      <c r="S162" s="43">
        <f t="shared" si="27"/>
        <v>1.5632183908045978</v>
      </c>
      <c r="T162" s="43">
        <f t="shared" si="27"/>
        <v>0</v>
      </c>
      <c r="U162" s="43">
        <f t="shared" si="27"/>
        <v>0</v>
      </c>
      <c r="V162" s="43">
        <f t="shared" si="27"/>
        <v>0.55632183908045973</v>
      </c>
      <c r="W162" s="43">
        <f t="shared" si="27"/>
        <v>0.52643678160919538</v>
      </c>
      <c r="X162" s="43">
        <f t="shared" si="27"/>
        <v>0.57471264367816088</v>
      </c>
      <c r="Y162" s="43">
        <f t="shared" si="27"/>
        <v>0.47126436781609193</v>
      </c>
      <c r="Z162" s="43">
        <f t="shared" si="27"/>
        <v>0.57471264367816088</v>
      </c>
      <c r="AA162" s="43">
        <f t="shared" si="27"/>
        <v>0.37931034482758619</v>
      </c>
      <c r="AB162" s="43">
        <f t="shared" si="27"/>
        <v>0.24827586206896551</v>
      </c>
      <c r="AC162" s="43">
        <f t="shared" si="27"/>
        <v>0.30574712643678159</v>
      </c>
      <c r="AD162" s="43">
        <f t="shared" si="27"/>
        <v>0.35632183908045978</v>
      </c>
      <c r="AE162" s="43">
        <f t="shared" si="27"/>
        <v>0.10574712643678161</v>
      </c>
      <c r="AF162" s="43">
        <f t="shared" si="27"/>
        <v>0</v>
      </c>
      <c r="AG162" s="43">
        <f t="shared" si="27"/>
        <v>0</v>
      </c>
      <c r="AH162" s="43">
        <f t="shared" si="27"/>
        <v>0</v>
      </c>
      <c r="AI162" s="43">
        <f t="shared" si="27"/>
        <v>0</v>
      </c>
      <c r="AJ162" s="43">
        <f t="shared" si="27"/>
        <v>0</v>
      </c>
      <c r="AK162" s="43">
        <f t="shared" si="27"/>
        <v>0</v>
      </c>
      <c r="AL162" s="43">
        <f t="shared" si="27"/>
        <v>0</v>
      </c>
    </row>
    <row r="163" spans="1:38" ht="25.05" customHeight="1">
      <c r="B163" s="44"/>
      <c r="C163" s="44"/>
      <c r="D163" s="44"/>
      <c r="E163" s="45"/>
      <c r="F163" s="45"/>
      <c r="G163" s="45"/>
      <c r="H163" s="45"/>
      <c r="I163" s="46"/>
      <c r="J163" s="46"/>
      <c r="K163" s="45"/>
      <c r="L163" s="47"/>
      <c r="M163" s="47"/>
      <c r="N163" s="47"/>
      <c r="O163" s="47"/>
      <c r="P163" s="47"/>
      <c r="Q163" s="45"/>
      <c r="R163" s="45"/>
      <c r="S163" s="45"/>
      <c r="T163" s="45"/>
      <c r="U163" s="45"/>
      <c r="V163" s="45"/>
      <c r="W163" s="45"/>
      <c r="X163" s="45"/>
      <c r="Y163" s="45"/>
      <c r="Z163" s="45"/>
      <c r="AA163" s="45"/>
      <c r="AB163" s="45"/>
      <c r="AC163" s="45"/>
      <c r="AD163" s="45"/>
      <c r="AE163" s="45"/>
      <c r="AF163" s="45"/>
      <c r="AG163" s="45"/>
      <c r="AH163" s="45"/>
      <c r="AI163" s="45"/>
      <c r="AJ163" s="45"/>
    </row>
    <row r="164" spans="1:38" ht="25.05" customHeight="1">
      <c r="B164" s="44"/>
      <c r="C164" s="44"/>
      <c r="D164" s="44"/>
      <c r="E164" s="45"/>
      <c r="F164" s="45"/>
      <c r="G164" s="45"/>
      <c r="H164" s="45"/>
      <c r="I164" s="48" t="s">
        <v>46</v>
      </c>
      <c r="J164" s="46"/>
      <c r="K164" s="45"/>
      <c r="L164" s="47"/>
      <c r="M164" s="47"/>
      <c r="N164" s="47"/>
      <c r="O164" s="47"/>
      <c r="P164" s="47"/>
      <c r="Q164" s="45"/>
      <c r="R164" s="45"/>
      <c r="S164" s="45"/>
      <c r="T164" s="45"/>
      <c r="U164" s="45"/>
      <c r="V164" s="45"/>
      <c r="W164" s="45"/>
      <c r="X164" s="45"/>
      <c r="Y164" s="45"/>
      <c r="Z164" s="45"/>
      <c r="AA164" s="45"/>
      <c r="AB164" s="45"/>
      <c r="AC164" s="45"/>
      <c r="AD164" s="45"/>
      <c r="AE164" s="45"/>
      <c r="AF164" s="45"/>
      <c r="AG164" s="45"/>
      <c r="AH164" s="45"/>
      <c r="AI164" s="45"/>
      <c r="AJ164" s="45"/>
    </row>
    <row r="165" spans="1:38" ht="25.05" customHeight="1">
      <c r="B165" s="44"/>
      <c r="C165" s="44"/>
      <c r="D165" s="44"/>
      <c r="E165" s="45"/>
      <c r="F165" s="45"/>
      <c r="G165" s="45"/>
      <c r="H165" s="45"/>
      <c r="I165" s="49" t="s">
        <v>47</v>
      </c>
      <c r="J165" s="9">
        <v>0</v>
      </c>
      <c r="K165" s="11">
        <v>12</v>
      </c>
      <c r="L165" s="11" t="s">
        <v>48</v>
      </c>
      <c r="M165" s="47"/>
      <c r="N165" s="14">
        <v>2</v>
      </c>
      <c r="O165" s="14"/>
      <c r="P165" s="14"/>
      <c r="Q165" s="50" t="s">
        <v>49</v>
      </c>
      <c r="R165" s="51"/>
      <c r="S165" s="45"/>
      <c r="T165" s="45"/>
      <c r="U165" s="45"/>
      <c r="V165" s="45"/>
      <c r="W165" s="45"/>
      <c r="X165" s="45"/>
      <c r="Y165" s="45"/>
      <c r="Z165" s="45"/>
      <c r="AA165" s="45"/>
      <c r="AC165" s="45"/>
      <c r="AD165" s="45"/>
      <c r="AE165" s="45"/>
      <c r="AF165" s="45"/>
      <c r="AG165" s="45"/>
      <c r="AH165" s="45"/>
    </row>
    <row r="166" spans="1:38" ht="25.05" customHeight="1">
      <c r="B166" s="44"/>
      <c r="C166" s="44"/>
      <c r="D166" s="44"/>
      <c r="E166" s="45"/>
      <c r="F166" s="45"/>
      <c r="G166" s="45"/>
      <c r="H166" s="45"/>
      <c r="I166" s="49" t="s">
        <v>50</v>
      </c>
      <c r="J166" s="9">
        <v>0</v>
      </c>
      <c r="K166" s="11">
        <v>3</v>
      </c>
      <c r="L166" s="11" t="s">
        <v>48</v>
      </c>
      <c r="M166" s="47"/>
      <c r="N166" s="14">
        <v>4</v>
      </c>
      <c r="O166" s="14"/>
      <c r="P166" s="14"/>
      <c r="Q166" s="50" t="s">
        <v>51</v>
      </c>
      <c r="R166" s="51"/>
      <c r="S166" s="45"/>
      <c r="T166" s="45"/>
      <c r="U166" s="45"/>
      <c r="V166" s="45"/>
      <c r="W166" s="45"/>
      <c r="X166" s="45"/>
      <c r="Y166" s="45"/>
      <c r="Z166" s="45"/>
      <c r="AA166" s="45"/>
      <c r="AB166" s="45"/>
      <c r="AC166" s="45"/>
      <c r="AD166" s="45"/>
      <c r="AE166" s="45"/>
      <c r="AF166" s="45"/>
      <c r="AG166" s="45"/>
      <c r="AH166" s="45"/>
    </row>
    <row r="167" spans="1:38" ht="25.05" customHeight="1">
      <c r="B167" s="44"/>
      <c r="C167" s="44"/>
      <c r="D167" s="44"/>
      <c r="E167" s="45"/>
      <c r="F167" s="45"/>
      <c r="G167" s="45"/>
      <c r="H167" s="45"/>
      <c r="I167" s="49" t="s">
        <v>52</v>
      </c>
      <c r="J167" s="9">
        <v>0</v>
      </c>
      <c r="K167" s="11">
        <v>14</v>
      </c>
      <c r="L167" s="11" t="s">
        <v>48</v>
      </c>
      <c r="M167" s="47"/>
      <c r="N167" s="14">
        <v>1</v>
      </c>
      <c r="O167" s="14"/>
      <c r="P167" s="14"/>
      <c r="Q167" s="50" t="s">
        <v>53</v>
      </c>
      <c r="R167" s="51"/>
      <c r="S167" s="45"/>
      <c r="T167" s="45"/>
      <c r="U167" s="45"/>
      <c r="V167" s="45"/>
      <c r="W167" s="45"/>
      <c r="X167" s="45"/>
      <c r="Y167" s="45"/>
      <c r="Z167" s="45"/>
      <c r="AA167" s="45"/>
      <c r="AB167" s="45"/>
      <c r="AC167" s="45"/>
      <c r="AD167" s="45"/>
      <c r="AE167" s="45"/>
      <c r="AF167" s="45"/>
      <c r="AG167" s="45"/>
      <c r="AH167" s="45"/>
    </row>
    <row r="168" spans="1:38" ht="25.05" customHeight="1">
      <c r="B168" s="44"/>
      <c r="C168" s="44"/>
      <c r="D168" s="44"/>
      <c r="E168" s="45"/>
      <c r="F168" s="45"/>
      <c r="G168" s="45"/>
      <c r="H168" s="45"/>
      <c r="I168" s="52" t="s">
        <v>54</v>
      </c>
      <c r="J168" s="53">
        <v>0</v>
      </c>
      <c r="K168" s="11">
        <v>6</v>
      </c>
      <c r="L168" s="54" t="s">
        <v>48</v>
      </c>
      <c r="M168" s="47"/>
      <c r="N168" s="14">
        <v>2</v>
      </c>
      <c r="O168" s="14"/>
      <c r="P168" s="14"/>
      <c r="Q168" s="50" t="s">
        <v>55</v>
      </c>
      <c r="R168" s="51"/>
      <c r="S168" s="45"/>
      <c r="T168" s="45"/>
      <c r="U168" s="45"/>
      <c r="V168" s="45"/>
      <c r="W168" s="45"/>
      <c r="X168" s="45"/>
      <c r="Y168" s="45"/>
      <c r="Z168" s="45"/>
      <c r="AA168" s="45"/>
      <c r="AB168" s="45"/>
      <c r="AC168" s="45"/>
      <c r="AD168" s="45"/>
      <c r="AE168" s="45"/>
      <c r="AF168" s="45"/>
      <c r="AG168" s="45"/>
      <c r="AH168" s="45"/>
    </row>
    <row r="169" spans="1:38" ht="25.05" customHeight="1">
      <c r="B169" s="44"/>
      <c r="C169" s="44"/>
      <c r="D169" s="44"/>
      <c r="E169" s="45"/>
      <c r="F169" s="45"/>
      <c r="G169" s="45"/>
      <c r="H169" s="45"/>
      <c r="I169" s="49" t="s">
        <v>56</v>
      </c>
      <c r="J169" s="9">
        <v>0</v>
      </c>
      <c r="K169" s="11">
        <v>35</v>
      </c>
      <c r="L169" s="11" t="s">
        <v>48</v>
      </c>
      <c r="M169" s="47"/>
      <c r="N169"/>
      <c r="O169"/>
      <c r="P169"/>
      <c r="Q169"/>
      <c r="S169" s="45"/>
      <c r="T169" s="45"/>
      <c r="U169" s="45"/>
      <c r="V169" s="45"/>
      <c r="W169" s="45"/>
      <c r="X169" s="45"/>
      <c r="Y169" s="45"/>
      <c r="Z169" s="45"/>
      <c r="AA169" s="45"/>
      <c r="AB169" s="45"/>
      <c r="AC169" s="45"/>
      <c r="AD169" s="45"/>
      <c r="AE169" s="45"/>
      <c r="AF169" s="45"/>
      <c r="AG169" s="45"/>
      <c r="AH169" s="45"/>
    </row>
    <row r="170" spans="1:38" ht="25.05" customHeight="1">
      <c r="B170" s="44"/>
      <c r="C170" s="44"/>
      <c r="D170" s="44"/>
      <c r="E170" s="45"/>
      <c r="F170" s="45"/>
      <c r="G170" s="45"/>
      <c r="H170" s="45"/>
      <c r="M170" s="47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  <c r="AA170" s="45"/>
      <c r="AB170" s="45"/>
      <c r="AC170" s="45"/>
      <c r="AD170" s="45"/>
      <c r="AE170" s="45"/>
      <c r="AF170" s="45"/>
      <c r="AG170" s="45"/>
      <c r="AH170" s="45"/>
    </row>
    <row r="171" spans="1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21BD6-18BF-4B1F-9EBA-6192A2CA6557}">
  <sheetPr>
    <pageSetUpPr fitToPage="1"/>
  </sheetPr>
  <dimension ref="A1:AL99"/>
  <sheetViews>
    <sheetView zoomScale="70" zoomScaleNormal="7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13">
        <v>46083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0.80555555555555558</v>
      </c>
      <c r="I4" s="10">
        <f t="shared" ref="I4:I26" si="0">H4-G4</f>
        <v>1.3888888888888951E-2</v>
      </c>
      <c r="J4" s="11">
        <v>8</v>
      </c>
      <c r="K4" s="11">
        <v>0</v>
      </c>
      <c r="L4" s="16">
        <f t="shared" ref="L4:L26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1669</v>
      </c>
      <c r="E5" s="15" t="s">
        <v>2798</v>
      </c>
      <c r="F5" s="57">
        <v>1</v>
      </c>
      <c r="G5" s="9">
        <v>0.80625000000000002</v>
      </c>
      <c r="H5" s="9">
        <v>0.81597222222222221</v>
      </c>
      <c r="I5" s="10">
        <f t="shared" si="0"/>
        <v>9.7222222222221877E-3</v>
      </c>
      <c r="J5" s="11">
        <v>2</v>
      </c>
      <c r="K5" s="11">
        <f>3.65*7</f>
        <v>25.55</v>
      </c>
      <c r="L5" s="16">
        <f t="shared" si="1"/>
        <v>54.750000000000199</v>
      </c>
      <c r="M5" s="11">
        <v>14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/>
      <c r="E6" s="44" t="s">
        <v>1742</v>
      </c>
      <c r="F6" s="8" t="s">
        <v>42</v>
      </c>
      <c r="G6" s="9">
        <v>0.80625000000000002</v>
      </c>
      <c r="H6" s="9">
        <v>0.81944444444444442</v>
      </c>
      <c r="I6" s="10">
        <f t="shared" si="0"/>
        <v>1.3194444444444398E-2</v>
      </c>
      <c r="J6" s="11">
        <v>1</v>
      </c>
      <c r="K6" s="11">
        <f>1.17*7</f>
        <v>8.19</v>
      </c>
      <c r="L6" s="16">
        <f t="shared" si="1"/>
        <v>25.863157894736933</v>
      </c>
      <c r="M6" s="11"/>
      <c r="N6" s="11"/>
      <c r="O6" s="11"/>
      <c r="P6" s="11"/>
      <c r="Q6" s="11"/>
      <c r="R6" s="12"/>
      <c r="S6" s="12">
        <v>19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/>
      <c r="E7" s="15" t="s">
        <v>2012</v>
      </c>
      <c r="F7" s="57">
        <v>1</v>
      </c>
      <c r="G7" s="9">
        <v>0.8305555555555556</v>
      </c>
      <c r="H7" s="9">
        <v>0.84027777777777779</v>
      </c>
      <c r="I7" s="10">
        <f t="shared" si="0"/>
        <v>9.7222222222221877E-3</v>
      </c>
      <c r="J7" s="11">
        <v>2</v>
      </c>
      <c r="K7" s="11">
        <f>1.62*7</f>
        <v>11.34</v>
      </c>
      <c r="L7" s="16">
        <f t="shared" si="1"/>
        <v>24.300000000000086</v>
      </c>
      <c r="M7" s="11">
        <v>14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2799</v>
      </c>
      <c r="F8" s="55" t="s">
        <v>1277</v>
      </c>
      <c r="G8" s="9">
        <v>0.88541666666666663</v>
      </c>
      <c r="H8" s="9">
        <v>0.98611111111111116</v>
      </c>
      <c r="I8" s="10">
        <f t="shared" si="0"/>
        <v>0.10069444444444453</v>
      </c>
      <c r="J8" s="11">
        <v>6</v>
      </c>
      <c r="K8" s="11">
        <f>6.6*7</f>
        <v>46.199999999999996</v>
      </c>
      <c r="L8" s="16">
        <f t="shared" si="1"/>
        <v>3.1862068965517207</v>
      </c>
      <c r="M8" s="11"/>
      <c r="N8" s="11"/>
      <c r="O8" s="11"/>
      <c r="P8" s="11"/>
      <c r="Q8" s="11"/>
      <c r="R8" s="12"/>
      <c r="S8" s="12">
        <v>145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2800</v>
      </c>
      <c r="F9" s="55" t="s">
        <v>1277</v>
      </c>
      <c r="G9" s="9">
        <v>0.9868055555555556</v>
      </c>
      <c r="H9" s="9">
        <v>46084.006944444445</v>
      </c>
      <c r="I9" s="10">
        <f t="shared" si="0"/>
        <v>46083.020138888889</v>
      </c>
      <c r="J9" s="11">
        <v>6</v>
      </c>
      <c r="K9" s="11">
        <f>3.3</f>
        <v>3.3</v>
      </c>
      <c r="L9" s="16">
        <f t="shared" si="1"/>
        <v>4.9729090232364294E-7</v>
      </c>
      <c r="M9" s="11"/>
      <c r="N9" s="11"/>
      <c r="O9" s="11"/>
      <c r="P9" s="11"/>
      <c r="Q9" s="11"/>
      <c r="R9" s="12"/>
      <c r="S9" s="12">
        <v>29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2801</v>
      </c>
      <c r="F10" s="55" t="s">
        <v>1277</v>
      </c>
      <c r="G10" s="9">
        <v>46084.069444444445</v>
      </c>
      <c r="H10" s="9">
        <v>46084.145833333336</v>
      </c>
      <c r="I10" s="10">
        <f t="shared" si="0"/>
        <v>7.6388888890505768E-2</v>
      </c>
      <c r="J10" s="11">
        <v>6</v>
      </c>
      <c r="K10" s="11">
        <f>6.6*6.5</f>
        <v>42.9</v>
      </c>
      <c r="L10" s="16">
        <f t="shared" si="1"/>
        <v>3.8999999999174508</v>
      </c>
      <c r="M10" s="11"/>
      <c r="N10" s="11"/>
      <c r="O10" s="11"/>
      <c r="P10" s="11"/>
      <c r="Q10" s="11"/>
      <c r="R10" s="12"/>
      <c r="S10" s="12">
        <v>110</v>
      </c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9"/>
      <c r="E11" s="71" t="s">
        <v>2802</v>
      </c>
      <c r="F11" s="55" t="s">
        <v>2803</v>
      </c>
      <c r="G11" s="9">
        <v>0.97569444444444442</v>
      </c>
      <c r="H11" s="9">
        <v>46084.013888888891</v>
      </c>
      <c r="I11" s="10">
        <f t="shared" si="0"/>
        <v>46083.038194444445</v>
      </c>
      <c r="J11" s="11">
        <v>2</v>
      </c>
      <c r="K11" s="11">
        <f>3.59*7</f>
        <v>25.13</v>
      </c>
      <c r="L11" s="16">
        <f t="shared" si="1"/>
        <v>1.1360832253672511E-5</v>
      </c>
      <c r="M11" s="11"/>
      <c r="N11" s="11"/>
      <c r="O11" s="11">
        <v>55</v>
      </c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68"/>
      <c r="D12" s="70"/>
      <c r="E12" s="117" t="s">
        <v>2804</v>
      </c>
      <c r="F12" s="8" t="s">
        <v>42</v>
      </c>
      <c r="G12" s="9">
        <v>46084.069444444445</v>
      </c>
      <c r="H12" s="9">
        <v>46084.145833333336</v>
      </c>
      <c r="I12" s="10">
        <f t="shared" si="0"/>
        <v>7.6388888890505768E-2</v>
      </c>
      <c r="J12" s="11">
        <v>2</v>
      </c>
      <c r="K12" s="11">
        <f>53.85*7</f>
        <v>376.95</v>
      </c>
      <c r="L12" s="16">
        <f t="shared" si="1"/>
        <v>102.80454545236944</v>
      </c>
      <c r="M12" s="11"/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114" t="s">
        <v>2805</v>
      </c>
      <c r="E13" s="56" t="s">
        <v>2806</v>
      </c>
      <c r="F13" s="55" t="s">
        <v>59</v>
      </c>
      <c r="G13" s="9">
        <v>0.81666666666666665</v>
      </c>
      <c r="H13" s="9">
        <v>0.82638888888888884</v>
      </c>
      <c r="I13" s="10">
        <f t="shared" si="0"/>
        <v>9.7222222222221877E-3</v>
      </c>
      <c r="J13" s="11">
        <v>2</v>
      </c>
      <c r="K13" s="11">
        <f>1.5*11</f>
        <v>16.5</v>
      </c>
      <c r="L13" s="16">
        <f t="shared" si="1"/>
        <v>35.357142857142982</v>
      </c>
      <c r="M13" s="11">
        <v>14</v>
      </c>
      <c r="N13" s="11"/>
      <c r="O13" s="11"/>
      <c r="P13" s="11"/>
      <c r="Q13" s="11"/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114"/>
      <c r="E14" s="17" t="s">
        <v>2807</v>
      </c>
      <c r="F14" s="8" t="s">
        <v>42</v>
      </c>
      <c r="G14" s="9">
        <v>0.80625000000000002</v>
      </c>
      <c r="H14" s="9">
        <v>0.82986111111111116</v>
      </c>
      <c r="I14" s="10">
        <f t="shared" si="0"/>
        <v>2.3611111111111138E-2</v>
      </c>
      <c r="J14" s="11">
        <v>2</v>
      </c>
      <c r="K14" s="11">
        <f>9.5*11</f>
        <v>104.5</v>
      </c>
      <c r="L14" s="16">
        <f t="shared" si="1"/>
        <v>92.20588235294106</v>
      </c>
      <c r="M14" s="11"/>
      <c r="N14" s="11"/>
      <c r="O14" s="11"/>
      <c r="P14" s="11"/>
      <c r="Q14" s="11"/>
      <c r="R14" s="12"/>
      <c r="S14" s="12">
        <v>34</v>
      </c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7" t="s">
        <v>2808</v>
      </c>
      <c r="F15" s="8" t="s">
        <v>851</v>
      </c>
      <c r="G15" s="9">
        <v>0.84791666666666665</v>
      </c>
      <c r="H15" s="9">
        <v>0.86458333333333337</v>
      </c>
      <c r="I15" s="10">
        <f t="shared" si="0"/>
        <v>1.6666666666666718E-2</v>
      </c>
      <c r="J15" s="11">
        <v>2</v>
      </c>
      <c r="K15" s="11">
        <v>104.5</v>
      </c>
      <c r="L15" s="16">
        <f t="shared" si="1"/>
        <v>130.6249999999996</v>
      </c>
      <c r="M15" s="11">
        <v>24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7" t="s">
        <v>1616</v>
      </c>
      <c r="F16" s="8" t="s">
        <v>42</v>
      </c>
      <c r="G16" s="9">
        <v>0.80625000000000002</v>
      </c>
      <c r="H16" s="9">
        <v>0.85416666666666663</v>
      </c>
      <c r="I16" s="10">
        <f t="shared" si="0"/>
        <v>4.7916666666666607E-2</v>
      </c>
      <c r="J16" s="11">
        <v>2</v>
      </c>
      <c r="K16" s="11">
        <f>4.03*127</f>
        <v>511.81000000000006</v>
      </c>
      <c r="L16" s="16">
        <f t="shared" si="1"/>
        <v>222.52608695652202</v>
      </c>
      <c r="M16" s="11"/>
      <c r="N16" s="11"/>
      <c r="O16" s="11"/>
      <c r="P16" s="11"/>
      <c r="Q16" s="11">
        <v>69</v>
      </c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58" t="s">
        <v>957</v>
      </c>
      <c r="F17" s="20">
        <v>0.5</v>
      </c>
      <c r="G17" s="9">
        <v>0.88888888888888884</v>
      </c>
      <c r="H17" s="9">
        <v>0.92361111111111116</v>
      </c>
      <c r="I17" s="10">
        <f t="shared" si="0"/>
        <v>3.4722222222222321E-2</v>
      </c>
      <c r="J17" s="11">
        <v>2</v>
      </c>
      <c r="K17" s="11">
        <f>43*11</f>
        <v>473</v>
      </c>
      <c r="L17" s="16">
        <f t="shared" si="1"/>
        <v>283.79999999999922</v>
      </c>
      <c r="M17" s="11">
        <v>50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05" customHeight="1">
      <c r="B18" s="13"/>
      <c r="C18" s="14"/>
      <c r="D18" s="31"/>
      <c r="E18" s="121" t="s">
        <v>1321</v>
      </c>
      <c r="F18" s="8" t="s">
        <v>42</v>
      </c>
      <c r="G18" s="9">
        <v>0.83402777777777781</v>
      </c>
      <c r="H18" s="9">
        <v>0.88194444444444442</v>
      </c>
      <c r="I18" s="10">
        <f t="shared" si="0"/>
        <v>4.7916666666666607E-2</v>
      </c>
      <c r="J18" s="11">
        <v>2</v>
      </c>
      <c r="K18" s="11">
        <v>59</v>
      </c>
      <c r="L18" s="16">
        <f t="shared" si="1"/>
        <v>25.652173913043512</v>
      </c>
      <c r="M18" s="11"/>
      <c r="N18" s="11"/>
      <c r="O18" s="11"/>
      <c r="P18" s="11"/>
      <c r="Q18" s="11"/>
      <c r="R18" s="12"/>
      <c r="S18" s="12">
        <v>69</v>
      </c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31"/>
      <c r="E19" s="17" t="s">
        <v>2809</v>
      </c>
      <c r="F19" s="61" t="s">
        <v>232</v>
      </c>
      <c r="G19" s="9">
        <v>0.87569444444444444</v>
      </c>
      <c r="H19" s="9">
        <v>0.88611111111111107</v>
      </c>
      <c r="I19" s="10">
        <f t="shared" si="0"/>
        <v>1.041666666666663E-2</v>
      </c>
      <c r="J19" s="11">
        <v>2</v>
      </c>
      <c r="K19" s="11">
        <f>4.5*11</f>
        <v>49.5</v>
      </c>
      <c r="L19" s="16">
        <f t="shared" si="1"/>
        <v>99.000000000000355</v>
      </c>
      <c r="M19" s="11">
        <v>15</v>
      </c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5" customHeight="1">
      <c r="B20" s="13"/>
      <c r="C20" s="14"/>
      <c r="D20" s="31"/>
      <c r="E20" s="122" t="s">
        <v>2331</v>
      </c>
      <c r="F20" s="8" t="s">
        <v>42</v>
      </c>
      <c r="G20" s="9">
        <v>0.82013888888888886</v>
      </c>
      <c r="H20" s="9">
        <v>0.84722222222222221</v>
      </c>
      <c r="I20" s="10">
        <f t="shared" si="0"/>
        <v>2.7083333333333348E-2</v>
      </c>
      <c r="J20" s="11">
        <v>2</v>
      </c>
      <c r="K20" s="11">
        <f>41</f>
        <v>41</v>
      </c>
      <c r="L20" s="16">
        <f t="shared" si="1"/>
        <v>31.538461538461522</v>
      </c>
      <c r="M20" s="11"/>
      <c r="N20" s="11"/>
      <c r="O20" s="11"/>
      <c r="P20" s="11"/>
      <c r="Q20" s="11"/>
      <c r="R20" s="12"/>
      <c r="S20" s="12">
        <v>39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56" t="s">
        <v>2810</v>
      </c>
      <c r="F21" s="59" t="s">
        <v>59</v>
      </c>
      <c r="G21" s="9">
        <v>0.86527777777777781</v>
      </c>
      <c r="H21" s="9">
        <v>0.875</v>
      </c>
      <c r="I21" s="10">
        <f t="shared" si="0"/>
        <v>9.7222222222221877E-3</v>
      </c>
      <c r="J21" s="11">
        <v>2</v>
      </c>
      <c r="K21" s="11">
        <f>3.7*11</f>
        <v>40.700000000000003</v>
      </c>
      <c r="L21" s="16">
        <f t="shared" si="1"/>
        <v>87.214285714286021</v>
      </c>
      <c r="M21" s="11">
        <v>14</v>
      </c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30" t="s">
        <v>1167</v>
      </c>
      <c r="E22" s="15" t="s">
        <v>2811</v>
      </c>
      <c r="F22" s="55" t="s">
        <v>851</v>
      </c>
      <c r="G22" s="9">
        <v>0.82708333333333328</v>
      </c>
      <c r="H22" s="9">
        <v>0.82986111111111116</v>
      </c>
      <c r="I22" s="10">
        <f t="shared" si="0"/>
        <v>2.7777777777778789E-3</v>
      </c>
      <c r="J22" s="11">
        <v>2</v>
      </c>
      <c r="K22" s="11">
        <f>2.11*4</f>
        <v>8.44</v>
      </c>
      <c r="L22" s="16">
        <f t="shared" si="1"/>
        <v>63.299999999997688</v>
      </c>
      <c r="M22" s="11">
        <v>4</v>
      </c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 t="s">
        <v>2812</v>
      </c>
      <c r="F23" s="8" t="s">
        <v>42</v>
      </c>
      <c r="G23" s="9">
        <v>0.84791666666666665</v>
      </c>
      <c r="H23" s="9">
        <v>0.86111111111111116</v>
      </c>
      <c r="I23" s="10">
        <f t="shared" si="0"/>
        <v>1.3194444444444509E-2</v>
      </c>
      <c r="J23" s="11">
        <v>2</v>
      </c>
      <c r="K23" s="11">
        <v>64</v>
      </c>
      <c r="L23" s="16">
        <f t="shared" si="1"/>
        <v>101.05263157894687</v>
      </c>
      <c r="M23" s="11"/>
      <c r="N23" s="11"/>
      <c r="O23" s="11"/>
      <c r="P23" s="11"/>
      <c r="Q23" s="11"/>
      <c r="R23" s="12"/>
      <c r="S23" s="12">
        <v>19</v>
      </c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 t="s">
        <v>2813</v>
      </c>
      <c r="F24" s="55" t="s">
        <v>232</v>
      </c>
      <c r="G24" s="9">
        <v>0.93402777777777779</v>
      </c>
      <c r="H24" s="9">
        <v>0.94791666666666663</v>
      </c>
      <c r="I24" s="10">
        <f t="shared" si="0"/>
        <v>1.388888888888884E-2</v>
      </c>
      <c r="J24" s="11">
        <v>2</v>
      </c>
      <c r="K24" s="11">
        <f>15.84*4</f>
        <v>63.36</v>
      </c>
      <c r="L24" s="16">
        <f t="shared" si="1"/>
        <v>95.040000000000347</v>
      </c>
      <c r="M24" s="11">
        <v>20</v>
      </c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 t="s">
        <v>2814</v>
      </c>
      <c r="F25" s="57">
        <v>0.9</v>
      </c>
      <c r="G25" s="9">
        <v>0.94861111111111107</v>
      </c>
      <c r="H25" s="9">
        <v>0.96875</v>
      </c>
      <c r="I25" s="10">
        <f t="shared" si="0"/>
        <v>2.0138888888888928E-2</v>
      </c>
      <c r="J25" s="11">
        <v>2</v>
      </c>
      <c r="K25" s="11">
        <f>15.84*4</f>
        <v>63.36</v>
      </c>
      <c r="L25" s="16">
        <f t="shared" si="1"/>
        <v>65.544827586206765</v>
      </c>
      <c r="M25" s="11">
        <v>29</v>
      </c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15"/>
      <c r="F26" s="55"/>
      <c r="G26" s="9"/>
      <c r="H26" s="9"/>
      <c r="I26" s="10">
        <f t="shared" si="0"/>
        <v>0</v>
      </c>
      <c r="J26" s="11"/>
      <c r="K26" s="11"/>
      <c r="L26" s="16" t="str">
        <f t="shared" si="1"/>
        <v>0</v>
      </c>
      <c r="M26" s="11"/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s="28" customFormat="1" ht="25.05" customHeight="1">
      <c r="A27" s="2"/>
      <c r="B27" s="21"/>
      <c r="C27" s="22"/>
      <c r="D27" s="23"/>
      <c r="E27" s="24"/>
      <c r="F27" s="24"/>
      <c r="G27" s="25"/>
      <c r="H27" s="25"/>
      <c r="I27" s="26"/>
      <c r="J27" s="27"/>
      <c r="K27" s="27">
        <f t="shared" ref="K27:AI27" si="2">SUM(K4:K26)</f>
        <v>2139.23</v>
      </c>
      <c r="L27" s="39">
        <f t="shared" si="2"/>
        <v>1547.6604145992469</v>
      </c>
      <c r="M27" s="27">
        <f t="shared" si="2"/>
        <v>198</v>
      </c>
      <c r="N27" s="27">
        <f t="shared" si="2"/>
        <v>0</v>
      </c>
      <c r="O27" s="27">
        <f t="shared" si="2"/>
        <v>55</v>
      </c>
      <c r="P27" s="27">
        <f t="shared" si="2"/>
        <v>0</v>
      </c>
      <c r="Q27" s="27">
        <f t="shared" si="2"/>
        <v>69</v>
      </c>
      <c r="R27" s="27">
        <f t="shared" si="2"/>
        <v>0</v>
      </c>
      <c r="S27" s="27">
        <f t="shared" si="2"/>
        <v>464</v>
      </c>
      <c r="T27" s="27">
        <f t="shared" si="2"/>
        <v>0</v>
      </c>
      <c r="U27" s="27">
        <f t="shared" si="2"/>
        <v>0</v>
      </c>
      <c r="V27" s="27">
        <f t="shared" si="2"/>
        <v>0</v>
      </c>
      <c r="W27" s="27">
        <f t="shared" si="2"/>
        <v>0</v>
      </c>
      <c r="X27" s="27">
        <f t="shared" si="2"/>
        <v>0</v>
      </c>
      <c r="Y27" s="27">
        <f t="shared" si="2"/>
        <v>0</v>
      </c>
      <c r="Z27" s="27">
        <f t="shared" si="2"/>
        <v>0</v>
      </c>
      <c r="AA27" s="27">
        <f t="shared" si="2"/>
        <v>0</v>
      </c>
      <c r="AB27" s="27">
        <f t="shared" si="2"/>
        <v>0</v>
      </c>
      <c r="AC27" s="27">
        <f t="shared" si="2"/>
        <v>0</v>
      </c>
      <c r="AD27" s="27">
        <f t="shared" si="2"/>
        <v>0</v>
      </c>
      <c r="AE27" s="27">
        <f t="shared" si="2"/>
        <v>0</v>
      </c>
      <c r="AF27" s="27">
        <f t="shared" si="2"/>
        <v>0</v>
      </c>
      <c r="AG27" s="27">
        <f t="shared" si="2"/>
        <v>0</v>
      </c>
      <c r="AH27" s="27">
        <f t="shared" si="2"/>
        <v>0</v>
      </c>
      <c r="AI27" s="27">
        <f t="shared" si="2"/>
        <v>0</v>
      </c>
      <c r="AJ27" s="27">
        <f>SUM(AJ4:AJ26)</f>
        <v>0</v>
      </c>
      <c r="AK27" s="27">
        <f>SUM(AK4:AK26)</f>
        <v>0</v>
      </c>
      <c r="AL27" s="27">
        <f>SUM(AL4:AL26)</f>
        <v>0</v>
      </c>
    </row>
    <row r="28" spans="1:38" ht="25.05" customHeight="1">
      <c r="B28" s="13"/>
      <c r="C28" s="14" t="s">
        <v>43</v>
      </c>
      <c r="D28" s="6"/>
      <c r="E28" s="7" t="s">
        <v>41</v>
      </c>
      <c r="F28" s="8" t="s">
        <v>42</v>
      </c>
      <c r="G28" s="9"/>
      <c r="H28" s="9"/>
      <c r="I28" s="10">
        <f>H28-G28</f>
        <v>0</v>
      </c>
      <c r="J28" s="11"/>
      <c r="K28" s="11"/>
      <c r="L28" s="16" t="str">
        <f>IFERROR(((K28/(J28*I28)/24)),"0")</f>
        <v>0</v>
      </c>
      <c r="M28" s="11"/>
      <c r="N28" s="11"/>
      <c r="O28" s="11"/>
      <c r="P28" s="11"/>
      <c r="Q28" s="11"/>
      <c r="R28" s="12"/>
      <c r="S28" s="12"/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18"/>
      <c r="E29" s="6"/>
      <c r="F29" s="14"/>
      <c r="G29" s="9"/>
      <c r="H29" s="9"/>
      <c r="I29" s="10"/>
      <c r="J29" s="11"/>
      <c r="K29" s="11"/>
      <c r="L29" s="16"/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s="28" customFormat="1" ht="25.05" customHeight="1">
      <c r="A30" s="2"/>
      <c r="B30" s="21"/>
      <c r="C30" s="22"/>
      <c r="D30" s="23"/>
      <c r="E30" s="24"/>
      <c r="F30" s="22"/>
      <c r="G30" s="25"/>
      <c r="H30" s="25"/>
      <c r="I30" s="26"/>
      <c r="J30" s="27"/>
      <c r="K30" s="27">
        <f t="shared" ref="K30:AI30" si="3">SUM(K28:K29)</f>
        <v>0</v>
      </c>
      <c r="L30" s="27">
        <f t="shared" si="3"/>
        <v>0</v>
      </c>
      <c r="M30" s="27">
        <f t="shared" si="3"/>
        <v>0</v>
      </c>
      <c r="N30" s="27">
        <f t="shared" si="3"/>
        <v>0</v>
      </c>
      <c r="O30" s="27">
        <f t="shared" si="3"/>
        <v>0</v>
      </c>
      <c r="P30" s="27">
        <f t="shared" si="3"/>
        <v>0</v>
      </c>
      <c r="Q30" s="27">
        <f t="shared" si="3"/>
        <v>0</v>
      </c>
      <c r="R30" s="27">
        <f t="shared" si="3"/>
        <v>0</v>
      </c>
      <c r="S30" s="27">
        <f t="shared" si="3"/>
        <v>0</v>
      </c>
      <c r="T30" s="27">
        <f t="shared" si="3"/>
        <v>0</v>
      </c>
      <c r="U30" s="27">
        <f t="shared" si="3"/>
        <v>0</v>
      </c>
      <c r="V30" s="27">
        <f t="shared" si="3"/>
        <v>0</v>
      </c>
      <c r="W30" s="27">
        <f t="shared" si="3"/>
        <v>0</v>
      </c>
      <c r="X30" s="27">
        <f t="shared" si="3"/>
        <v>0</v>
      </c>
      <c r="Y30" s="27">
        <f t="shared" si="3"/>
        <v>0</v>
      </c>
      <c r="Z30" s="27">
        <f t="shared" si="3"/>
        <v>0</v>
      </c>
      <c r="AA30" s="27">
        <f t="shared" si="3"/>
        <v>0</v>
      </c>
      <c r="AB30" s="27">
        <f t="shared" si="3"/>
        <v>0</v>
      </c>
      <c r="AC30" s="27">
        <f t="shared" si="3"/>
        <v>0</v>
      </c>
      <c r="AD30" s="27">
        <f t="shared" si="3"/>
        <v>0</v>
      </c>
      <c r="AE30" s="27">
        <f t="shared" si="3"/>
        <v>0</v>
      </c>
      <c r="AF30" s="27">
        <f t="shared" si="3"/>
        <v>0</v>
      </c>
      <c r="AG30" s="27">
        <f t="shared" si="3"/>
        <v>0</v>
      </c>
      <c r="AH30" s="27">
        <f t="shared" si="3"/>
        <v>0</v>
      </c>
      <c r="AI30" s="27">
        <f t="shared" si="3"/>
        <v>0</v>
      </c>
      <c r="AJ30" s="27">
        <f>SUM(AJ28:AJ29)</f>
        <v>0</v>
      </c>
      <c r="AK30" s="27">
        <f>SUM(AK28:AK29)</f>
        <v>0</v>
      </c>
      <c r="AL30" s="27">
        <f>SUM(AL28:AL29)</f>
        <v>0</v>
      </c>
    </row>
    <row r="31" spans="1:38" ht="25.05" customHeight="1">
      <c r="B31" s="5"/>
      <c r="C31" s="29" t="s">
        <v>44</v>
      </c>
      <c r="D31" s="30"/>
      <c r="E31" s="7" t="s">
        <v>41</v>
      </c>
      <c r="F31" s="8" t="s">
        <v>42</v>
      </c>
      <c r="G31" s="9">
        <v>0.79166666666666663</v>
      </c>
      <c r="H31" s="9">
        <v>0.83333333333333337</v>
      </c>
      <c r="I31" s="10">
        <f t="shared" ref="I31:I58" si="4">H31-G31</f>
        <v>4.1666666666666741E-2</v>
      </c>
      <c r="J31" s="11">
        <v>5</v>
      </c>
      <c r="K31" s="11">
        <v>0</v>
      </c>
      <c r="L31" s="16">
        <f t="shared" ref="L31:L58" si="5">IFERROR(((K31/(J31*I31)/24)),"0")</f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4"/>
    </row>
    <row r="32" spans="1:38" ht="25.05" customHeight="1">
      <c r="B32" s="13"/>
      <c r="C32" s="29"/>
      <c r="D32" s="6" t="s">
        <v>271</v>
      </c>
      <c r="E32" s="19" t="s">
        <v>2815</v>
      </c>
      <c r="F32" s="8" t="s">
        <v>42</v>
      </c>
      <c r="G32" s="9">
        <v>0.85277777777777775</v>
      </c>
      <c r="H32" s="9">
        <v>0.85833333333333328</v>
      </c>
      <c r="I32" s="10">
        <f t="shared" si="4"/>
        <v>5.5555555555555358E-3</v>
      </c>
      <c r="J32" s="11">
        <v>4</v>
      </c>
      <c r="K32" s="11">
        <f>3.35*11</f>
        <v>36.85</v>
      </c>
      <c r="L32" s="16">
        <f t="shared" si="5"/>
        <v>69.093750000000242</v>
      </c>
      <c r="M32" s="11"/>
      <c r="N32" s="11"/>
      <c r="O32" s="11"/>
      <c r="P32" s="11"/>
      <c r="Q32" s="11"/>
      <c r="R32" s="12"/>
      <c r="S32" s="12"/>
      <c r="T32" s="11"/>
      <c r="U32" s="11"/>
      <c r="V32" s="12">
        <v>8</v>
      </c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4"/>
    </row>
    <row r="33" spans="2:38" ht="25.05" customHeight="1">
      <c r="B33" s="13"/>
      <c r="C33" s="29"/>
      <c r="D33" s="30"/>
      <c r="E33" s="19" t="s">
        <v>2816</v>
      </c>
      <c r="F33" s="8" t="s">
        <v>42</v>
      </c>
      <c r="G33" s="9">
        <v>0.86805555555555558</v>
      </c>
      <c r="H33" s="9">
        <v>0.875</v>
      </c>
      <c r="I33" s="10">
        <f t="shared" si="4"/>
        <v>6.9444444444444198E-3</v>
      </c>
      <c r="J33" s="11">
        <v>4</v>
      </c>
      <c r="K33" s="11">
        <f>2.25*11</f>
        <v>24.75</v>
      </c>
      <c r="L33" s="16">
        <f t="shared" si="5"/>
        <v>37.125000000000135</v>
      </c>
      <c r="M33" s="11"/>
      <c r="N33" s="11"/>
      <c r="O33" s="11"/>
      <c r="P33" s="11"/>
      <c r="Q33" s="11"/>
      <c r="R33" s="12"/>
      <c r="S33" s="12"/>
      <c r="T33" s="11"/>
      <c r="U33" s="11"/>
      <c r="V33" s="12">
        <v>10</v>
      </c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4"/>
    </row>
    <row r="34" spans="2:38" ht="25.05" customHeight="1">
      <c r="B34" s="13"/>
      <c r="C34" s="29"/>
      <c r="D34" s="30"/>
      <c r="E34" s="123" t="s">
        <v>2149</v>
      </c>
      <c r="F34" s="8"/>
      <c r="G34" s="9">
        <v>0.92013888888888884</v>
      </c>
      <c r="H34" s="9">
        <v>0.94513888888888886</v>
      </c>
      <c r="I34" s="10">
        <f t="shared" si="4"/>
        <v>2.5000000000000022E-2</v>
      </c>
      <c r="J34" s="11">
        <v>4</v>
      </c>
      <c r="K34" s="11">
        <v>171.07</v>
      </c>
      <c r="L34" s="16">
        <f t="shared" si="5"/>
        <v>71.279166666666598</v>
      </c>
      <c r="M34" s="11"/>
      <c r="N34" s="11"/>
      <c r="O34" s="11"/>
      <c r="P34" s="11"/>
      <c r="Q34" s="11"/>
      <c r="R34" s="12"/>
      <c r="S34" s="12"/>
      <c r="T34" s="11"/>
      <c r="U34" s="11"/>
      <c r="V34" s="12">
        <v>2</v>
      </c>
      <c r="W34" s="12"/>
      <c r="X34" s="11"/>
      <c r="Y34" s="11"/>
      <c r="Z34" s="11"/>
      <c r="AA34" s="11"/>
      <c r="AB34" s="11"/>
      <c r="AC34" s="11">
        <v>36</v>
      </c>
      <c r="AD34" s="11"/>
      <c r="AE34" s="11"/>
      <c r="AF34" s="11"/>
      <c r="AG34" s="11"/>
      <c r="AH34" s="11"/>
      <c r="AI34" s="11"/>
      <c r="AJ34" s="11"/>
      <c r="AK34" s="11"/>
      <c r="AL34" s="14"/>
    </row>
    <row r="35" spans="2:38" ht="25.05" customHeight="1">
      <c r="B35" s="13"/>
      <c r="C35" s="29"/>
      <c r="D35" s="30"/>
      <c r="E35" s="123" t="s">
        <v>2348</v>
      </c>
      <c r="F35" s="8" t="s">
        <v>42</v>
      </c>
      <c r="G35" s="9">
        <v>0.92222222222222228</v>
      </c>
      <c r="H35" s="9">
        <v>0.94513888888888886</v>
      </c>
      <c r="I35" s="10">
        <f t="shared" si="4"/>
        <v>2.2916666666666585E-2</v>
      </c>
      <c r="J35" s="11">
        <v>4</v>
      </c>
      <c r="K35" s="11">
        <v>171.03</v>
      </c>
      <c r="L35" s="16">
        <f t="shared" si="5"/>
        <v>77.740909090909369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>
        <v>2</v>
      </c>
      <c r="X35" s="11"/>
      <c r="Y35" s="11"/>
      <c r="Z35" s="11"/>
      <c r="AA35" s="11"/>
      <c r="AB35" s="11">
        <v>33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2:38" ht="25.05" customHeight="1">
      <c r="B36" s="13"/>
      <c r="C36" s="29"/>
      <c r="D36" s="30"/>
      <c r="E36" s="123" t="s">
        <v>2349</v>
      </c>
      <c r="F36" s="8" t="s">
        <v>42</v>
      </c>
      <c r="G36" s="9">
        <v>0.93888888888888888</v>
      </c>
      <c r="H36" s="9">
        <v>0.95833333333333337</v>
      </c>
      <c r="I36" s="10">
        <f t="shared" si="4"/>
        <v>1.9444444444444486E-2</v>
      </c>
      <c r="J36" s="11">
        <v>4</v>
      </c>
      <c r="K36" s="11">
        <v>171.07</v>
      </c>
      <c r="L36" s="16">
        <f t="shared" si="5"/>
        <v>91.644642857142642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2</v>
      </c>
      <c r="W36" s="12"/>
      <c r="X36" s="11"/>
      <c r="Y36" s="11"/>
      <c r="Z36" s="11"/>
      <c r="AA36" s="11"/>
      <c r="AB36" s="11"/>
      <c r="AC36" s="11"/>
      <c r="AD36" s="11">
        <v>28</v>
      </c>
      <c r="AE36" s="11"/>
      <c r="AF36" s="11"/>
      <c r="AG36" s="11"/>
      <c r="AH36" s="11"/>
      <c r="AI36" s="11"/>
      <c r="AJ36" s="11"/>
      <c r="AK36" s="11"/>
      <c r="AL36" s="14"/>
    </row>
    <row r="37" spans="2:38" ht="25.05" customHeight="1">
      <c r="B37" s="13"/>
      <c r="C37" s="29"/>
      <c r="D37" s="30"/>
      <c r="E37" s="123" t="s">
        <v>2350</v>
      </c>
      <c r="F37" s="8" t="s">
        <v>42</v>
      </c>
      <c r="G37" s="9">
        <v>0.95625000000000004</v>
      </c>
      <c r="H37" s="9">
        <v>0.97569444444444442</v>
      </c>
      <c r="I37" s="10">
        <f t="shared" si="4"/>
        <v>1.9444444444444375E-2</v>
      </c>
      <c r="J37" s="11">
        <v>4</v>
      </c>
      <c r="K37" s="11">
        <v>173.12</v>
      </c>
      <c r="L37" s="16">
        <f t="shared" si="5"/>
        <v>92.742857142857474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2</v>
      </c>
      <c r="X37" s="11"/>
      <c r="Y37" s="11"/>
      <c r="Z37" s="11"/>
      <c r="AA37" s="11"/>
      <c r="AB37" s="11">
        <v>28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2:38" ht="25.05" customHeight="1">
      <c r="B38" s="13"/>
      <c r="C38" s="29"/>
      <c r="D38" s="30"/>
      <c r="E38" s="123" t="s">
        <v>2351</v>
      </c>
      <c r="F38" s="8" t="s">
        <v>42</v>
      </c>
      <c r="G38" s="9">
        <v>0.95763888888888893</v>
      </c>
      <c r="H38" s="9">
        <v>0.98124999999999996</v>
      </c>
      <c r="I38" s="10">
        <f t="shared" si="4"/>
        <v>2.3611111111111027E-2</v>
      </c>
      <c r="J38" s="11">
        <v>4</v>
      </c>
      <c r="K38" s="12">
        <v>171</v>
      </c>
      <c r="L38" s="16">
        <f t="shared" si="5"/>
        <v>75.441176470588502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2</v>
      </c>
      <c r="W38" s="12"/>
      <c r="X38" s="11"/>
      <c r="Y38" s="11"/>
      <c r="Z38" s="11"/>
      <c r="AA38" s="11"/>
      <c r="AB38" s="11"/>
      <c r="AC38" s="11">
        <v>34</v>
      </c>
      <c r="AD38" s="11"/>
      <c r="AE38" s="11"/>
      <c r="AF38" s="11"/>
      <c r="AG38" s="11"/>
      <c r="AH38" s="11"/>
      <c r="AI38" s="11"/>
      <c r="AJ38" s="11"/>
      <c r="AK38" s="11"/>
      <c r="AL38" s="14"/>
    </row>
    <row r="39" spans="2:38" ht="25.05" customHeight="1">
      <c r="B39" s="13"/>
      <c r="C39" s="29"/>
      <c r="D39" s="30"/>
      <c r="E39" s="123" t="s">
        <v>2352</v>
      </c>
      <c r="F39" s="8" t="s">
        <v>42</v>
      </c>
      <c r="G39" s="9">
        <v>0.96944444444444444</v>
      </c>
      <c r="H39" s="9">
        <v>0.99027777777777781</v>
      </c>
      <c r="I39" s="10">
        <f t="shared" si="4"/>
        <v>2.083333333333337E-2</v>
      </c>
      <c r="J39" s="11">
        <v>4</v>
      </c>
      <c r="K39" s="11">
        <v>171.06</v>
      </c>
      <c r="L39" s="16">
        <f t="shared" si="5"/>
        <v>85.529999999999845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2</v>
      </c>
      <c r="X39" s="11"/>
      <c r="Y39" s="11"/>
      <c r="Z39" s="11"/>
      <c r="AA39" s="11"/>
      <c r="AB39" s="11"/>
      <c r="AC39" s="11"/>
      <c r="AD39" s="11">
        <v>30</v>
      </c>
      <c r="AE39" s="11"/>
      <c r="AF39" s="11"/>
      <c r="AG39" s="11"/>
      <c r="AH39" s="11"/>
      <c r="AI39" s="11"/>
      <c r="AJ39" s="11"/>
      <c r="AK39" s="11"/>
      <c r="AL39" s="14"/>
    </row>
    <row r="40" spans="2:38" ht="25.05" customHeight="1">
      <c r="B40" s="13"/>
      <c r="C40" s="29"/>
      <c r="D40" s="30"/>
      <c r="E40" s="123" t="s">
        <v>2353</v>
      </c>
      <c r="F40" s="8" t="s">
        <v>42</v>
      </c>
      <c r="G40" s="9">
        <v>0.98541666666666672</v>
      </c>
      <c r="H40" s="9">
        <v>1.0041666666666667</v>
      </c>
      <c r="I40" s="10">
        <f t="shared" si="4"/>
        <v>1.8749999999999933E-2</v>
      </c>
      <c r="J40" s="11">
        <v>4</v>
      </c>
      <c r="K40" s="11">
        <v>172.38</v>
      </c>
      <c r="L40" s="16">
        <f t="shared" si="5"/>
        <v>95.766666666667007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2</v>
      </c>
      <c r="W40" s="12"/>
      <c r="X40" s="11"/>
      <c r="Y40" s="11"/>
      <c r="Z40" s="11"/>
      <c r="AA40" s="11"/>
      <c r="AB40" s="11"/>
      <c r="AC40" s="11">
        <v>27</v>
      </c>
      <c r="AD40" s="11"/>
      <c r="AE40" s="11"/>
      <c r="AF40" s="11"/>
      <c r="AG40" s="11"/>
      <c r="AH40" s="11"/>
      <c r="AI40" s="11"/>
      <c r="AJ40" s="11"/>
      <c r="AK40" s="11"/>
      <c r="AL40" s="14"/>
    </row>
    <row r="41" spans="2:38" ht="25.05" customHeight="1">
      <c r="B41" s="13"/>
      <c r="C41" s="29"/>
      <c r="D41" s="30"/>
      <c r="E41" s="123" t="s">
        <v>2354</v>
      </c>
      <c r="F41" s="8" t="s">
        <v>42</v>
      </c>
      <c r="G41" s="9">
        <v>0.98958333333333337</v>
      </c>
      <c r="H41" s="9">
        <v>1.0069444444444444</v>
      </c>
      <c r="I41" s="10">
        <f t="shared" si="4"/>
        <v>1.7361111111111049E-2</v>
      </c>
      <c r="J41" s="11">
        <v>4</v>
      </c>
      <c r="K41" s="11">
        <v>173.26</v>
      </c>
      <c r="L41" s="16">
        <f t="shared" si="5"/>
        <v>103.95600000000036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2</v>
      </c>
      <c r="X41" s="11"/>
      <c r="Y41" s="11"/>
      <c r="Z41" s="11"/>
      <c r="AA41" s="11"/>
      <c r="AB41" s="11">
        <v>25</v>
      </c>
      <c r="AC41" s="11"/>
      <c r="AD41" s="11"/>
      <c r="AE41" s="11"/>
      <c r="AF41" s="11"/>
      <c r="AG41" s="11"/>
      <c r="AH41" s="11"/>
      <c r="AI41" s="11"/>
      <c r="AJ41" s="11"/>
      <c r="AK41" s="11"/>
      <c r="AL41" s="14"/>
    </row>
    <row r="42" spans="2:38" ht="25.05" customHeight="1">
      <c r="B42" s="13"/>
      <c r="C42" s="29"/>
      <c r="D42" s="30"/>
      <c r="E42" s="123" t="s">
        <v>2355</v>
      </c>
      <c r="F42" s="8" t="s">
        <v>42</v>
      </c>
      <c r="G42" s="9">
        <v>7.4305555555555555E-2</v>
      </c>
      <c r="H42" s="9">
        <v>9.4444444444444442E-2</v>
      </c>
      <c r="I42" s="10">
        <f t="shared" si="4"/>
        <v>2.0138888888888887E-2</v>
      </c>
      <c r="J42" s="11">
        <v>4</v>
      </c>
      <c r="K42" s="12">
        <v>170.8</v>
      </c>
      <c r="L42" s="16">
        <f t="shared" si="5"/>
        <v>88.344827586206918</v>
      </c>
      <c r="M42" s="11"/>
      <c r="N42" s="11"/>
      <c r="O42" s="11"/>
      <c r="P42" s="11"/>
      <c r="Q42" s="11"/>
      <c r="R42" s="12"/>
      <c r="S42" s="12"/>
      <c r="T42" s="11"/>
      <c r="U42" s="11"/>
      <c r="V42" s="12">
        <v>2</v>
      </c>
      <c r="W42" s="12"/>
      <c r="X42" s="11"/>
      <c r="Y42" s="11"/>
      <c r="Z42" s="11"/>
      <c r="AA42" s="11"/>
      <c r="AB42" s="11"/>
      <c r="AC42" s="11"/>
      <c r="AD42" s="11">
        <v>29</v>
      </c>
      <c r="AE42" s="11"/>
      <c r="AF42" s="11"/>
      <c r="AG42" s="11"/>
      <c r="AH42" s="11"/>
      <c r="AI42" s="11"/>
      <c r="AJ42" s="11"/>
      <c r="AK42" s="11"/>
      <c r="AL42" s="14"/>
    </row>
    <row r="43" spans="2:38" ht="25.05" customHeight="1">
      <c r="B43" s="13"/>
      <c r="C43" s="29"/>
      <c r="D43" s="30"/>
      <c r="E43" s="123" t="s">
        <v>2356</v>
      </c>
      <c r="F43" s="8" t="s">
        <v>42</v>
      </c>
      <c r="G43" s="9">
        <v>0.10277777777777777</v>
      </c>
      <c r="H43" s="9">
        <v>0.12222222222222222</v>
      </c>
      <c r="I43" s="10">
        <f t="shared" si="4"/>
        <v>1.9444444444444445E-2</v>
      </c>
      <c r="J43" s="11">
        <v>4</v>
      </c>
      <c r="K43" s="11">
        <v>172.78</v>
      </c>
      <c r="L43" s="16">
        <f t="shared" si="5"/>
        <v>92.560714285714297</v>
      </c>
      <c r="M43" s="11"/>
      <c r="N43" s="11"/>
      <c r="O43" s="11"/>
      <c r="P43" s="11"/>
      <c r="Q43" s="11"/>
      <c r="R43" s="12"/>
      <c r="S43" s="12"/>
      <c r="T43" s="11"/>
      <c r="U43" s="11"/>
      <c r="V43" s="12"/>
      <c r="W43" s="12">
        <v>2</v>
      </c>
      <c r="X43" s="11"/>
      <c r="Y43" s="11"/>
      <c r="Z43" s="11"/>
      <c r="AA43" s="11"/>
      <c r="AB43" s="11"/>
      <c r="AC43" s="11"/>
      <c r="AD43" s="11">
        <v>28</v>
      </c>
      <c r="AE43" s="11"/>
      <c r="AF43" s="11"/>
      <c r="AG43" s="11"/>
      <c r="AH43" s="11"/>
      <c r="AI43" s="11"/>
      <c r="AJ43" s="11"/>
      <c r="AK43" s="11"/>
      <c r="AL43" s="14"/>
    </row>
    <row r="44" spans="2:38" ht="25.05" customHeight="1">
      <c r="B44" s="13"/>
      <c r="C44" s="29"/>
      <c r="D44" s="30"/>
      <c r="E44" s="123" t="s">
        <v>2357</v>
      </c>
      <c r="F44" s="8" t="s">
        <v>42</v>
      </c>
      <c r="G44" s="9">
        <v>0.12777777777777777</v>
      </c>
      <c r="H44" s="9">
        <v>0.14583333333333334</v>
      </c>
      <c r="I44" s="10">
        <f t="shared" si="4"/>
        <v>1.8055555555555575E-2</v>
      </c>
      <c r="J44" s="11">
        <v>4</v>
      </c>
      <c r="K44" s="11">
        <v>172.85</v>
      </c>
      <c r="L44" s="16">
        <f t="shared" si="5"/>
        <v>99.72115384615374</v>
      </c>
      <c r="M44" s="11"/>
      <c r="N44" s="11"/>
      <c r="O44" s="11"/>
      <c r="P44" s="11"/>
      <c r="Q44" s="11"/>
      <c r="R44" s="12"/>
      <c r="S44" s="12"/>
      <c r="T44" s="11"/>
      <c r="U44" s="11"/>
      <c r="V44" s="12">
        <v>2</v>
      </c>
      <c r="W44" s="12"/>
      <c r="X44" s="11"/>
      <c r="Y44" s="11"/>
      <c r="Z44" s="11"/>
      <c r="AA44" s="11"/>
      <c r="AB44" s="11"/>
      <c r="AC44" s="11"/>
      <c r="AD44" s="11">
        <v>26</v>
      </c>
      <c r="AE44" s="11"/>
      <c r="AF44" s="11"/>
      <c r="AG44" s="11"/>
      <c r="AH44" s="11"/>
      <c r="AI44" s="11"/>
      <c r="AJ44" s="11"/>
      <c r="AK44" s="11"/>
      <c r="AL44" s="14"/>
    </row>
    <row r="45" spans="2:38" ht="25.05" customHeight="1">
      <c r="B45" s="13"/>
      <c r="C45" s="29"/>
      <c r="D45" s="30"/>
      <c r="E45" s="19"/>
      <c r="F45" s="8" t="s">
        <v>42</v>
      </c>
      <c r="G45" s="9"/>
      <c r="H45" s="9"/>
      <c r="I45" s="10"/>
      <c r="J45" s="11"/>
      <c r="K45" s="11"/>
      <c r="L45" s="16"/>
      <c r="M45" s="11"/>
      <c r="N45" s="11"/>
      <c r="O45" s="11"/>
      <c r="P45" s="11"/>
      <c r="Q45" s="11"/>
      <c r="R45" s="12"/>
      <c r="S45" s="12"/>
      <c r="T45" s="11"/>
      <c r="U45" s="11"/>
      <c r="V45" s="12"/>
      <c r="W45" s="12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4"/>
    </row>
    <row r="46" spans="2:38" ht="25.05" customHeight="1">
      <c r="B46" s="13"/>
      <c r="C46" s="29"/>
      <c r="D46" s="6" t="s">
        <v>1669</v>
      </c>
      <c r="E46" s="19" t="s">
        <v>476</v>
      </c>
      <c r="F46" s="8" t="s">
        <v>42</v>
      </c>
      <c r="G46" s="9">
        <v>0.84583333333333333</v>
      </c>
      <c r="H46" s="9">
        <v>0.88749999999999996</v>
      </c>
      <c r="I46" s="10">
        <f t="shared" si="4"/>
        <v>4.166666666666663E-2</v>
      </c>
      <c r="J46" s="11">
        <v>5</v>
      </c>
      <c r="K46" s="12">
        <v>108.4</v>
      </c>
      <c r="L46" s="16">
        <f t="shared" si="5"/>
        <v>21.680000000000021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2</v>
      </c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2">
        <f>60/4</f>
        <v>15</v>
      </c>
      <c r="AH46" s="12">
        <f>60/4</f>
        <v>15</v>
      </c>
      <c r="AI46" s="12">
        <f>60/4</f>
        <v>15</v>
      </c>
      <c r="AJ46" s="12">
        <f>60/4</f>
        <v>15</v>
      </c>
      <c r="AK46" s="11"/>
      <c r="AL46" s="14"/>
    </row>
    <row r="47" spans="2:38" ht="25.05" customHeight="1">
      <c r="B47" s="13"/>
      <c r="C47" s="29"/>
      <c r="D47" s="30"/>
      <c r="E47" s="19" t="s">
        <v>477</v>
      </c>
      <c r="F47" s="8" t="s">
        <v>42</v>
      </c>
      <c r="G47" s="9">
        <v>0.8881944444444444</v>
      </c>
      <c r="H47" s="9">
        <v>0.93333333333333335</v>
      </c>
      <c r="I47" s="10">
        <f t="shared" si="4"/>
        <v>4.5138888888888951E-2</v>
      </c>
      <c r="J47" s="11">
        <v>5</v>
      </c>
      <c r="K47" s="11">
        <v>102.61</v>
      </c>
      <c r="L47" s="16">
        <f t="shared" si="5"/>
        <v>18.943384615384591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>
        <v>2</v>
      </c>
      <c r="X47" s="11"/>
      <c r="Y47" s="11"/>
      <c r="Z47" s="11"/>
      <c r="AA47" s="11"/>
      <c r="AB47" s="11"/>
      <c r="AC47" s="11"/>
      <c r="AD47" s="11"/>
      <c r="AE47" s="11"/>
      <c r="AF47" s="11"/>
      <c r="AG47" s="11">
        <f>65/4</f>
        <v>16.25</v>
      </c>
      <c r="AH47" s="11">
        <f>65/4</f>
        <v>16.25</v>
      </c>
      <c r="AI47" s="11">
        <f>65/4</f>
        <v>16.25</v>
      </c>
      <c r="AJ47" s="11">
        <f>65/4</f>
        <v>16.25</v>
      </c>
      <c r="AK47" s="11"/>
      <c r="AL47" s="14"/>
    </row>
    <row r="48" spans="2:38" ht="25.05" customHeight="1">
      <c r="B48" s="13"/>
      <c r="C48" s="29"/>
      <c r="D48" s="30"/>
      <c r="E48" s="19" t="s">
        <v>1790</v>
      </c>
      <c r="F48" s="8" t="s">
        <v>42</v>
      </c>
      <c r="G48" s="9">
        <v>0.86111111111111116</v>
      </c>
      <c r="H48" s="9">
        <v>0.87777777777777777</v>
      </c>
      <c r="I48" s="10">
        <f t="shared" si="4"/>
        <v>1.6666666666666607E-2</v>
      </c>
      <c r="J48" s="11">
        <v>4</v>
      </c>
      <c r="K48" s="12">
        <v>100.5</v>
      </c>
      <c r="L48" s="16">
        <f t="shared" si="5"/>
        <v>62.812500000000227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>
        <v>24</v>
      </c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1792</v>
      </c>
      <c r="F49" s="8" t="s">
        <v>42</v>
      </c>
      <c r="G49" s="9">
        <v>0.87569444444444444</v>
      </c>
      <c r="H49" s="9">
        <v>0.89236111111111116</v>
      </c>
      <c r="I49" s="10">
        <f t="shared" si="4"/>
        <v>1.6666666666666718E-2</v>
      </c>
      <c r="J49" s="11">
        <v>4</v>
      </c>
      <c r="K49" s="11">
        <v>100.52</v>
      </c>
      <c r="L49" s="16">
        <f t="shared" si="5"/>
        <v>62.824999999999797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>
        <v>24</v>
      </c>
      <c r="AC49" s="11"/>
      <c r="AD49" s="11"/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1793</v>
      </c>
      <c r="F50" s="8" t="s">
        <v>42</v>
      </c>
      <c r="G50" s="9">
        <v>0.88194444444444442</v>
      </c>
      <c r="H50" s="9">
        <v>0.8979166666666667</v>
      </c>
      <c r="I50" s="10">
        <f t="shared" si="4"/>
        <v>1.5972222222222276E-2</v>
      </c>
      <c r="J50" s="11">
        <v>4</v>
      </c>
      <c r="K50" s="12">
        <v>101.7</v>
      </c>
      <c r="L50" s="16">
        <f t="shared" si="5"/>
        <v>66.326086956521507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/>
      <c r="AC50" s="11">
        <v>23</v>
      </c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1794</v>
      </c>
      <c r="F51" s="8" t="s">
        <v>42</v>
      </c>
      <c r="G51" s="9">
        <v>0.88402777777777775</v>
      </c>
      <c r="H51" s="9">
        <v>0.9</v>
      </c>
      <c r="I51" s="10">
        <f t="shared" si="4"/>
        <v>1.5972222222222276E-2</v>
      </c>
      <c r="J51" s="11">
        <v>4</v>
      </c>
      <c r="K51" s="11">
        <v>101.84</v>
      </c>
      <c r="L51" s="16">
        <f t="shared" si="5"/>
        <v>66.417391304347603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>
        <v>23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1795</v>
      </c>
      <c r="F52" s="8" t="s">
        <v>42</v>
      </c>
      <c r="G52" s="9">
        <v>0.8979166666666667</v>
      </c>
      <c r="H52" s="9">
        <v>0.91388888888888886</v>
      </c>
      <c r="I52" s="10">
        <f t="shared" si="4"/>
        <v>1.5972222222222165E-2</v>
      </c>
      <c r="J52" s="11">
        <v>4</v>
      </c>
      <c r="K52" s="12">
        <v>102</v>
      </c>
      <c r="L52" s="16">
        <f t="shared" si="5"/>
        <v>66.521739130435023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/>
      <c r="AB52" s="11">
        <v>23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1796</v>
      </c>
      <c r="F53" s="8" t="s">
        <v>42</v>
      </c>
      <c r="G53" s="9">
        <v>0.90208333333333335</v>
      </c>
      <c r="H53" s="9">
        <v>0.91805555555555551</v>
      </c>
      <c r="I53" s="10">
        <f t="shared" si="4"/>
        <v>1.5972222222222165E-2</v>
      </c>
      <c r="J53" s="11">
        <v>4</v>
      </c>
      <c r="K53" s="12">
        <v>102</v>
      </c>
      <c r="L53" s="16">
        <f t="shared" si="5"/>
        <v>66.521739130435023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>
        <v>23</v>
      </c>
      <c r="AD53" s="11"/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1797</v>
      </c>
      <c r="F54" s="8" t="s">
        <v>42</v>
      </c>
      <c r="G54" s="9">
        <v>0.90555555555555556</v>
      </c>
      <c r="H54" s="9">
        <v>0.92222222222222228</v>
      </c>
      <c r="I54" s="10">
        <f t="shared" si="4"/>
        <v>1.6666666666666718E-2</v>
      </c>
      <c r="J54" s="11">
        <v>4</v>
      </c>
      <c r="K54" s="11">
        <v>100.66</v>
      </c>
      <c r="L54" s="16">
        <f t="shared" si="5"/>
        <v>62.912499999999802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/>
      <c r="AB54" s="11"/>
      <c r="AC54" s="11"/>
      <c r="AD54" s="11">
        <v>24</v>
      </c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2817</v>
      </c>
      <c r="F55" s="8" t="s">
        <v>42</v>
      </c>
      <c r="G55" s="9">
        <v>0.8520833333333333</v>
      </c>
      <c r="H55" s="9">
        <v>0.85833333333333328</v>
      </c>
      <c r="I55" s="10">
        <f t="shared" si="4"/>
        <v>6.2499999999999778E-3</v>
      </c>
      <c r="J55" s="11">
        <v>4</v>
      </c>
      <c r="K55" s="11">
        <v>56.72</v>
      </c>
      <c r="L55" s="16">
        <f t="shared" si="5"/>
        <v>94.533333333333658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>
        <v>9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1972</v>
      </c>
      <c r="F56" s="8" t="s">
        <v>42</v>
      </c>
      <c r="G56" s="9">
        <v>0.92152777777777772</v>
      </c>
      <c r="H56" s="9">
        <v>0.95277777777777772</v>
      </c>
      <c r="I56" s="10">
        <f t="shared" si="4"/>
        <v>3.125E-2</v>
      </c>
      <c r="J56" s="11">
        <v>4</v>
      </c>
      <c r="K56" s="11">
        <f>20*4.25</f>
        <v>85</v>
      </c>
      <c r="L56" s="16">
        <f t="shared" si="5"/>
        <v>28.333333333333332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>
        <v>45</v>
      </c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1973</v>
      </c>
      <c r="F57" s="8" t="s">
        <v>42</v>
      </c>
      <c r="G57" s="9">
        <v>0.9291666666666667</v>
      </c>
      <c r="H57" s="9">
        <v>0.9604166666666667</v>
      </c>
      <c r="I57" s="10">
        <f t="shared" si="4"/>
        <v>3.125E-2</v>
      </c>
      <c r="J57" s="11">
        <v>4</v>
      </c>
      <c r="K57" s="11">
        <f>10*4.25</f>
        <v>42.5</v>
      </c>
      <c r="L57" s="16">
        <f t="shared" si="5"/>
        <v>14.166666666666666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>
        <v>45</v>
      </c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1974</v>
      </c>
      <c r="F58" s="14"/>
      <c r="G58" s="9">
        <v>0.9291666666666667</v>
      </c>
      <c r="H58" s="9">
        <v>0.9604166666666667</v>
      </c>
      <c r="I58" s="10">
        <f t="shared" si="4"/>
        <v>3.125E-2</v>
      </c>
      <c r="J58" s="11">
        <v>4</v>
      </c>
      <c r="K58" s="11">
        <v>85</v>
      </c>
      <c r="L58" s="16">
        <f t="shared" si="5"/>
        <v>28.333333333333332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>
        <v>45</v>
      </c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1975</v>
      </c>
      <c r="F59" s="8" t="s">
        <v>42</v>
      </c>
      <c r="G59" s="9">
        <v>0.93888888888888888</v>
      </c>
      <c r="H59" s="9">
        <v>0.97013888888888888</v>
      </c>
      <c r="I59" s="10">
        <f t="shared" ref="I59:I70" si="6">H59-G59</f>
        <v>3.125E-2</v>
      </c>
      <c r="J59" s="11">
        <v>4</v>
      </c>
      <c r="K59" s="11">
        <v>42.5</v>
      </c>
      <c r="L59" s="16">
        <f t="shared" ref="L59:L70" si="7">IFERROR(((K59/(J59*I59)/24)),"0")</f>
        <v>14.166666666666666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>
        <v>45</v>
      </c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1976</v>
      </c>
      <c r="F60" s="8" t="s">
        <v>42</v>
      </c>
      <c r="G60" s="9">
        <v>0.96597222222222223</v>
      </c>
      <c r="H60" s="9">
        <v>0.99722222222222223</v>
      </c>
      <c r="I60" s="10">
        <f t="shared" si="6"/>
        <v>3.125E-2</v>
      </c>
      <c r="J60" s="11">
        <v>4</v>
      </c>
      <c r="K60" s="11">
        <v>85</v>
      </c>
      <c r="L60" s="16">
        <f t="shared" si="7"/>
        <v>28.333333333333332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>
        <v>45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1977</v>
      </c>
      <c r="F61" s="8" t="s">
        <v>42</v>
      </c>
      <c r="G61" s="9">
        <v>0.97361111111111109</v>
      </c>
      <c r="H61" s="9">
        <v>1.0048611111111112</v>
      </c>
      <c r="I61" s="10">
        <f t="shared" si="6"/>
        <v>3.1250000000000111E-2</v>
      </c>
      <c r="J61" s="11">
        <v>4</v>
      </c>
      <c r="K61" s="11">
        <v>42.5</v>
      </c>
      <c r="L61" s="16">
        <f t="shared" si="7"/>
        <v>14.166666666666616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/>
      <c r="Y61" s="11">
        <v>45</v>
      </c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1978</v>
      </c>
      <c r="F62" s="8" t="s">
        <v>42</v>
      </c>
      <c r="G62" s="9">
        <v>0.97361111111111109</v>
      </c>
      <c r="H62" s="9">
        <v>1.0048611111111112</v>
      </c>
      <c r="I62" s="10">
        <f t="shared" si="6"/>
        <v>3.1250000000000111E-2</v>
      </c>
      <c r="J62" s="11">
        <v>4</v>
      </c>
      <c r="K62" s="11">
        <v>85</v>
      </c>
      <c r="L62" s="16">
        <f t="shared" si="7"/>
        <v>28.333333333333233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>
        <v>45</v>
      </c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1979</v>
      </c>
      <c r="F63" s="8" t="s">
        <v>42</v>
      </c>
      <c r="G63" s="9">
        <v>0.9770833333333333</v>
      </c>
      <c r="H63" s="9">
        <v>1.0083333333333333</v>
      </c>
      <c r="I63" s="10">
        <f t="shared" si="6"/>
        <v>3.125E-2</v>
      </c>
      <c r="J63" s="11">
        <v>4</v>
      </c>
      <c r="K63" s="11">
        <v>42.5</v>
      </c>
      <c r="L63" s="16">
        <f t="shared" si="7"/>
        <v>14.166666666666666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>
        <v>45</v>
      </c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/>
      <c r="F64" s="8" t="s">
        <v>42</v>
      </c>
      <c r="G64" s="9"/>
      <c r="H64" s="9"/>
      <c r="I64" s="10"/>
      <c r="J64" s="11"/>
      <c r="K64" s="11"/>
      <c r="L64" s="16"/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1:38" ht="25.05" customHeight="1">
      <c r="B65" s="13"/>
      <c r="C65" s="29"/>
      <c r="D65" s="30" t="s">
        <v>1167</v>
      </c>
      <c r="E65" s="19" t="s">
        <v>2818</v>
      </c>
      <c r="F65" s="8" t="s">
        <v>42</v>
      </c>
      <c r="G65" s="9">
        <v>0.97291666666666665</v>
      </c>
      <c r="H65" s="9">
        <v>1.0916666666666666</v>
      </c>
      <c r="I65" s="10">
        <f>H65-G65</f>
        <v>0.11874999999999991</v>
      </c>
      <c r="J65" s="11">
        <v>5</v>
      </c>
      <c r="K65" s="12">
        <v>109.8</v>
      </c>
      <c r="L65" s="16">
        <f t="shared" si="7"/>
        <v>7.7052631578947421</v>
      </c>
      <c r="M65" s="11"/>
      <c r="N65" s="11"/>
      <c r="O65" s="11"/>
      <c r="P65" s="11"/>
      <c r="Q65" s="11"/>
      <c r="R65" s="12"/>
      <c r="S65" s="12"/>
      <c r="T65" s="11"/>
      <c r="U65" s="11"/>
      <c r="V65" s="12">
        <v>2</v>
      </c>
      <c r="W65" s="12"/>
      <c r="X65" s="11"/>
      <c r="Y65" s="11"/>
      <c r="Z65" s="11"/>
      <c r="AA65" s="11"/>
      <c r="AB65" s="11"/>
      <c r="AC65" s="11"/>
      <c r="AD65" s="11"/>
      <c r="AE65" s="11"/>
      <c r="AF65" s="11"/>
      <c r="AG65" s="11">
        <f>171/4</f>
        <v>42.75</v>
      </c>
      <c r="AH65" s="11">
        <f>171/4</f>
        <v>42.75</v>
      </c>
      <c r="AI65" s="11">
        <f>171/4</f>
        <v>42.75</v>
      </c>
      <c r="AJ65" s="11">
        <f>171/4</f>
        <v>42.75</v>
      </c>
      <c r="AK65" s="11"/>
      <c r="AL65" s="14"/>
    </row>
    <row r="66" spans="1:38" ht="25.05" customHeight="1">
      <c r="B66" s="13"/>
      <c r="C66" s="29"/>
      <c r="D66" s="30"/>
      <c r="E66" s="19" t="s">
        <v>2819</v>
      </c>
      <c r="F66" s="8" t="s">
        <v>42</v>
      </c>
      <c r="G66" s="9">
        <v>9.375E-2</v>
      </c>
      <c r="H66" s="9">
        <v>0.13750000000000001</v>
      </c>
      <c r="I66" s="10">
        <f t="shared" si="6"/>
        <v>4.3750000000000011E-2</v>
      </c>
      <c r="J66" s="11">
        <v>5</v>
      </c>
      <c r="K66" s="11">
        <v>103.41</v>
      </c>
      <c r="L66" s="16">
        <f t="shared" si="7"/>
        <v>19.69714285714285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2</v>
      </c>
      <c r="X66" s="11"/>
      <c r="Y66" s="11"/>
      <c r="Z66" s="11"/>
      <c r="AA66" s="11"/>
      <c r="AB66" s="11"/>
      <c r="AC66" s="11"/>
      <c r="AD66" s="11"/>
      <c r="AE66" s="11"/>
      <c r="AF66" s="11"/>
      <c r="AG66" s="11">
        <f>63/4</f>
        <v>15.75</v>
      </c>
      <c r="AH66" s="11">
        <f>63/4</f>
        <v>15.75</v>
      </c>
      <c r="AI66" s="11">
        <f>63/4</f>
        <v>15.75</v>
      </c>
      <c r="AJ66" s="11">
        <f>63/4</f>
        <v>15.75</v>
      </c>
      <c r="AK66" s="11"/>
      <c r="AL66" s="14"/>
    </row>
    <row r="67" spans="1:38" ht="25.05" customHeight="1">
      <c r="B67" s="13"/>
      <c r="C67" s="29"/>
      <c r="D67" s="30"/>
      <c r="E67" s="19" t="s">
        <v>2820</v>
      </c>
      <c r="F67" s="8" t="s">
        <v>42</v>
      </c>
      <c r="G67" s="9">
        <v>0.13819444444444445</v>
      </c>
      <c r="H67" s="9">
        <v>0.18124999999999999</v>
      </c>
      <c r="I67" s="10">
        <f t="shared" si="6"/>
        <v>4.3055555555555541E-2</v>
      </c>
      <c r="J67" s="11">
        <v>5</v>
      </c>
      <c r="K67" s="11">
        <v>102.6</v>
      </c>
      <c r="L67" s="16">
        <f t="shared" si="7"/>
        <v>19.858064516129037</v>
      </c>
      <c r="M67" s="11"/>
      <c r="N67" s="11"/>
      <c r="O67" s="11"/>
      <c r="P67" s="11"/>
      <c r="Q67" s="11"/>
      <c r="R67" s="12"/>
      <c r="S67" s="12"/>
      <c r="T67" s="11"/>
      <c r="U67" s="11"/>
      <c r="V67" s="12">
        <v>2</v>
      </c>
      <c r="W67" s="12"/>
      <c r="X67" s="11"/>
      <c r="Y67" s="11"/>
      <c r="Z67" s="11"/>
      <c r="AA67" s="11"/>
      <c r="AB67" s="11"/>
      <c r="AC67" s="11"/>
      <c r="AD67" s="11"/>
      <c r="AE67" s="11"/>
      <c r="AF67" s="11"/>
      <c r="AG67" s="11">
        <f>62/4</f>
        <v>15.5</v>
      </c>
      <c r="AH67" s="11">
        <f>62/4</f>
        <v>15.5</v>
      </c>
      <c r="AI67" s="11">
        <f>62/4</f>
        <v>15.5</v>
      </c>
      <c r="AJ67" s="11">
        <f>62/4</f>
        <v>15.5</v>
      </c>
      <c r="AK67" s="11"/>
      <c r="AL67" s="14"/>
    </row>
    <row r="68" spans="1:38" ht="25.05" customHeight="1">
      <c r="B68" s="13"/>
      <c r="C68" s="29"/>
      <c r="D68" s="30"/>
      <c r="E68" s="19" t="s">
        <v>2821</v>
      </c>
      <c r="F68" s="8" t="s">
        <v>42</v>
      </c>
      <c r="G68" s="9">
        <v>0.18194444444444444</v>
      </c>
      <c r="H68" s="9">
        <v>0.20277777777777778</v>
      </c>
      <c r="I68" s="10">
        <f t="shared" si="6"/>
        <v>2.0833333333333343E-2</v>
      </c>
      <c r="J68" s="11">
        <v>5</v>
      </c>
      <c r="K68" s="11">
        <v>52.08</v>
      </c>
      <c r="L68" s="16">
        <f t="shared" si="7"/>
        <v>20.83199999999999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2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>
        <f>30/4</f>
        <v>7.5</v>
      </c>
      <c r="AH68" s="11">
        <f>30/4</f>
        <v>7.5</v>
      </c>
      <c r="AI68" s="11">
        <f>30/4</f>
        <v>7.5</v>
      </c>
      <c r="AJ68" s="11">
        <f>30/4</f>
        <v>7.5</v>
      </c>
      <c r="AK68" s="11"/>
      <c r="AL68" s="14"/>
    </row>
    <row r="69" spans="1:38" ht="25.05" customHeight="1">
      <c r="B69" s="13"/>
      <c r="C69" s="29"/>
      <c r="D69" s="30"/>
      <c r="E69" s="19" t="s">
        <v>2822</v>
      </c>
      <c r="F69" s="8" t="s">
        <v>42</v>
      </c>
      <c r="G69" s="9">
        <v>7.8472222222222221E-2</v>
      </c>
      <c r="H69" s="9">
        <v>0.12222222222222222</v>
      </c>
      <c r="I69" s="10">
        <f t="shared" si="6"/>
        <v>4.3749999999999997E-2</v>
      </c>
      <c r="J69" s="11">
        <v>4</v>
      </c>
      <c r="K69" s="11">
        <v>72.78</v>
      </c>
      <c r="L69" s="16">
        <f t="shared" si="7"/>
        <v>17.328571428571429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>
        <v>63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1:38" ht="25.05" customHeight="1">
      <c r="B70" s="13"/>
      <c r="C70" s="29"/>
      <c r="D70" s="30"/>
      <c r="E70" s="19" t="s">
        <v>2823</v>
      </c>
      <c r="F70" s="8" t="s">
        <v>42</v>
      </c>
      <c r="G70" s="9">
        <v>8.1944444444444445E-2</v>
      </c>
      <c r="H70" s="9">
        <v>0.12291666666666666</v>
      </c>
      <c r="I70" s="10">
        <f t="shared" si="6"/>
        <v>4.0972222222222215E-2</v>
      </c>
      <c r="J70" s="11">
        <v>4</v>
      </c>
      <c r="K70" s="11">
        <v>71.94</v>
      </c>
      <c r="L70" s="16">
        <f t="shared" si="7"/>
        <v>18.289830508474576</v>
      </c>
      <c r="M70" s="11"/>
      <c r="N70" s="11"/>
      <c r="O70" s="11"/>
      <c r="P70" s="11"/>
      <c r="Q70" s="11"/>
      <c r="R70" s="12"/>
      <c r="S70" s="12"/>
      <c r="T70" s="11"/>
      <c r="U70" s="11"/>
      <c r="V70" s="12"/>
      <c r="W70" s="12">
        <v>2</v>
      </c>
      <c r="X70" s="11"/>
      <c r="Y70" s="11"/>
      <c r="Z70" s="11"/>
      <c r="AA70" s="11"/>
      <c r="AB70" s="11"/>
      <c r="AC70" s="11">
        <v>59</v>
      </c>
      <c r="AD70" s="11"/>
      <c r="AE70" s="11"/>
      <c r="AF70" s="11"/>
      <c r="AG70" s="11"/>
      <c r="AH70" s="11"/>
      <c r="AI70" s="11"/>
      <c r="AJ70" s="11"/>
      <c r="AK70" s="11"/>
      <c r="AL70" s="14"/>
    </row>
    <row r="71" spans="1:38" s="28" customFormat="1" ht="25.5" customHeight="1">
      <c r="A71" s="2"/>
      <c r="B71" s="32"/>
      <c r="C71" s="33"/>
      <c r="D71" s="34"/>
      <c r="E71" s="35"/>
      <c r="F71" s="35"/>
      <c r="G71" s="36"/>
      <c r="H71" s="36"/>
      <c r="I71" s="37"/>
      <c r="J71" s="38"/>
      <c r="K71" s="38">
        <f t="shared" ref="K71:AL71" si="8">SUM(K31:K70)</f>
        <v>3951.5799999999995</v>
      </c>
      <c r="L71" s="39">
        <f t="shared" si="8"/>
        <v>1944.1514115515765</v>
      </c>
      <c r="M71" s="38">
        <f t="shared" si="8"/>
        <v>0</v>
      </c>
      <c r="N71" s="38">
        <f t="shared" si="8"/>
        <v>0</v>
      </c>
      <c r="O71" s="38">
        <f t="shared" si="8"/>
        <v>0</v>
      </c>
      <c r="P71" s="38">
        <f t="shared" si="8"/>
        <v>0</v>
      </c>
      <c r="Q71" s="38">
        <f t="shared" si="8"/>
        <v>0</v>
      </c>
      <c r="R71" s="38">
        <f t="shared" si="8"/>
        <v>0</v>
      </c>
      <c r="S71" s="38">
        <f t="shared" si="8"/>
        <v>0</v>
      </c>
      <c r="T71" s="38">
        <f t="shared" si="8"/>
        <v>0</v>
      </c>
      <c r="U71" s="38">
        <f t="shared" si="8"/>
        <v>0</v>
      </c>
      <c r="V71" s="38">
        <f t="shared" si="8"/>
        <v>54</v>
      </c>
      <c r="W71" s="38">
        <f t="shared" si="8"/>
        <v>34</v>
      </c>
      <c r="X71" s="38">
        <f t="shared" si="8"/>
        <v>135</v>
      </c>
      <c r="Y71" s="38">
        <f t="shared" si="8"/>
        <v>135</v>
      </c>
      <c r="Z71" s="38">
        <f t="shared" si="8"/>
        <v>45</v>
      </c>
      <c r="AA71" s="38">
        <f t="shared" si="8"/>
        <v>45</v>
      </c>
      <c r="AB71" s="38">
        <f t="shared" si="8"/>
        <v>205</v>
      </c>
      <c r="AC71" s="38">
        <f t="shared" si="8"/>
        <v>202</v>
      </c>
      <c r="AD71" s="38">
        <f t="shared" si="8"/>
        <v>212</v>
      </c>
      <c r="AE71" s="38">
        <f t="shared" si="8"/>
        <v>0</v>
      </c>
      <c r="AF71" s="38">
        <f t="shared" si="8"/>
        <v>0</v>
      </c>
      <c r="AG71" s="38">
        <f t="shared" si="8"/>
        <v>112.75</v>
      </c>
      <c r="AH71" s="38">
        <f t="shared" si="8"/>
        <v>112.75</v>
      </c>
      <c r="AI71" s="38">
        <f t="shared" si="8"/>
        <v>112.75</v>
      </c>
      <c r="AJ71" s="38">
        <f t="shared" si="8"/>
        <v>112.75</v>
      </c>
      <c r="AK71" s="38">
        <f t="shared" si="8"/>
        <v>0</v>
      </c>
      <c r="AL71" s="38">
        <f t="shared" si="8"/>
        <v>0</v>
      </c>
    </row>
    <row r="72" spans="1:38" ht="38.1" customHeight="1">
      <c r="B72" s="40" t="s">
        <v>45</v>
      </c>
      <c r="C72" s="41"/>
      <c r="D72" s="41"/>
      <c r="E72" s="41"/>
      <c r="F72" s="41"/>
      <c r="G72" s="41"/>
      <c r="H72" s="41"/>
      <c r="I72" s="41"/>
      <c r="J72" s="41"/>
      <c r="K72" s="42">
        <f>K27+K30+K71</f>
        <v>6090.8099999999995</v>
      </c>
      <c r="L72" s="42">
        <f>L27+L30+L71</f>
        <v>3491.8118261508234</v>
      </c>
      <c r="M72" s="43">
        <f t="shared" ref="M72:AL72" si="9">(M27+M30+M71)/(480-15-30)</f>
        <v>0.45517241379310347</v>
      </c>
      <c r="N72" s="43">
        <f t="shared" si="9"/>
        <v>0</v>
      </c>
      <c r="O72" s="43">
        <f t="shared" si="9"/>
        <v>0.12643678160919541</v>
      </c>
      <c r="P72" s="43">
        <f t="shared" si="9"/>
        <v>0</v>
      </c>
      <c r="Q72" s="43">
        <f t="shared" si="9"/>
        <v>0.15862068965517243</v>
      </c>
      <c r="R72" s="43">
        <f t="shared" si="9"/>
        <v>0</v>
      </c>
      <c r="S72" s="43">
        <f t="shared" si="9"/>
        <v>1.0666666666666667</v>
      </c>
      <c r="T72" s="43">
        <f t="shared" si="9"/>
        <v>0</v>
      </c>
      <c r="U72" s="43">
        <f t="shared" si="9"/>
        <v>0</v>
      </c>
      <c r="V72" s="43">
        <f t="shared" si="9"/>
        <v>0.12413793103448276</v>
      </c>
      <c r="W72" s="43">
        <f t="shared" si="9"/>
        <v>7.8160919540229884E-2</v>
      </c>
      <c r="X72" s="43">
        <f t="shared" si="9"/>
        <v>0.31034482758620691</v>
      </c>
      <c r="Y72" s="43">
        <f t="shared" si="9"/>
        <v>0.31034482758620691</v>
      </c>
      <c r="Z72" s="43">
        <f t="shared" si="9"/>
        <v>0.10344827586206896</v>
      </c>
      <c r="AA72" s="43">
        <f t="shared" si="9"/>
        <v>0.10344827586206896</v>
      </c>
      <c r="AB72" s="43">
        <f t="shared" si="9"/>
        <v>0.47126436781609193</v>
      </c>
      <c r="AC72" s="43">
        <f t="shared" si="9"/>
        <v>0.46436781609195404</v>
      </c>
      <c r="AD72" s="43">
        <f t="shared" si="9"/>
        <v>0.48735632183908045</v>
      </c>
      <c r="AE72" s="43">
        <f t="shared" si="9"/>
        <v>0</v>
      </c>
      <c r="AF72" s="43">
        <f t="shared" si="9"/>
        <v>0</v>
      </c>
      <c r="AG72" s="43">
        <f t="shared" si="9"/>
        <v>0.25919540229885057</v>
      </c>
      <c r="AH72" s="43">
        <f t="shared" si="9"/>
        <v>0.25919540229885057</v>
      </c>
      <c r="AI72" s="43">
        <f t="shared" si="9"/>
        <v>0.25919540229885057</v>
      </c>
      <c r="AJ72" s="43">
        <f t="shared" si="9"/>
        <v>0.25919540229885057</v>
      </c>
      <c r="AK72" s="43">
        <f t="shared" si="9"/>
        <v>0</v>
      </c>
      <c r="AL72" s="43">
        <f t="shared" si="9"/>
        <v>0</v>
      </c>
    </row>
    <row r="73" spans="1:38" ht="25.05" customHeight="1">
      <c r="B73" s="44"/>
      <c r="C73" s="44"/>
      <c r="D73" s="44"/>
      <c r="E73" s="45"/>
      <c r="F73" s="45"/>
      <c r="G73" s="45"/>
      <c r="H73" s="45"/>
      <c r="I73" s="46"/>
      <c r="J73" s="46"/>
      <c r="K73" s="45"/>
      <c r="L73" s="47"/>
      <c r="M73" s="47"/>
      <c r="N73" s="47"/>
      <c r="O73" s="47"/>
      <c r="P73" s="47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</row>
    <row r="74" spans="1:38" ht="25.05" customHeight="1">
      <c r="B74" s="44"/>
      <c r="C74" s="44"/>
      <c r="D74" s="44"/>
      <c r="E74" s="45"/>
      <c r="F74" s="45"/>
      <c r="G74" s="45"/>
      <c r="H74" s="45"/>
      <c r="I74" s="48" t="s">
        <v>46</v>
      </c>
      <c r="J74" s="46"/>
      <c r="K74" s="45"/>
      <c r="L74" s="47"/>
      <c r="M74" s="47"/>
      <c r="N74" s="47"/>
      <c r="O74" s="47"/>
      <c r="P74" s="47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</row>
    <row r="75" spans="1:38" ht="25.05" customHeight="1">
      <c r="B75" s="44"/>
      <c r="C75" s="44"/>
      <c r="D75" s="44"/>
      <c r="E75" s="45"/>
      <c r="F75" s="45"/>
      <c r="G75" s="45"/>
      <c r="H75" s="45"/>
      <c r="I75" s="49" t="s">
        <v>47</v>
      </c>
      <c r="J75" s="9">
        <v>0</v>
      </c>
      <c r="K75" s="11">
        <v>8</v>
      </c>
      <c r="L75" s="11" t="s">
        <v>48</v>
      </c>
      <c r="M75" s="47"/>
      <c r="N75" s="14">
        <v>3</v>
      </c>
      <c r="O75" s="14"/>
      <c r="P75" s="14"/>
      <c r="Q75" s="50" t="s">
        <v>49</v>
      </c>
      <c r="R75" s="51"/>
      <c r="S75" s="45"/>
      <c r="T75" s="45"/>
      <c r="U75" s="45"/>
      <c r="V75" s="45"/>
      <c r="W75" s="45"/>
      <c r="X75" s="45"/>
      <c r="Y75" s="45"/>
      <c r="Z75" s="45"/>
      <c r="AA75" s="45"/>
      <c r="AC75" s="45"/>
      <c r="AD75" s="45"/>
      <c r="AE75" s="45"/>
      <c r="AF75" s="45"/>
      <c r="AG75" s="45"/>
      <c r="AH75" s="45"/>
    </row>
    <row r="76" spans="1:38" ht="25.05" customHeight="1">
      <c r="B76" s="44"/>
      <c r="C76" s="44"/>
      <c r="D76" s="44"/>
      <c r="E76" s="45"/>
      <c r="F76" s="45"/>
      <c r="G76" s="45"/>
      <c r="H76" s="45"/>
      <c r="I76" s="49" t="s">
        <v>50</v>
      </c>
      <c r="J76" s="9">
        <v>0</v>
      </c>
      <c r="K76" s="11">
        <v>0</v>
      </c>
      <c r="L76" s="11" t="s">
        <v>48</v>
      </c>
      <c r="M76" s="47"/>
      <c r="N76" s="14">
        <v>0</v>
      </c>
      <c r="O76" s="14"/>
      <c r="P76" s="14"/>
      <c r="Q76" s="50" t="s">
        <v>51</v>
      </c>
      <c r="R76" s="51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</row>
    <row r="77" spans="1:38" ht="25.05" customHeight="1">
      <c r="B77" s="44"/>
      <c r="C77" s="44"/>
      <c r="D77" s="44"/>
      <c r="E77" s="45"/>
      <c r="F77" s="45"/>
      <c r="G77" s="45"/>
      <c r="H77" s="45"/>
      <c r="I77" s="49" t="s">
        <v>52</v>
      </c>
      <c r="J77" s="9">
        <v>0</v>
      </c>
      <c r="K77" s="11">
        <v>18</v>
      </c>
      <c r="L77" s="11" t="s">
        <v>48</v>
      </c>
      <c r="M77" s="47"/>
      <c r="N77" s="14">
        <v>1</v>
      </c>
      <c r="O77" s="14"/>
      <c r="P77" s="14"/>
      <c r="Q77" s="50" t="s">
        <v>53</v>
      </c>
      <c r="R77" s="51"/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  <c r="AE77" s="45"/>
      <c r="AF77" s="45"/>
      <c r="AG77" s="45"/>
      <c r="AH77" s="45"/>
    </row>
    <row r="78" spans="1:38" ht="25.05" customHeight="1">
      <c r="B78" s="44"/>
      <c r="C78" s="44"/>
      <c r="D78" s="44"/>
      <c r="E78" s="45"/>
      <c r="F78" s="45"/>
      <c r="G78" s="45"/>
      <c r="H78" s="45"/>
      <c r="I78" s="52" t="s">
        <v>54</v>
      </c>
      <c r="J78" s="53">
        <v>0</v>
      </c>
      <c r="K78" s="11">
        <v>2</v>
      </c>
      <c r="L78" s="54" t="s">
        <v>48</v>
      </c>
      <c r="M78" s="47"/>
      <c r="N78" s="14">
        <v>4</v>
      </c>
      <c r="O78" s="14"/>
      <c r="P78" s="14"/>
      <c r="Q78" s="50" t="s">
        <v>55</v>
      </c>
      <c r="R78" s="51"/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  <c r="AE78" s="45"/>
      <c r="AF78" s="45"/>
      <c r="AG78" s="45"/>
      <c r="AH78" s="45"/>
    </row>
    <row r="79" spans="1:38" ht="25.05" customHeight="1">
      <c r="B79" s="44"/>
      <c r="C79" s="44"/>
      <c r="D79" s="44"/>
      <c r="E79" s="45"/>
      <c r="F79" s="45"/>
      <c r="G79" s="45"/>
      <c r="H79" s="45"/>
      <c r="I79" s="49" t="s">
        <v>56</v>
      </c>
      <c r="J79" s="9">
        <v>0</v>
      </c>
      <c r="K79" s="11">
        <v>28</v>
      </c>
      <c r="L79" s="11" t="s">
        <v>48</v>
      </c>
      <c r="M79" s="47"/>
      <c r="N79"/>
      <c r="O79"/>
      <c r="P79"/>
      <c r="Q79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</row>
    <row r="80" spans="1:38" ht="25.05" customHeight="1">
      <c r="B80" s="44"/>
      <c r="C80" s="44"/>
      <c r="D80" s="44"/>
      <c r="E80" s="45"/>
      <c r="F80" s="45"/>
      <c r="G80" s="45"/>
      <c r="H80" s="45"/>
      <c r="M80" s="47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  <c r="AE80" s="45"/>
      <c r="AF80" s="45"/>
      <c r="AG80" s="45"/>
      <c r="AH80" s="45"/>
    </row>
    <row r="81" ht="25.05" customHeight="1"/>
    <row r="99" spans="7:7" ht="18.75" customHeight="1">
      <c r="G99" s="72"/>
    </row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16E9E-26D1-4796-A15E-119A07132941}">
  <sheetPr>
    <pageSetUpPr fitToPage="1"/>
  </sheetPr>
  <dimension ref="A1:AL138"/>
  <sheetViews>
    <sheetView zoomScale="70" zoomScaleNormal="70" workbookViewId="0">
      <pane xSplit="12" ySplit="3" topLeftCell="M35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1" spans="1:38" ht="18.75" customHeight="1">
      <c r="A1" s="2" t="s">
        <v>0</v>
      </c>
    </row>
    <row r="2" spans="1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1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ht="25.05" customHeight="1">
      <c r="B4" s="5" t="s">
        <v>2824</v>
      </c>
      <c r="C4" s="60" t="s">
        <v>40</v>
      </c>
      <c r="D4" s="6"/>
      <c r="E4" s="7" t="s">
        <v>41</v>
      </c>
      <c r="F4" s="8" t="s">
        <v>42</v>
      </c>
      <c r="G4" s="9">
        <v>0.25</v>
      </c>
      <c r="H4" s="9">
        <v>0.27083333333333331</v>
      </c>
      <c r="I4" s="10">
        <f t="shared" ref="I4:I25" si="0">H4-G4</f>
        <v>2.0833333333333315E-2</v>
      </c>
      <c r="J4" s="11">
        <v>1</v>
      </c>
      <c r="K4" s="11" t="s">
        <v>42</v>
      </c>
      <c r="L4" s="16" t="str">
        <f t="shared" ref="L4:L25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1:38" ht="25.05" customHeight="1">
      <c r="B5" s="13"/>
      <c r="C5" s="14"/>
      <c r="D5" s="6" t="s">
        <v>2769</v>
      </c>
      <c r="E5" s="15" t="s">
        <v>2463</v>
      </c>
      <c r="F5" s="55" t="s">
        <v>87</v>
      </c>
      <c r="G5" s="9">
        <v>0.29166666666666669</v>
      </c>
      <c r="H5" s="9">
        <v>0.30555555555555558</v>
      </c>
      <c r="I5" s="10">
        <f t="shared" si="0"/>
        <v>1.3888888888888895E-2</v>
      </c>
      <c r="J5" s="11">
        <v>1</v>
      </c>
      <c r="K5" s="11">
        <v>0.96</v>
      </c>
      <c r="L5" s="16">
        <f t="shared" si="1"/>
        <v>2.8799999999999986</v>
      </c>
      <c r="M5" s="11">
        <v>20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1:38" ht="25.5" customHeight="1">
      <c r="B6" s="13"/>
      <c r="C6" s="14"/>
      <c r="D6" s="6" t="s">
        <v>2770</v>
      </c>
      <c r="E6" s="15" t="s">
        <v>499</v>
      </c>
      <c r="F6" s="55" t="s">
        <v>87</v>
      </c>
      <c r="G6" s="9">
        <v>0.30902777777777779</v>
      </c>
      <c r="H6" s="9">
        <v>0.3263888888888889</v>
      </c>
      <c r="I6" s="10">
        <f t="shared" si="0"/>
        <v>1.7361111111111105E-2</v>
      </c>
      <c r="J6" s="11">
        <v>1</v>
      </c>
      <c r="K6" s="11">
        <v>5.18</v>
      </c>
      <c r="L6" s="16">
        <f t="shared" si="1"/>
        <v>12.432000000000004</v>
      </c>
      <c r="M6" s="11">
        <v>25</v>
      </c>
      <c r="N6" s="11"/>
      <c r="O6" s="11"/>
      <c r="P6" s="11"/>
      <c r="Q6" s="11"/>
      <c r="R6" s="12"/>
      <c r="S6" s="12"/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1:38" ht="25.05" customHeight="1">
      <c r="B7" s="13"/>
      <c r="C7" s="14"/>
      <c r="D7" s="6" t="s">
        <v>1669</v>
      </c>
      <c r="E7" s="15" t="s">
        <v>1672</v>
      </c>
      <c r="F7" s="55" t="s">
        <v>310</v>
      </c>
      <c r="G7" s="9">
        <v>0.29166666666666669</v>
      </c>
      <c r="H7" s="9">
        <v>0.39583333333333331</v>
      </c>
      <c r="I7" s="10">
        <f t="shared" si="0"/>
        <v>0.10416666666666663</v>
      </c>
      <c r="J7" s="11">
        <v>10</v>
      </c>
      <c r="K7" s="11">
        <v>428.5</v>
      </c>
      <c r="L7" s="16">
        <f t="shared" si="1"/>
        <v>17.140000000000004</v>
      </c>
      <c r="M7" s="11"/>
      <c r="N7" s="11"/>
      <c r="O7" s="11">
        <v>150</v>
      </c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1:38" ht="25.05" customHeight="1">
      <c r="B8" s="13"/>
      <c r="C8" s="14"/>
      <c r="D8" s="6"/>
      <c r="E8" s="15" t="s">
        <v>1674</v>
      </c>
      <c r="F8" s="55" t="s">
        <v>2825</v>
      </c>
      <c r="G8" s="9">
        <v>0.29166666666666669</v>
      </c>
      <c r="H8" s="9">
        <v>0.3125</v>
      </c>
      <c r="I8" s="10">
        <f t="shared" si="0"/>
        <v>2.0833333333333315E-2</v>
      </c>
      <c r="J8" s="11">
        <v>1</v>
      </c>
      <c r="K8" s="11">
        <v>25.5</v>
      </c>
      <c r="L8" s="16">
        <f t="shared" si="1"/>
        <v>51.00000000000005</v>
      </c>
      <c r="M8" s="11"/>
      <c r="N8" s="11"/>
      <c r="O8" s="11">
        <v>30</v>
      </c>
      <c r="P8" s="11"/>
      <c r="Q8" s="11"/>
      <c r="R8" s="12"/>
      <c r="S8" s="12"/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1:38" ht="25.05" customHeight="1">
      <c r="B9" s="13"/>
      <c r="C9" s="14"/>
      <c r="D9" s="6"/>
      <c r="E9" s="15" t="s">
        <v>2826</v>
      </c>
      <c r="F9" s="55"/>
      <c r="G9" s="9">
        <v>0.29166666666666669</v>
      </c>
      <c r="H9" s="9">
        <v>0.40972222222222221</v>
      </c>
      <c r="I9" s="10">
        <f t="shared" si="0"/>
        <v>0.11805555555555552</v>
      </c>
      <c r="J9" s="11">
        <v>2</v>
      </c>
      <c r="K9" s="11">
        <v>376.95</v>
      </c>
      <c r="L9" s="16">
        <f t="shared" si="1"/>
        <v>66.520588235294142</v>
      </c>
      <c r="M9" s="11"/>
      <c r="N9" s="11"/>
      <c r="O9" s="11"/>
      <c r="P9" s="11"/>
      <c r="Q9" s="11"/>
      <c r="R9" s="12"/>
      <c r="S9" s="12"/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1:38" ht="25.05" customHeight="1">
      <c r="B10" s="13"/>
      <c r="C10" s="14"/>
      <c r="D10" s="6"/>
      <c r="E10" s="15" t="s">
        <v>497</v>
      </c>
      <c r="F10" s="55" t="s">
        <v>99</v>
      </c>
      <c r="G10" s="9">
        <v>0.29166666666666669</v>
      </c>
      <c r="H10" s="9">
        <v>0.32291666666666669</v>
      </c>
      <c r="I10" s="10">
        <f t="shared" si="0"/>
        <v>3.125E-2</v>
      </c>
      <c r="J10" s="11">
        <v>1</v>
      </c>
      <c r="K10" s="11">
        <v>30.8</v>
      </c>
      <c r="L10" s="16">
        <f t="shared" si="1"/>
        <v>41.06666666666667</v>
      </c>
      <c r="M10" s="11"/>
      <c r="N10" s="11"/>
      <c r="O10" s="11"/>
      <c r="P10" s="11"/>
      <c r="Q10" s="11"/>
      <c r="R10" s="12">
        <v>45</v>
      </c>
      <c r="S10" s="12"/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1:38" ht="25.05" customHeight="1">
      <c r="B11" s="13"/>
      <c r="C11" s="14"/>
      <c r="D11" s="6" t="s">
        <v>2782</v>
      </c>
      <c r="E11" s="15" t="s">
        <v>2827</v>
      </c>
      <c r="F11" s="55" t="s">
        <v>2828</v>
      </c>
      <c r="G11" s="9">
        <v>0.32430555555555557</v>
      </c>
      <c r="H11" s="9">
        <v>0.375</v>
      </c>
      <c r="I11" s="10">
        <f t="shared" si="0"/>
        <v>5.0694444444444431E-2</v>
      </c>
      <c r="J11" s="11">
        <v>1</v>
      </c>
      <c r="K11" s="11">
        <v>82.5</v>
      </c>
      <c r="L11" s="16">
        <f t="shared" si="1"/>
        <v>67.808219178082211</v>
      </c>
      <c r="M11" s="11"/>
      <c r="N11" s="11"/>
      <c r="O11" s="11"/>
      <c r="P11" s="11"/>
      <c r="Q11" s="11"/>
      <c r="R11" s="12">
        <v>73</v>
      </c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1:38" ht="25.05" customHeight="1">
      <c r="B12" s="13"/>
      <c r="C12" s="14"/>
      <c r="D12" s="6"/>
      <c r="E12" s="15" t="s">
        <v>2829</v>
      </c>
      <c r="F12" s="55" t="s">
        <v>2828</v>
      </c>
      <c r="G12" s="9">
        <v>0.39930555555555558</v>
      </c>
      <c r="H12" s="9">
        <v>0.4861111111111111</v>
      </c>
      <c r="I12" s="10">
        <f t="shared" si="0"/>
        <v>8.6805555555555525E-2</v>
      </c>
      <c r="J12" s="11">
        <v>5</v>
      </c>
      <c r="K12" s="11">
        <v>96.4</v>
      </c>
      <c r="L12" s="16">
        <f t="shared" si="1"/>
        <v>9.254400000000004</v>
      </c>
      <c r="M12" s="11"/>
      <c r="N12" s="11"/>
      <c r="O12" s="11"/>
      <c r="P12" s="11"/>
      <c r="Q12" s="11"/>
      <c r="R12" s="12"/>
      <c r="S12" s="12">
        <v>125</v>
      </c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1:38" ht="25.05" customHeight="1">
      <c r="B13" s="13"/>
      <c r="C13" s="14"/>
      <c r="D13" s="6"/>
      <c r="E13" s="15" t="s">
        <v>2830</v>
      </c>
      <c r="F13" s="55" t="s">
        <v>2828</v>
      </c>
      <c r="G13" s="9">
        <v>0.39930555555555558</v>
      </c>
      <c r="H13" s="9">
        <v>0.47222222222222221</v>
      </c>
      <c r="I13" s="10">
        <f t="shared" si="0"/>
        <v>7.291666666666663E-2</v>
      </c>
      <c r="J13" s="11">
        <v>5</v>
      </c>
      <c r="K13" s="11">
        <v>83</v>
      </c>
      <c r="L13" s="16">
        <f t="shared" si="1"/>
        <v>9.4857142857142911</v>
      </c>
      <c r="M13" s="11"/>
      <c r="N13" s="11"/>
      <c r="O13" s="11"/>
      <c r="P13" s="11"/>
      <c r="Q13" s="11"/>
      <c r="R13" s="12"/>
      <c r="S13" s="12">
        <v>105</v>
      </c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1:38" ht="25.05" customHeight="1">
      <c r="B14" s="13"/>
      <c r="C14" s="14"/>
      <c r="D14" s="6"/>
      <c r="E14" s="15" t="s">
        <v>2831</v>
      </c>
      <c r="F14" s="55" t="s">
        <v>85</v>
      </c>
      <c r="G14" s="9">
        <v>0.39583333333333331</v>
      </c>
      <c r="H14" s="9">
        <v>0.40625</v>
      </c>
      <c r="I14" s="10">
        <f t="shared" si="0"/>
        <v>1.0416666666666685E-2</v>
      </c>
      <c r="J14" s="11">
        <v>1</v>
      </c>
      <c r="K14" s="11">
        <v>16.5</v>
      </c>
      <c r="L14" s="16">
        <f t="shared" si="1"/>
        <v>65.999999999999886</v>
      </c>
      <c r="M14" s="11">
        <v>15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1:38" ht="25.05" customHeight="1">
      <c r="B15" s="13"/>
      <c r="C15" s="14"/>
      <c r="D15" s="6"/>
      <c r="E15" s="15" t="s">
        <v>2832</v>
      </c>
      <c r="F15" s="55" t="s">
        <v>89</v>
      </c>
      <c r="G15" s="9">
        <v>0.40763888888888888</v>
      </c>
      <c r="H15" s="9">
        <v>0.4236111111111111</v>
      </c>
      <c r="I15" s="10">
        <f t="shared" si="0"/>
        <v>1.5972222222222221E-2</v>
      </c>
      <c r="J15" s="11">
        <v>1</v>
      </c>
      <c r="K15" s="11">
        <v>29.15</v>
      </c>
      <c r="L15" s="16">
        <f t="shared" si="1"/>
        <v>76.043478260869563</v>
      </c>
      <c r="M15" s="11">
        <v>23</v>
      </c>
      <c r="N15" s="11"/>
      <c r="O15" s="11"/>
      <c r="P15" s="11"/>
      <c r="Q15" s="11"/>
      <c r="R15" s="12"/>
      <c r="S15" s="12"/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1:38" ht="25.05" customHeight="1">
      <c r="B16" s="13"/>
      <c r="C16" s="14"/>
      <c r="D16" s="6"/>
      <c r="E16" s="15" t="s">
        <v>2833</v>
      </c>
      <c r="F16" s="55" t="s">
        <v>42</v>
      </c>
      <c r="G16" s="9">
        <v>0.4375</v>
      </c>
      <c r="H16" s="9">
        <v>0.4513888888888889</v>
      </c>
      <c r="I16" s="10">
        <f t="shared" si="0"/>
        <v>1.3888888888888895E-2</v>
      </c>
      <c r="J16" s="11">
        <v>2</v>
      </c>
      <c r="K16" s="11">
        <f>4.03*40</f>
        <v>161.20000000000002</v>
      </c>
      <c r="L16" s="16">
        <f t="shared" si="1"/>
        <v>241.79999999999993</v>
      </c>
      <c r="M16" s="11"/>
      <c r="N16" s="11"/>
      <c r="O16" s="11"/>
      <c r="P16" s="11"/>
      <c r="Q16" s="11">
        <v>20</v>
      </c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6"/>
      <c r="E17" s="15" t="s">
        <v>2834</v>
      </c>
      <c r="F17" s="55" t="s">
        <v>2835</v>
      </c>
      <c r="G17" s="9">
        <v>0.44444444444444442</v>
      </c>
      <c r="H17" s="9">
        <v>0.46875</v>
      </c>
      <c r="I17" s="10">
        <f t="shared" si="0"/>
        <v>2.430555555555558E-2</v>
      </c>
      <c r="J17" s="11">
        <v>2</v>
      </c>
      <c r="K17" s="11">
        <v>159.5</v>
      </c>
      <c r="L17" s="16">
        <f t="shared" si="1"/>
        <v>136.71428571428558</v>
      </c>
      <c r="M17" s="11">
        <v>35</v>
      </c>
      <c r="N17" s="11"/>
      <c r="O17" s="11"/>
      <c r="P17" s="11"/>
      <c r="Q17" s="11"/>
      <c r="R17" s="12"/>
      <c r="S17" s="12"/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15" t="s">
        <v>96</v>
      </c>
      <c r="F18" s="55" t="s">
        <v>42</v>
      </c>
      <c r="G18" s="9">
        <v>0.4861111111111111</v>
      </c>
      <c r="H18" s="9">
        <v>0.5</v>
      </c>
      <c r="I18" s="10">
        <f t="shared" si="0"/>
        <v>1.3888888888888895E-2</v>
      </c>
      <c r="J18" s="11">
        <v>12</v>
      </c>
      <c r="K18" s="11" t="s">
        <v>42</v>
      </c>
      <c r="L18" s="16" t="str">
        <f t="shared" si="1"/>
        <v>0</v>
      </c>
      <c r="M18" s="11"/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/>
      <c r="E19" s="15" t="s">
        <v>104</v>
      </c>
      <c r="F19" s="55" t="s">
        <v>42</v>
      </c>
      <c r="G19" s="9">
        <v>0.5</v>
      </c>
      <c r="H19" s="9">
        <v>0.54166666666666663</v>
      </c>
      <c r="I19" s="10">
        <f t="shared" si="0"/>
        <v>4.166666666666663E-2</v>
      </c>
      <c r="J19" s="11">
        <v>12</v>
      </c>
      <c r="K19" s="11" t="s">
        <v>42</v>
      </c>
      <c r="L19" s="16" t="str">
        <f t="shared" si="1"/>
        <v>0</v>
      </c>
      <c r="M19" s="11"/>
      <c r="N19" s="11"/>
      <c r="O19" s="11"/>
      <c r="P19" s="11"/>
      <c r="Q19" s="11"/>
      <c r="R19" s="12"/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 t="s">
        <v>2782</v>
      </c>
      <c r="E20" s="15" t="s">
        <v>2829</v>
      </c>
      <c r="F20" s="55" t="s">
        <v>2828</v>
      </c>
      <c r="G20" s="9">
        <v>0.54166666666666663</v>
      </c>
      <c r="H20" s="9">
        <v>0.58333333333333337</v>
      </c>
      <c r="I20" s="10">
        <f t="shared" si="0"/>
        <v>4.1666666666666741E-2</v>
      </c>
      <c r="J20" s="11">
        <v>6</v>
      </c>
      <c r="K20" s="11">
        <v>36.6</v>
      </c>
      <c r="L20" s="16">
        <f t="shared" si="1"/>
        <v>6.0999999999999899</v>
      </c>
      <c r="M20" s="11"/>
      <c r="N20" s="11"/>
      <c r="O20" s="11"/>
      <c r="P20" s="11"/>
      <c r="Q20" s="11"/>
      <c r="R20" s="12"/>
      <c r="S20" s="12">
        <v>60</v>
      </c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2836</v>
      </c>
      <c r="F21" s="55" t="s">
        <v>2828</v>
      </c>
      <c r="G21" s="9">
        <v>0.54166666666666663</v>
      </c>
      <c r="H21" s="9">
        <v>0.63194444444444442</v>
      </c>
      <c r="I21" s="10">
        <f t="shared" si="0"/>
        <v>9.027777777777779E-2</v>
      </c>
      <c r="J21" s="11">
        <v>12</v>
      </c>
      <c r="K21" s="11">
        <v>133</v>
      </c>
      <c r="L21" s="16">
        <f t="shared" si="1"/>
        <v>5.115384615384615</v>
      </c>
      <c r="M21" s="11"/>
      <c r="N21" s="11"/>
      <c r="O21" s="11"/>
      <c r="P21" s="11"/>
      <c r="Q21" s="11"/>
      <c r="R21" s="12"/>
      <c r="S21" s="12">
        <v>130</v>
      </c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 t="s">
        <v>1167</v>
      </c>
      <c r="E22" s="15" t="s">
        <v>1180</v>
      </c>
      <c r="F22" s="55" t="s">
        <v>42</v>
      </c>
      <c r="G22" s="9">
        <v>0.56944444444444442</v>
      </c>
      <c r="H22" s="9">
        <v>0.60416666666666663</v>
      </c>
      <c r="I22" s="10">
        <f t="shared" si="0"/>
        <v>3.472222222222221E-2</v>
      </c>
      <c r="J22" s="11">
        <v>2</v>
      </c>
      <c r="K22" s="11">
        <v>57.72</v>
      </c>
      <c r="L22" s="16">
        <f t="shared" si="1"/>
        <v>34.632000000000012</v>
      </c>
      <c r="M22" s="11">
        <v>50</v>
      </c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 t="s">
        <v>1669</v>
      </c>
      <c r="E23" s="15" t="s">
        <v>1672</v>
      </c>
      <c r="F23" s="55" t="s">
        <v>310</v>
      </c>
      <c r="G23" s="9">
        <v>0.63541666666666663</v>
      </c>
      <c r="H23" s="9">
        <v>0.6875</v>
      </c>
      <c r="I23" s="10">
        <f t="shared" si="0"/>
        <v>5.208333333333337E-2</v>
      </c>
      <c r="J23" s="11">
        <v>12</v>
      </c>
      <c r="K23" s="11">
        <v>428.5</v>
      </c>
      <c r="L23" s="16">
        <f t="shared" si="1"/>
        <v>28.566666666666649</v>
      </c>
      <c r="M23" s="11"/>
      <c r="N23" s="11"/>
      <c r="O23" s="11"/>
      <c r="P23" s="11"/>
      <c r="Q23" s="11"/>
      <c r="R23" s="12"/>
      <c r="S23" s="12">
        <v>75</v>
      </c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 t="s">
        <v>96</v>
      </c>
      <c r="F24" s="55"/>
      <c r="G24" s="9">
        <v>0.6875</v>
      </c>
      <c r="H24" s="9">
        <v>0.70833333333333337</v>
      </c>
      <c r="I24" s="10">
        <f t="shared" si="0"/>
        <v>2.083333333333337E-2</v>
      </c>
      <c r="J24" s="11">
        <v>12</v>
      </c>
      <c r="K24" s="11" t="s">
        <v>42</v>
      </c>
      <c r="L24" s="16" t="str">
        <f t="shared" si="1"/>
        <v>0</v>
      </c>
      <c r="M24" s="11"/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/>
      <c r="F25" s="55"/>
      <c r="G25" s="9"/>
      <c r="H25" s="9"/>
      <c r="I25" s="10">
        <f t="shared" si="0"/>
        <v>0</v>
      </c>
      <c r="J25" s="11"/>
      <c r="K25" s="11"/>
      <c r="L25" s="16" t="str">
        <f t="shared" si="1"/>
        <v>0</v>
      </c>
      <c r="M25" s="11"/>
      <c r="N25" s="11"/>
      <c r="O25" s="11"/>
      <c r="P25" s="11"/>
      <c r="Q25" s="11"/>
      <c r="R25" s="12"/>
      <c r="S25" s="12"/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s="28" customFormat="1" ht="25.05" customHeight="1">
      <c r="A26" s="2"/>
      <c r="B26" s="21"/>
      <c r="C26" s="22"/>
      <c r="D26" s="23"/>
      <c r="E26" s="24"/>
      <c r="F26" s="24"/>
      <c r="G26" s="25"/>
      <c r="H26" s="25"/>
      <c r="I26" s="26"/>
      <c r="J26" s="27"/>
      <c r="K26" s="27">
        <f t="shared" ref="K26:AL26" si="2">SUM(K4:K24)</f>
        <v>2151.96</v>
      </c>
      <c r="L26" s="39">
        <f t="shared" si="2"/>
        <v>872.5594036229636</v>
      </c>
      <c r="M26" s="27">
        <f t="shared" si="2"/>
        <v>168</v>
      </c>
      <c r="N26" s="27">
        <f t="shared" si="2"/>
        <v>0</v>
      </c>
      <c r="O26" s="27">
        <f t="shared" si="2"/>
        <v>180</v>
      </c>
      <c r="P26" s="27">
        <f t="shared" si="2"/>
        <v>0</v>
      </c>
      <c r="Q26" s="27">
        <f t="shared" si="2"/>
        <v>20</v>
      </c>
      <c r="R26" s="27">
        <f t="shared" si="2"/>
        <v>118</v>
      </c>
      <c r="S26" s="27">
        <f t="shared" si="2"/>
        <v>495</v>
      </c>
      <c r="T26" s="27">
        <f t="shared" si="2"/>
        <v>0</v>
      </c>
      <c r="U26" s="27">
        <f t="shared" si="2"/>
        <v>0</v>
      </c>
      <c r="V26" s="27">
        <f t="shared" si="2"/>
        <v>0</v>
      </c>
      <c r="W26" s="27">
        <f t="shared" si="2"/>
        <v>0</v>
      </c>
      <c r="X26" s="27">
        <f t="shared" si="2"/>
        <v>0</v>
      </c>
      <c r="Y26" s="27">
        <f t="shared" si="2"/>
        <v>0</v>
      </c>
      <c r="Z26" s="27">
        <f t="shared" si="2"/>
        <v>0</v>
      </c>
      <c r="AA26" s="27">
        <f t="shared" si="2"/>
        <v>0</v>
      </c>
      <c r="AB26" s="27">
        <f t="shared" si="2"/>
        <v>0</v>
      </c>
      <c r="AC26" s="27">
        <f t="shared" si="2"/>
        <v>0</v>
      </c>
      <c r="AD26" s="27">
        <f t="shared" si="2"/>
        <v>0</v>
      </c>
      <c r="AE26" s="27">
        <f t="shared" si="2"/>
        <v>0</v>
      </c>
      <c r="AF26" s="27">
        <f t="shared" si="2"/>
        <v>0</v>
      </c>
      <c r="AG26" s="27">
        <f t="shared" si="2"/>
        <v>0</v>
      </c>
      <c r="AH26" s="27">
        <f t="shared" si="2"/>
        <v>0</v>
      </c>
      <c r="AI26" s="27">
        <f t="shared" si="2"/>
        <v>0</v>
      </c>
      <c r="AJ26" s="27">
        <f t="shared" si="2"/>
        <v>0</v>
      </c>
      <c r="AK26" s="27">
        <f t="shared" si="2"/>
        <v>0</v>
      </c>
      <c r="AL26" s="27">
        <f t="shared" si="2"/>
        <v>0</v>
      </c>
    </row>
    <row r="27" spans="1:38" ht="25.05" customHeight="1">
      <c r="B27" s="5" t="s">
        <v>2824</v>
      </c>
      <c r="C27" s="14" t="s">
        <v>43</v>
      </c>
      <c r="D27" s="6"/>
      <c r="E27" s="7" t="s">
        <v>41</v>
      </c>
      <c r="F27" s="8" t="s">
        <v>42</v>
      </c>
      <c r="G27" s="9">
        <v>0.29166666666666669</v>
      </c>
      <c r="H27" s="9">
        <v>0.33333333333333331</v>
      </c>
      <c r="I27" s="10">
        <f>H27-G27</f>
        <v>4.166666666666663E-2</v>
      </c>
      <c r="J27" s="11">
        <v>2</v>
      </c>
      <c r="K27" s="11"/>
      <c r="L27" s="16">
        <f>IFERROR(((K27/(J27*I27)/24)),"0")</f>
        <v>0</v>
      </c>
      <c r="M27" s="11"/>
      <c r="N27" s="11"/>
      <c r="O27" s="11"/>
      <c r="P27" s="11"/>
      <c r="Q27" s="11"/>
      <c r="R27" s="12"/>
      <c r="S27" s="12"/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 t="s">
        <v>1669</v>
      </c>
      <c r="E28" s="7" t="s">
        <v>2837</v>
      </c>
      <c r="F28" s="8"/>
      <c r="G28" s="9">
        <v>0.33333333333333331</v>
      </c>
      <c r="H28" s="9">
        <v>0.47916666666666669</v>
      </c>
      <c r="I28" s="10">
        <f t="shared" ref="I28:I33" si="3">H28-G28</f>
        <v>0.14583333333333337</v>
      </c>
      <c r="J28" s="11">
        <v>15</v>
      </c>
      <c r="K28" s="11">
        <f>150*7</f>
        <v>1050</v>
      </c>
      <c r="L28" s="16">
        <f t="shared" ref="L28:L33" si="4">IFERROR(((K28/(J28*I28)/24)),"0")</f>
        <v>19.999999999999996</v>
      </c>
      <c r="M28" s="11"/>
      <c r="N28" s="11"/>
      <c r="O28" s="11"/>
      <c r="P28" s="11"/>
      <c r="Q28" s="11"/>
      <c r="R28" s="12"/>
      <c r="S28" s="12">
        <v>210</v>
      </c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/>
      <c r="E29" s="7" t="s">
        <v>104</v>
      </c>
      <c r="F29" s="8"/>
      <c r="G29" s="9">
        <v>0.47916666666666669</v>
      </c>
      <c r="H29" s="9">
        <v>0.52083333333333337</v>
      </c>
      <c r="I29" s="10">
        <f t="shared" si="3"/>
        <v>4.1666666666666685E-2</v>
      </c>
      <c r="J29" s="11">
        <v>15</v>
      </c>
      <c r="K29" s="11" t="s">
        <v>42</v>
      </c>
      <c r="L29" s="16" t="str">
        <f t="shared" si="4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ht="25.05" customHeight="1">
      <c r="B30" s="13"/>
      <c r="C30" s="14"/>
      <c r="D30" s="6" t="s">
        <v>2770</v>
      </c>
      <c r="E30" s="7" t="s">
        <v>1014</v>
      </c>
      <c r="F30" s="8"/>
      <c r="G30" s="9">
        <v>0.52083333333333337</v>
      </c>
      <c r="H30" s="9">
        <v>0.58333333333333337</v>
      </c>
      <c r="I30" s="10">
        <f t="shared" si="3"/>
        <v>6.25E-2</v>
      </c>
      <c r="J30" s="11">
        <v>15</v>
      </c>
      <c r="K30" s="11">
        <f>2*215</f>
        <v>430</v>
      </c>
      <c r="L30" s="16">
        <f t="shared" si="4"/>
        <v>19.111111111111111</v>
      </c>
      <c r="M30" s="11"/>
      <c r="N30" s="11"/>
      <c r="O30" s="11"/>
      <c r="P30" s="11"/>
      <c r="Q30" s="11"/>
      <c r="R30" s="12"/>
      <c r="S30" s="12">
        <v>90</v>
      </c>
      <c r="T30" s="11"/>
      <c r="U30" s="11"/>
      <c r="V30" s="12"/>
      <c r="W30" s="12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</row>
    <row r="31" spans="1:38" ht="25.05" customHeight="1">
      <c r="B31" s="13"/>
      <c r="C31" s="14"/>
      <c r="D31" s="6" t="s">
        <v>2769</v>
      </c>
      <c r="E31" s="7" t="s">
        <v>1015</v>
      </c>
      <c r="F31" s="8"/>
      <c r="G31" s="9">
        <v>0.58333333333333337</v>
      </c>
      <c r="H31" s="9">
        <v>0.72916666666666663</v>
      </c>
      <c r="I31" s="10">
        <f t="shared" si="3"/>
        <v>0.14583333333333326</v>
      </c>
      <c r="J31" s="11">
        <v>15</v>
      </c>
      <c r="K31" s="11">
        <f>215*3</f>
        <v>645</v>
      </c>
      <c r="L31" s="16">
        <f t="shared" si="4"/>
        <v>12.285714285714292</v>
      </c>
      <c r="M31" s="11"/>
      <c r="N31" s="11"/>
      <c r="O31" s="11"/>
      <c r="P31" s="11"/>
      <c r="Q31" s="11"/>
      <c r="R31" s="12"/>
      <c r="S31" s="12">
        <v>210</v>
      </c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5.05" customHeight="1">
      <c r="B32" s="13"/>
      <c r="C32" s="14"/>
      <c r="D32" s="6"/>
      <c r="E32" s="15" t="s">
        <v>96</v>
      </c>
      <c r="F32" s="8"/>
      <c r="G32" s="9">
        <v>0.72916666666666663</v>
      </c>
      <c r="H32" s="9">
        <v>0.75</v>
      </c>
      <c r="I32" s="10">
        <f t="shared" si="3"/>
        <v>2.083333333333337E-2</v>
      </c>
      <c r="J32" s="11">
        <v>15</v>
      </c>
      <c r="K32" s="11" t="s">
        <v>42</v>
      </c>
      <c r="L32" s="16" t="str">
        <f t="shared" si="4"/>
        <v>0</v>
      </c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ht="25.05" customHeight="1">
      <c r="B33" s="13"/>
      <c r="C33" s="14"/>
      <c r="D33" s="18"/>
      <c r="E33" s="6"/>
      <c r="F33" s="14"/>
      <c r="G33" s="9"/>
      <c r="H33" s="9"/>
      <c r="I33" s="10">
        <f t="shared" si="3"/>
        <v>0</v>
      </c>
      <c r="J33" s="11"/>
      <c r="K33" s="11"/>
      <c r="L33" s="16" t="str">
        <f t="shared" si="4"/>
        <v>0</v>
      </c>
      <c r="M33" s="11"/>
      <c r="N33" s="11"/>
      <c r="O33" s="11"/>
      <c r="P33" s="11"/>
      <c r="Q33" s="11"/>
      <c r="R33" s="12"/>
      <c r="S33" s="12"/>
      <c r="T33" s="11"/>
      <c r="U33" s="11"/>
      <c r="V33" s="12"/>
      <c r="W33" s="12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</row>
    <row r="34" spans="1:38" s="28" customFormat="1" ht="25.05" customHeight="1">
      <c r="A34" s="2"/>
      <c r="B34" s="21"/>
      <c r="C34" s="22"/>
      <c r="D34" s="23"/>
      <c r="E34" s="24"/>
      <c r="F34" s="22"/>
      <c r="G34" s="25"/>
      <c r="H34" s="25"/>
      <c r="I34" s="26"/>
      <c r="J34" s="27"/>
      <c r="K34" s="27">
        <f t="shared" ref="K34:AL34" si="5">SUM(K27:K33)</f>
        <v>2125</v>
      </c>
      <c r="L34" s="27">
        <f t="shared" si="5"/>
        <v>51.396825396825399</v>
      </c>
      <c r="M34" s="27">
        <f t="shared" si="5"/>
        <v>0</v>
      </c>
      <c r="N34" s="27">
        <f t="shared" si="5"/>
        <v>0</v>
      </c>
      <c r="O34" s="27">
        <f t="shared" si="5"/>
        <v>0</v>
      </c>
      <c r="P34" s="27">
        <f t="shared" si="5"/>
        <v>0</v>
      </c>
      <c r="Q34" s="27">
        <f t="shared" si="5"/>
        <v>0</v>
      </c>
      <c r="R34" s="27">
        <f t="shared" si="5"/>
        <v>0</v>
      </c>
      <c r="S34" s="27">
        <f t="shared" si="5"/>
        <v>510</v>
      </c>
      <c r="T34" s="27">
        <f t="shared" si="5"/>
        <v>0</v>
      </c>
      <c r="U34" s="27">
        <f t="shared" si="5"/>
        <v>0</v>
      </c>
      <c r="V34" s="27">
        <f t="shared" si="5"/>
        <v>0</v>
      </c>
      <c r="W34" s="27">
        <f t="shared" si="5"/>
        <v>0</v>
      </c>
      <c r="X34" s="27">
        <f t="shared" si="5"/>
        <v>0</v>
      </c>
      <c r="Y34" s="27">
        <f t="shared" si="5"/>
        <v>0</v>
      </c>
      <c r="Z34" s="27">
        <f t="shared" si="5"/>
        <v>0</v>
      </c>
      <c r="AA34" s="27">
        <f t="shared" si="5"/>
        <v>0</v>
      </c>
      <c r="AB34" s="27">
        <f t="shared" si="5"/>
        <v>0</v>
      </c>
      <c r="AC34" s="27">
        <f t="shared" si="5"/>
        <v>0</v>
      </c>
      <c r="AD34" s="27">
        <f t="shared" si="5"/>
        <v>0</v>
      </c>
      <c r="AE34" s="27">
        <f t="shared" si="5"/>
        <v>0</v>
      </c>
      <c r="AF34" s="27">
        <f t="shared" si="5"/>
        <v>0</v>
      </c>
      <c r="AG34" s="27">
        <f t="shared" si="5"/>
        <v>0</v>
      </c>
      <c r="AH34" s="27">
        <f t="shared" si="5"/>
        <v>0</v>
      </c>
      <c r="AI34" s="27">
        <f t="shared" si="5"/>
        <v>0</v>
      </c>
      <c r="AJ34" s="27">
        <f t="shared" si="5"/>
        <v>0</v>
      </c>
      <c r="AK34" s="27">
        <f t="shared" si="5"/>
        <v>0</v>
      </c>
      <c r="AL34" s="27">
        <f t="shared" si="5"/>
        <v>0</v>
      </c>
    </row>
    <row r="35" spans="1:38" ht="25.05" customHeight="1">
      <c r="B35" s="5" t="s">
        <v>2824</v>
      </c>
      <c r="C35" s="29" t="s">
        <v>44</v>
      </c>
      <c r="D35" s="30"/>
      <c r="E35" s="7" t="s">
        <v>41</v>
      </c>
      <c r="F35" s="8" t="s">
        <v>42</v>
      </c>
      <c r="G35" s="9">
        <v>0.29166666666666669</v>
      </c>
      <c r="H35" s="9">
        <v>0.2986111111111111</v>
      </c>
      <c r="I35" s="10">
        <f t="shared" ref="I35:I60" si="6">H35-G35</f>
        <v>6.9444444444444198E-3</v>
      </c>
      <c r="J35" s="11">
        <v>5</v>
      </c>
      <c r="K35" s="62" t="s">
        <v>42</v>
      </c>
      <c r="L35" s="64" t="s">
        <v>42</v>
      </c>
      <c r="M35" s="11"/>
      <c r="N35" s="11"/>
      <c r="O35" s="11"/>
      <c r="P35" s="11"/>
      <c r="Q35" s="11"/>
      <c r="R35" s="12"/>
      <c r="S35" s="12"/>
      <c r="T35" s="11"/>
      <c r="U35" s="11"/>
      <c r="V35" s="12"/>
      <c r="W35" s="12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1:38" ht="25.05" customHeight="1">
      <c r="B36" s="13"/>
      <c r="C36" s="29"/>
      <c r="D36" s="6" t="s">
        <v>2120</v>
      </c>
      <c r="E36" s="19" t="s">
        <v>324</v>
      </c>
      <c r="F36" s="8" t="s">
        <v>42</v>
      </c>
      <c r="G36" s="9">
        <v>0.3215277777777778</v>
      </c>
      <c r="H36" s="9">
        <v>0.32361111111111113</v>
      </c>
      <c r="I36" s="10">
        <f t="shared" si="6"/>
        <v>2.0833333333333259E-3</v>
      </c>
      <c r="J36" s="11">
        <v>4</v>
      </c>
      <c r="K36" s="11">
        <v>48.32</v>
      </c>
      <c r="L36" s="16">
        <f t="shared" ref="L36:L60" si="7">IFERROR(((K36/(J36*I36)/24)),"0")</f>
        <v>241.60000000000085</v>
      </c>
      <c r="M36" s="11"/>
      <c r="N36" s="11"/>
      <c r="O36" s="11"/>
      <c r="P36" s="11"/>
      <c r="Q36" s="11"/>
      <c r="R36" s="12"/>
      <c r="S36" s="12"/>
      <c r="T36" s="11"/>
      <c r="U36" s="11"/>
      <c r="V36" s="12">
        <v>3</v>
      </c>
      <c r="W36" s="12"/>
      <c r="X36" s="11"/>
      <c r="Y36" s="11"/>
      <c r="Z36" s="11"/>
      <c r="AA36" s="11"/>
      <c r="AB36" s="11">
        <v>3</v>
      </c>
      <c r="AC36" s="11"/>
      <c r="AD36" s="11"/>
      <c r="AE36" s="11"/>
      <c r="AF36" s="11"/>
      <c r="AG36" s="11"/>
      <c r="AH36" s="11"/>
      <c r="AI36" s="11"/>
      <c r="AJ36" s="11"/>
      <c r="AK36" s="11"/>
      <c r="AL36" s="14"/>
    </row>
    <row r="37" spans="1:38" ht="25.05" customHeight="1">
      <c r="B37" s="13"/>
      <c r="C37" s="29"/>
      <c r="D37" s="30"/>
      <c r="E37" s="19" t="s">
        <v>325</v>
      </c>
      <c r="F37" s="8" t="s">
        <v>42</v>
      </c>
      <c r="G37" s="9">
        <v>0.32777777777777778</v>
      </c>
      <c r="H37" s="9">
        <v>0.3298611111111111</v>
      </c>
      <c r="I37" s="10">
        <f t="shared" si="6"/>
        <v>2.0833333333333259E-3</v>
      </c>
      <c r="J37" s="11">
        <v>4</v>
      </c>
      <c r="K37" s="11">
        <v>47.88</v>
      </c>
      <c r="L37" s="16">
        <f t="shared" si="7"/>
        <v>239.40000000000086</v>
      </c>
      <c r="M37" s="11"/>
      <c r="N37" s="11"/>
      <c r="O37" s="11"/>
      <c r="P37" s="11"/>
      <c r="Q37" s="11"/>
      <c r="R37" s="12"/>
      <c r="S37" s="12"/>
      <c r="T37" s="11"/>
      <c r="U37" s="11"/>
      <c r="V37" s="12"/>
      <c r="W37" s="12">
        <v>3</v>
      </c>
      <c r="X37" s="11"/>
      <c r="Y37" s="11"/>
      <c r="Z37" s="11"/>
      <c r="AA37" s="11"/>
      <c r="AB37" s="11"/>
      <c r="AC37" s="11"/>
      <c r="AD37" s="11">
        <v>3</v>
      </c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/>
      <c r="E38" s="19" t="s">
        <v>327</v>
      </c>
      <c r="F38" s="8" t="s">
        <v>42</v>
      </c>
      <c r="G38" s="9">
        <v>0.33124999999999999</v>
      </c>
      <c r="H38" s="9">
        <v>0.33333333333333331</v>
      </c>
      <c r="I38" s="10">
        <f t="shared" si="6"/>
        <v>2.0833333333333259E-3</v>
      </c>
      <c r="J38" s="11">
        <v>4</v>
      </c>
      <c r="K38" s="11">
        <v>48.36</v>
      </c>
      <c r="L38" s="16">
        <f t="shared" si="7"/>
        <v>241.80000000000086</v>
      </c>
      <c r="M38" s="11"/>
      <c r="N38" s="11"/>
      <c r="O38" s="11"/>
      <c r="P38" s="11"/>
      <c r="Q38" s="11"/>
      <c r="R38" s="12"/>
      <c r="S38" s="12"/>
      <c r="T38" s="11"/>
      <c r="U38" s="11"/>
      <c r="V38" s="12">
        <v>3</v>
      </c>
      <c r="W38" s="12"/>
      <c r="X38" s="11"/>
      <c r="Y38" s="11"/>
      <c r="Z38" s="11"/>
      <c r="AA38" s="11"/>
      <c r="AB38" s="11"/>
      <c r="AC38" s="11">
        <v>3</v>
      </c>
      <c r="AD38" s="11"/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9" t="s">
        <v>328</v>
      </c>
      <c r="F39" s="8" t="s">
        <v>42</v>
      </c>
      <c r="G39" s="9">
        <v>0.33611111111111114</v>
      </c>
      <c r="H39" s="9">
        <v>0.33819444444444446</v>
      </c>
      <c r="I39" s="10">
        <f t="shared" si="6"/>
        <v>2.0833333333333259E-3</v>
      </c>
      <c r="J39" s="11">
        <v>4</v>
      </c>
      <c r="K39" s="11">
        <v>48.6</v>
      </c>
      <c r="L39" s="16">
        <f t="shared" si="7"/>
        <v>243.00000000000088</v>
      </c>
      <c r="M39" s="11"/>
      <c r="N39" s="11"/>
      <c r="O39" s="11"/>
      <c r="P39" s="11"/>
      <c r="Q39" s="11"/>
      <c r="R39" s="12"/>
      <c r="S39" s="12"/>
      <c r="T39" s="11"/>
      <c r="U39" s="11"/>
      <c r="V39" s="12"/>
      <c r="W39" s="12">
        <v>3</v>
      </c>
      <c r="X39" s="11"/>
      <c r="Y39" s="11"/>
      <c r="Z39" s="11"/>
      <c r="AA39" s="11"/>
      <c r="AB39" s="11">
        <v>3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9" t="s">
        <v>330</v>
      </c>
      <c r="F40" s="8" t="s">
        <v>42</v>
      </c>
      <c r="G40" s="9">
        <v>0.33888888888888891</v>
      </c>
      <c r="H40" s="9">
        <v>0.34097222222222223</v>
      </c>
      <c r="I40" s="10">
        <f t="shared" si="6"/>
        <v>2.0833333333333259E-3</v>
      </c>
      <c r="J40" s="11">
        <v>4</v>
      </c>
      <c r="K40" s="11">
        <v>48.38</v>
      </c>
      <c r="L40" s="16">
        <f t="shared" si="7"/>
        <v>241.90000000000089</v>
      </c>
      <c r="M40" s="11"/>
      <c r="N40" s="11"/>
      <c r="O40" s="11"/>
      <c r="P40" s="11"/>
      <c r="Q40" s="11"/>
      <c r="R40" s="12"/>
      <c r="S40" s="12"/>
      <c r="T40" s="11"/>
      <c r="U40" s="11"/>
      <c r="V40" s="12">
        <v>3</v>
      </c>
      <c r="W40" s="12"/>
      <c r="X40" s="11"/>
      <c r="Y40" s="11"/>
      <c r="Z40" s="11"/>
      <c r="AA40" s="11"/>
      <c r="AB40" s="11"/>
      <c r="AC40" s="11"/>
      <c r="AD40" s="11">
        <v>3</v>
      </c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9" t="s">
        <v>331</v>
      </c>
      <c r="F41" s="8" t="s">
        <v>42</v>
      </c>
      <c r="G41" s="9">
        <v>0.34375</v>
      </c>
      <c r="H41" s="9">
        <v>0.34583333333333333</v>
      </c>
      <c r="I41" s="10">
        <f t="shared" si="6"/>
        <v>2.0833333333333259E-3</v>
      </c>
      <c r="J41" s="11">
        <v>4</v>
      </c>
      <c r="K41" s="11">
        <v>47.9</v>
      </c>
      <c r="L41" s="16">
        <f t="shared" si="7"/>
        <v>239.50000000000082</v>
      </c>
      <c r="M41" s="11"/>
      <c r="N41" s="11"/>
      <c r="O41" s="11"/>
      <c r="P41" s="11"/>
      <c r="Q41" s="11"/>
      <c r="R41" s="12"/>
      <c r="S41" s="12"/>
      <c r="T41" s="11"/>
      <c r="U41" s="11"/>
      <c r="V41" s="12"/>
      <c r="W41" s="12">
        <v>3</v>
      </c>
      <c r="X41" s="11"/>
      <c r="Y41" s="11"/>
      <c r="Z41" s="11"/>
      <c r="AA41" s="11"/>
      <c r="AB41" s="11"/>
      <c r="AC41" s="11">
        <v>3</v>
      </c>
      <c r="AD41" s="11"/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9" t="s">
        <v>333</v>
      </c>
      <c r="F42" s="8" t="s">
        <v>42</v>
      </c>
      <c r="G42" s="9">
        <v>0.34652777777777777</v>
      </c>
      <c r="H42" s="9">
        <v>0.34861111111111109</v>
      </c>
      <c r="I42" s="10">
        <f t="shared" si="6"/>
        <v>2.0833333333333259E-3</v>
      </c>
      <c r="J42" s="11">
        <v>4</v>
      </c>
      <c r="K42" s="11">
        <v>46.84</v>
      </c>
      <c r="L42" s="16">
        <f t="shared" si="7"/>
        <v>234.20000000000084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3</v>
      </c>
      <c r="X42" s="11"/>
      <c r="Y42" s="11"/>
      <c r="Z42" s="11"/>
      <c r="AA42" s="11"/>
      <c r="AB42" s="11">
        <v>3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9" t="s">
        <v>334</v>
      </c>
      <c r="F43" s="8" t="s">
        <v>42</v>
      </c>
      <c r="G43" s="9">
        <v>0.35</v>
      </c>
      <c r="H43" s="9">
        <v>0.35208333333333336</v>
      </c>
      <c r="I43" s="10">
        <f t="shared" si="6"/>
        <v>2.0833333333333814E-3</v>
      </c>
      <c r="J43" s="11">
        <v>4</v>
      </c>
      <c r="K43" s="11">
        <v>48.3</v>
      </c>
      <c r="L43" s="16">
        <f t="shared" si="7"/>
        <v>241.4999999999944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3</v>
      </c>
      <c r="W43" s="12"/>
      <c r="X43" s="11"/>
      <c r="Y43" s="11"/>
      <c r="Z43" s="11"/>
      <c r="AA43" s="11"/>
      <c r="AB43" s="11"/>
      <c r="AC43" s="11"/>
      <c r="AD43" s="11">
        <v>3</v>
      </c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9" t="s">
        <v>336</v>
      </c>
      <c r="F44" s="8" t="s">
        <v>42</v>
      </c>
      <c r="G44" s="9">
        <v>0.35486111111111113</v>
      </c>
      <c r="H44" s="9">
        <v>0.35694444444444445</v>
      </c>
      <c r="I44" s="10">
        <f t="shared" si="6"/>
        <v>2.0833333333333259E-3</v>
      </c>
      <c r="J44" s="11">
        <v>4</v>
      </c>
      <c r="K44" s="11">
        <v>47.68</v>
      </c>
      <c r="L44" s="16">
        <f t="shared" si="7"/>
        <v>238.40000000000086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3</v>
      </c>
      <c r="X44" s="11"/>
      <c r="Y44" s="11"/>
      <c r="Z44" s="11"/>
      <c r="AA44" s="11"/>
      <c r="AB44" s="11">
        <v>3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9" t="s">
        <v>337</v>
      </c>
      <c r="F45" s="8" t="s">
        <v>42</v>
      </c>
      <c r="G45" s="9">
        <v>0.35833333333333334</v>
      </c>
      <c r="H45" s="9">
        <v>0.36041666666666666</v>
      </c>
      <c r="I45" s="10">
        <f t="shared" si="6"/>
        <v>2.0833333333333259E-3</v>
      </c>
      <c r="J45" s="11">
        <v>4</v>
      </c>
      <c r="K45" s="11">
        <v>48.38</v>
      </c>
      <c r="L45" s="16">
        <f t="shared" si="7"/>
        <v>241.90000000000089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3</v>
      </c>
      <c r="W45" s="12"/>
      <c r="X45" s="11"/>
      <c r="Y45" s="11"/>
      <c r="Z45" s="11"/>
      <c r="AA45" s="11"/>
      <c r="AB45" s="11"/>
      <c r="AC45" s="11"/>
      <c r="AD45" s="11">
        <v>3</v>
      </c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339</v>
      </c>
      <c r="F46" s="8" t="s">
        <v>42</v>
      </c>
      <c r="G46" s="9">
        <v>0.36319444444444443</v>
      </c>
      <c r="H46" s="9">
        <v>0.36527777777777776</v>
      </c>
      <c r="I46" s="10">
        <f t="shared" si="6"/>
        <v>2.0833333333333259E-3</v>
      </c>
      <c r="J46" s="11">
        <v>4</v>
      </c>
      <c r="K46" s="11">
        <v>47.82</v>
      </c>
      <c r="L46" s="16">
        <f t="shared" si="7"/>
        <v>239.10000000000085</v>
      </c>
      <c r="M46" s="11"/>
      <c r="N46" s="11"/>
      <c r="O46" s="11"/>
      <c r="P46" s="11"/>
      <c r="Q46" s="11"/>
      <c r="R46" s="12"/>
      <c r="S46" s="12"/>
      <c r="T46" s="11"/>
      <c r="U46" s="11"/>
      <c r="V46" s="12"/>
      <c r="W46" s="12">
        <v>3</v>
      </c>
      <c r="X46" s="11"/>
      <c r="Y46" s="11"/>
      <c r="Z46" s="11"/>
      <c r="AA46" s="11"/>
      <c r="AB46" s="11">
        <v>3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 t="s">
        <v>340</v>
      </c>
      <c r="F47" s="8" t="s">
        <v>42</v>
      </c>
      <c r="G47" s="9">
        <v>0.36666666666666664</v>
      </c>
      <c r="H47" s="9">
        <v>0.36875000000000002</v>
      </c>
      <c r="I47" s="10">
        <f t="shared" si="6"/>
        <v>2.0833333333333814E-3</v>
      </c>
      <c r="J47" s="11">
        <v>4</v>
      </c>
      <c r="K47" s="11">
        <v>48.28</v>
      </c>
      <c r="L47" s="16">
        <f t="shared" si="7"/>
        <v>241.39999999999444</v>
      </c>
      <c r="M47" s="11"/>
      <c r="N47" s="11"/>
      <c r="O47" s="11"/>
      <c r="P47" s="11"/>
      <c r="Q47" s="11"/>
      <c r="R47" s="12"/>
      <c r="S47" s="12"/>
      <c r="T47" s="11"/>
      <c r="U47" s="11"/>
      <c r="V47" s="12">
        <v>3</v>
      </c>
      <c r="W47" s="12"/>
      <c r="X47" s="11"/>
      <c r="Y47" s="11"/>
      <c r="Z47" s="11"/>
      <c r="AA47" s="11"/>
      <c r="AB47" s="11"/>
      <c r="AC47" s="11"/>
      <c r="AD47" s="11">
        <v>3</v>
      </c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30"/>
      <c r="E48" s="19" t="s">
        <v>342</v>
      </c>
      <c r="F48" s="8" t="s">
        <v>42</v>
      </c>
      <c r="G48" s="9">
        <v>0.37152777777777779</v>
      </c>
      <c r="H48" s="9">
        <v>0.37361111111111112</v>
      </c>
      <c r="I48" s="10">
        <f t="shared" si="6"/>
        <v>2.0833333333333259E-3</v>
      </c>
      <c r="J48" s="11">
        <v>4</v>
      </c>
      <c r="K48" s="11">
        <v>48.2</v>
      </c>
      <c r="L48" s="16">
        <f t="shared" si="7"/>
        <v>241.00000000000088</v>
      </c>
      <c r="M48" s="11"/>
      <c r="N48" s="11"/>
      <c r="O48" s="11"/>
      <c r="P48" s="11"/>
      <c r="Q48" s="11"/>
      <c r="R48" s="12"/>
      <c r="S48" s="12"/>
      <c r="T48" s="11"/>
      <c r="U48" s="11"/>
      <c r="V48" s="12"/>
      <c r="W48" s="12">
        <v>3</v>
      </c>
      <c r="X48" s="11"/>
      <c r="Y48" s="11"/>
      <c r="Z48" s="11"/>
      <c r="AA48" s="11"/>
      <c r="AB48" s="11">
        <v>3</v>
      </c>
      <c r="AC48" s="11"/>
      <c r="AD48" s="11"/>
      <c r="AE48" s="11"/>
      <c r="AF48" s="11"/>
      <c r="AG48" s="11"/>
      <c r="AH48" s="11"/>
      <c r="AI48" s="11"/>
      <c r="AJ48" s="11"/>
      <c r="AK48" s="11"/>
      <c r="AL48" s="14"/>
    </row>
    <row r="49" spans="2:38" ht="25.05" customHeight="1">
      <c r="B49" s="13"/>
      <c r="C49" s="29"/>
      <c r="D49" s="30"/>
      <c r="E49" s="19" t="s">
        <v>343</v>
      </c>
      <c r="F49" s="8" t="s">
        <v>42</v>
      </c>
      <c r="G49" s="9">
        <v>0.375</v>
      </c>
      <c r="H49" s="9">
        <v>0.37708333333333333</v>
      </c>
      <c r="I49" s="10">
        <f t="shared" si="6"/>
        <v>2.0833333333333259E-3</v>
      </c>
      <c r="J49" s="11">
        <v>4</v>
      </c>
      <c r="K49" s="11">
        <v>48.18</v>
      </c>
      <c r="L49" s="16">
        <f t="shared" si="7"/>
        <v>240.90000000000086</v>
      </c>
      <c r="M49" s="11"/>
      <c r="N49" s="11"/>
      <c r="O49" s="11"/>
      <c r="P49" s="11"/>
      <c r="Q49" s="11"/>
      <c r="R49" s="12"/>
      <c r="S49" s="12"/>
      <c r="T49" s="11"/>
      <c r="U49" s="11"/>
      <c r="V49" s="12">
        <v>3</v>
      </c>
      <c r="W49" s="12"/>
      <c r="X49" s="11"/>
      <c r="Y49" s="11"/>
      <c r="Z49" s="11"/>
      <c r="AA49" s="11"/>
      <c r="AB49" s="11"/>
      <c r="AC49" s="11"/>
      <c r="AD49" s="11">
        <v>3</v>
      </c>
      <c r="AE49" s="11"/>
      <c r="AF49" s="11"/>
      <c r="AG49" s="11"/>
      <c r="AH49" s="11"/>
      <c r="AI49" s="11"/>
      <c r="AJ49" s="11"/>
      <c r="AK49" s="11"/>
      <c r="AL49" s="14"/>
    </row>
    <row r="50" spans="2:38" ht="25.05" customHeight="1">
      <c r="B50" s="13"/>
      <c r="C50" s="29"/>
      <c r="D50" s="30"/>
      <c r="E50" s="19" t="s">
        <v>345</v>
      </c>
      <c r="F50" s="8" t="s">
        <v>42</v>
      </c>
      <c r="G50" s="9">
        <v>0.38333333333333336</v>
      </c>
      <c r="H50" s="9">
        <v>0.38541666666666669</v>
      </c>
      <c r="I50" s="10">
        <f t="shared" si="6"/>
        <v>2.0833333333333259E-3</v>
      </c>
      <c r="J50" s="11">
        <v>4</v>
      </c>
      <c r="K50" s="11">
        <v>46.52</v>
      </c>
      <c r="L50" s="16">
        <f t="shared" si="7"/>
        <v>232.60000000000085</v>
      </c>
      <c r="M50" s="11"/>
      <c r="N50" s="11"/>
      <c r="O50" s="11"/>
      <c r="P50" s="11"/>
      <c r="Q50" s="11"/>
      <c r="R50" s="12"/>
      <c r="S50" s="12"/>
      <c r="T50" s="11"/>
      <c r="U50" s="11"/>
      <c r="V50" s="12"/>
      <c r="W50" s="12">
        <v>3</v>
      </c>
      <c r="X50" s="11"/>
      <c r="Y50" s="11"/>
      <c r="Z50" s="11"/>
      <c r="AA50" s="11"/>
      <c r="AB50" s="11">
        <v>3</v>
      </c>
      <c r="AC50" s="11"/>
      <c r="AD50" s="11"/>
      <c r="AE50" s="11"/>
      <c r="AF50" s="11"/>
      <c r="AG50" s="11"/>
      <c r="AH50" s="11"/>
      <c r="AI50" s="11"/>
      <c r="AJ50" s="11"/>
      <c r="AK50" s="11"/>
      <c r="AL50" s="14"/>
    </row>
    <row r="51" spans="2:38" ht="25.05" customHeight="1">
      <c r="B51" s="13"/>
      <c r="C51" s="29"/>
      <c r="D51" s="30"/>
      <c r="E51" s="19" t="s">
        <v>346</v>
      </c>
      <c r="F51" s="8" t="s">
        <v>42</v>
      </c>
      <c r="G51" s="9">
        <v>0.38680555555555557</v>
      </c>
      <c r="H51" s="9">
        <v>0.3888888888888889</v>
      </c>
      <c r="I51" s="10">
        <f t="shared" si="6"/>
        <v>2.0833333333333259E-3</v>
      </c>
      <c r="J51" s="11">
        <v>4</v>
      </c>
      <c r="K51" s="11">
        <v>48.04</v>
      </c>
      <c r="L51" s="16">
        <f t="shared" si="7"/>
        <v>240.20000000000084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3</v>
      </c>
      <c r="X51" s="11"/>
      <c r="Y51" s="11"/>
      <c r="Z51" s="11"/>
      <c r="AA51" s="11"/>
      <c r="AB51" s="11"/>
      <c r="AC51" s="11"/>
      <c r="AD51" s="11">
        <v>3</v>
      </c>
      <c r="AE51" s="11"/>
      <c r="AF51" s="11"/>
      <c r="AG51" s="11"/>
      <c r="AH51" s="11"/>
      <c r="AI51" s="11"/>
      <c r="AJ51" s="11"/>
      <c r="AK51" s="11"/>
      <c r="AL51" s="14"/>
    </row>
    <row r="52" spans="2:38" ht="25.05" customHeight="1">
      <c r="B52" s="13"/>
      <c r="C52" s="29"/>
      <c r="D52" s="30"/>
      <c r="E52" s="19" t="s">
        <v>348</v>
      </c>
      <c r="F52" s="8" t="s">
        <v>42</v>
      </c>
      <c r="G52" s="9">
        <v>0.39166666666666666</v>
      </c>
      <c r="H52" s="9">
        <v>0.39374999999999999</v>
      </c>
      <c r="I52" s="10">
        <f t="shared" si="6"/>
        <v>2.0833333333333259E-3</v>
      </c>
      <c r="J52" s="11">
        <v>4</v>
      </c>
      <c r="K52" s="11">
        <v>48.27</v>
      </c>
      <c r="L52" s="16">
        <f t="shared" si="7"/>
        <v>241.35000000000085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3</v>
      </c>
      <c r="W52" s="12"/>
      <c r="X52" s="11"/>
      <c r="Y52" s="11"/>
      <c r="Z52" s="11"/>
      <c r="AA52" s="11"/>
      <c r="AB52" s="11">
        <v>3</v>
      </c>
      <c r="AC52" s="11"/>
      <c r="AD52" s="11"/>
      <c r="AE52" s="11"/>
      <c r="AF52" s="11"/>
      <c r="AG52" s="11"/>
      <c r="AH52" s="11"/>
      <c r="AI52" s="11"/>
      <c r="AJ52" s="11"/>
      <c r="AK52" s="11"/>
      <c r="AL52" s="14"/>
    </row>
    <row r="53" spans="2:38" ht="25.05" customHeight="1">
      <c r="B53" s="13"/>
      <c r="C53" s="29"/>
      <c r="D53" s="30"/>
      <c r="E53" s="19" t="s">
        <v>349</v>
      </c>
      <c r="F53" s="8" t="s">
        <v>42</v>
      </c>
      <c r="G53" s="9">
        <v>0.39791666666666664</v>
      </c>
      <c r="H53" s="9">
        <v>0.4</v>
      </c>
      <c r="I53" s="10">
        <f t="shared" si="6"/>
        <v>2.0833333333333814E-3</v>
      </c>
      <c r="J53" s="11">
        <v>4</v>
      </c>
      <c r="K53" s="11">
        <v>48.35</v>
      </c>
      <c r="L53" s="16">
        <f t="shared" si="7"/>
        <v>241.74999999999443</v>
      </c>
      <c r="M53" s="11"/>
      <c r="N53" s="11"/>
      <c r="O53" s="11"/>
      <c r="P53" s="11"/>
      <c r="Q53" s="11"/>
      <c r="R53" s="12"/>
      <c r="S53" s="12"/>
      <c r="T53" s="11"/>
      <c r="U53" s="11"/>
      <c r="V53" s="12">
        <v>3</v>
      </c>
      <c r="W53" s="12"/>
      <c r="X53" s="11"/>
      <c r="Y53" s="11"/>
      <c r="Z53" s="11"/>
      <c r="AA53" s="11"/>
      <c r="AB53" s="11"/>
      <c r="AC53" s="11"/>
      <c r="AD53" s="11">
        <v>3</v>
      </c>
      <c r="AE53" s="11"/>
      <c r="AF53" s="11"/>
      <c r="AG53" s="11"/>
      <c r="AH53" s="11"/>
      <c r="AI53" s="11"/>
      <c r="AJ53" s="11"/>
      <c r="AK53" s="11"/>
      <c r="AL53" s="14"/>
    </row>
    <row r="54" spans="2:38" ht="25.05" customHeight="1">
      <c r="B54" s="13"/>
      <c r="C54" s="29"/>
      <c r="D54" s="30"/>
      <c r="E54" s="19" t="s">
        <v>713</v>
      </c>
      <c r="F54" s="8" t="s">
        <v>42</v>
      </c>
      <c r="G54" s="9">
        <v>0.40208333333333335</v>
      </c>
      <c r="H54" s="9">
        <v>0.40416666666666667</v>
      </c>
      <c r="I54" s="10">
        <f t="shared" si="6"/>
        <v>2.0833333333333259E-3</v>
      </c>
      <c r="J54" s="11">
        <v>4</v>
      </c>
      <c r="K54" s="11">
        <v>48.36</v>
      </c>
      <c r="L54" s="16">
        <f t="shared" si="7"/>
        <v>241.80000000000086</v>
      </c>
      <c r="M54" s="11"/>
      <c r="N54" s="11"/>
      <c r="O54" s="11"/>
      <c r="P54" s="11"/>
      <c r="Q54" s="11"/>
      <c r="R54" s="12"/>
      <c r="S54" s="12"/>
      <c r="T54" s="11"/>
      <c r="U54" s="11"/>
      <c r="V54" s="12"/>
      <c r="W54" s="12">
        <v>3</v>
      </c>
      <c r="X54" s="11"/>
      <c r="Y54" s="11"/>
      <c r="Z54" s="11"/>
      <c r="AA54" s="11"/>
      <c r="AB54" s="11">
        <v>3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4"/>
    </row>
    <row r="55" spans="2:38" ht="25.05" customHeight="1">
      <c r="B55" s="13"/>
      <c r="C55" s="29"/>
      <c r="D55" s="30"/>
      <c r="E55" s="19" t="s">
        <v>714</v>
      </c>
      <c r="F55" s="8" t="s">
        <v>42</v>
      </c>
      <c r="G55" s="9">
        <v>0.40486111111111112</v>
      </c>
      <c r="H55" s="9">
        <v>0.40694444444444444</v>
      </c>
      <c r="I55" s="10">
        <f t="shared" si="6"/>
        <v>2.0833333333333259E-3</v>
      </c>
      <c r="J55" s="11">
        <v>4</v>
      </c>
      <c r="K55" s="11">
        <v>48.21</v>
      </c>
      <c r="L55" s="16">
        <f t="shared" si="7"/>
        <v>241.05000000000086</v>
      </c>
      <c r="M55" s="11"/>
      <c r="N55" s="11"/>
      <c r="O55" s="11"/>
      <c r="P55" s="11"/>
      <c r="Q55" s="11"/>
      <c r="R55" s="12"/>
      <c r="S55" s="12"/>
      <c r="T55" s="11"/>
      <c r="U55" s="11"/>
      <c r="V55" s="12">
        <v>3</v>
      </c>
      <c r="W55" s="12"/>
      <c r="X55" s="11"/>
      <c r="Y55" s="11"/>
      <c r="Z55" s="11"/>
      <c r="AA55" s="11"/>
      <c r="AB55" s="11"/>
      <c r="AC55" s="11"/>
      <c r="AD55" s="11">
        <v>3</v>
      </c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715</v>
      </c>
      <c r="F56" s="8" t="s">
        <v>42</v>
      </c>
      <c r="G56" s="9">
        <v>0.41111111111111109</v>
      </c>
      <c r="H56" s="9">
        <v>0.41319444444444442</v>
      </c>
      <c r="I56" s="10">
        <f t="shared" si="6"/>
        <v>2.0833333333333259E-3</v>
      </c>
      <c r="J56" s="11">
        <v>4</v>
      </c>
      <c r="K56" s="11">
        <v>48.08</v>
      </c>
      <c r="L56" s="16">
        <f t="shared" si="7"/>
        <v>240.40000000000086</v>
      </c>
      <c r="M56" s="11"/>
      <c r="N56" s="11"/>
      <c r="O56" s="11"/>
      <c r="P56" s="11"/>
      <c r="Q56" s="11"/>
      <c r="R56" s="12"/>
      <c r="S56" s="12"/>
      <c r="T56" s="11"/>
      <c r="U56" s="11"/>
      <c r="V56" s="12"/>
      <c r="W56" s="12">
        <v>3</v>
      </c>
      <c r="X56" s="11"/>
      <c r="Y56" s="11"/>
      <c r="Z56" s="11"/>
      <c r="AA56" s="11"/>
      <c r="AB56" s="11">
        <v>3</v>
      </c>
      <c r="AC56" s="11"/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716</v>
      </c>
      <c r="F57" s="8" t="s">
        <v>42</v>
      </c>
      <c r="G57" s="9">
        <v>0.41388888888888886</v>
      </c>
      <c r="H57" s="9">
        <v>0.41597222222222224</v>
      </c>
      <c r="I57" s="10">
        <f t="shared" si="6"/>
        <v>2.0833333333333814E-3</v>
      </c>
      <c r="J57" s="11">
        <v>4</v>
      </c>
      <c r="K57" s="11">
        <v>49.35</v>
      </c>
      <c r="L57" s="16">
        <f t="shared" si="7"/>
        <v>246.74999999999432</v>
      </c>
      <c r="M57" s="11"/>
      <c r="N57" s="11"/>
      <c r="O57" s="11"/>
      <c r="P57" s="11"/>
      <c r="Q57" s="11"/>
      <c r="R57" s="12"/>
      <c r="S57" s="12"/>
      <c r="T57" s="11"/>
      <c r="U57" s="11"/>
      <c r="V57" s="12">
        <v>3</v>
      </c>
      <c r="W57" s="12"/>
      <c r="X57" s="11"/>
      <c r="Y57" s="11"/>
      <c r="Z57" s="11"/>
      <c r="AA57" s="11"/>
      <c r="AB57" s="11"/>
      <c r="AC57" s="11"/>
      <c r="AD57" s="11">
        <v>3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717</v>
      </c>
      <c r="F58" s="8" t="s">
        <v>42</v>
      </c>
      <c r="G58" s="9">
        <v>0.4201388888888889</v>
      </c>
      <c r="H58" s="9">
        <v>0.42222222222222222</v>
      </c>
      <c r="I58" s="10">
        <f t="shared" si="6"/>
        <v>2.0833333333333259E-3</v>
      </c>
      <c r="J58" s="11">
        <v>4</v>
      </c>
      <c r="K58" s="11">
        <v>46.25</v>
      </c>
      <c r="L58" s="16">
        <f t="shared" si="7"/>
        <v>231.25000000000082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3</v>
      </c>
      <c r="W58" s="12"/>
      <c r="X58" s="11"/>
      <c r="Y58" s="11"/>
      <c r="Z58" s="11"/>
      <c r="AA58" s="11"/>
      <c r="AB58" s="11">
        <v>3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718</v>
      </c>
      <c r="F59" s="8" t="s">
        <v>42</v>
      </c>
      <c r="G59" s="9">
        <v>0.42569444444444443</v>
      </c>
      <c r="H59" s="9">
        <v>0.42777777777777776</v>
      </c>
      <c r="I59" s="10">
        <f t="shared" si="6"/>
        <v>2.0833333333333259E-3</v>
      </c>
      <c r="J59" s="11">
        <v>4</v>
      </c>
      <c r="K59" s="11">
        <v>48.6</v>
      </c>
      <c r="L59" s="16">
        <f t="shared" si="7"/>
        <v>243.00000000000088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3</v>
      </c>
      <c r="X59" s="11"/>
      <c r="Y59" s="11"/>
      <c r="Z59" s="11"/>
      <c r="AA59" s="11"/>
      <c r="AB59" s="11"/>
      <c r="AC59" s="11"/>
      <c r="AD59" s="11">
        <v>3</v>
      </c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719</v>
      </c>
      <c r="F60" s="8" t="s">
        <v>42</v>
      </c>
      <c r="G60" s="9">
        <v>0.43125000000000002</v>
      </c>
      <c r="H60" s="9">
        <v>0.43333333333333335</v>
      </c>
      <c r="I60" s="10">
        <f t="shared" si="6"/>
        <v>2.0833333333333259E-3</v>
      </c>
      <c r="J60" s="11">
        <v>4</v>
      </c>
      <c r="K60" s="11">
        <v>48.49</v>
      </c>
      <c r="L60" s="16">
        <f t="shared" si="7"/>
        <v>242.45000000000087</v>
      </c>
      <c r="M60" s="11"/>
      <c r="N60" s="11"/>
      <c r="O60" s="11"/>
      <c r="P60" s="11"/>
      <c r="Q60" s="11"/>
      <c r="R60" s="12"/>
      <c r="S60" s="12"/>
      <c r="T60" s="11"/>
      <c r="U60" s="11"/>
      <c r="V60" s="12"/>
      <c r="W60" s="12">
        <v>3</v>
      </c>
      <c r="X60" s="11"/>
      <c r="Y60" s="11"/>
      <c r="Z60" s="11"/>
      <c r="AA60" s="11"/>
      <c r="AB60" s="11">
        <v>3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720</v>
      </c>
      <c r="F61" s="14"/>
      <c r="G61" s="9">
        <v>0.43472222222222223</v>
      </c>
      <c r="H61" s="9">
        <v>0.43680555555555556</v>
      </c>
      <c r="I61" s="10">
        <f>H61-G61</f>
        <v>2.0833333333333259E-3</v>
      </c>
      <c r="J61" s="11">
        <v>4</v>
      </c>
      <c r="K61" s="11">
        <v>48.31</v>
      </c>
      <c r="L61" s="16">
        <f>IFERROR(((K61/(J61*I61)/24)),"0")</f>
        <v>241.55000000000086</v>
      </c>
      <c r="M61" s="11"/>
      <c r="N61" s="11"/>
      <c r="O61" s="11"/>
      <c r="P61" s="11"/>
      <c r="Q61" s="11"/>
      <c r="R61" s="12"/>
      <c r="S61" s="12"/>
      <c r="T61" s="11"/>
      <c r="U61" s="11"/>
      <c r="V61" s="12">
        <v>3</v>
      </c>
      <c r="W61" s="12"/>
      <c r="X61" s="11"/>
      <c r="Y61" s="11"/>
      <c r="Z61" s="11"/>
      <c r="AA61" s="11"/>
      <c r="AB61" s="11"/>
      <c r="AC61" s="11"/>
      <c r="AD61" s="11">
        <v>3</v>
      </c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721</v>
      </c>
      <c r="F62" s="8" t="s">
        <v>42</v>
      </c>
      <c r="G62" s="9">
        <v>0.44166666666666665</v>
      </c>
      <c r="H62" s="9">
        <v>0.44374999999999998</v>
      </c>
      <c r="I62" s="10">
        <f t="shared" ref="I62:I73" si="8">H62-G62</f>
        <v>2.0833333333333259E-3</v>
      </c>
      <c r="J62" s="11">
        <v>4</v>
      </c>
      <c r="K62" s="11">
        <v>48.09</v>
      </c>
      <c r="L62" s="16">
        <f t="shared" ref="L62:L73" si="9">IFERROR(((K62/(J62*I62)/24)),"0")</f>
        <v>240.45000000000087</v>
      </c>
      <c r="M62" s="11"/>
      <c r="N62" s="11"/>
      <c r="O62" s="11"/>
      <c r="P62" s="11"/>
      <c r="Q62" s="11"/>
      <c r="R62" s="12"/>
      <c r="S62" s="12"/>
      <c r="T62" s="11"/>
      <c r="U62" s="11"/>
      <c r="V62" s="12"/>
      <c r="W62" s="12">
        <v>3</v>
      </c>
      <c r="X62" s="11"/>
      <c r="Y62" s="11"/>
      <c r="Z62" s="11"/>
      <c r="AA62" s="11"/>
      <c r="AB62" s="11"/>
      <c r="AC62" s="11"/>
      <c r="AD62" s="11">
        <v>3</v>
      </c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23" t="s">
        <v>1929</v>
      </c>
      <c r="F63" s="8" t="s">
        <v>42</v>
      </c>
      <c r="G63" s="9">
        <v>0.35972222222222222</v>
      </c>
      <c r="H63" s="9">
        <v>0.37222222222222223</v>
      </c>
      <c r="I63" s="10">
        <f t="shared" si="8"/>
        <v>1.2500000000000011E-2</v>
      </c>
      <c r="J63" s="11">
        <v>3</v>
      </c>
      <c r="K63" s="11">
        <v>138.87</v>
      </c>
      <c r="L63" s="16">
        <f t="shared" si="9"/>
        <v>154.29999999999987</v>
      </c>
      <c r="M63" s="11"/>
      <c r="N63" s="11"/>
      <c r="O63" s="11"/>
      <c r="P63" s="11"/>
      <c r="Q63" s="11"/>
      <c r="R63" s="12"/>
      <c r="S63" s="12"/>
      <c r="T63" s="11"/>
      <c r="U63" s="11"/>
      <c r="V63" s="12">
        <v>2</v>
      </c>
      <c r="W63" s="12"/>
      <c r="X63" s="11"/>
      <c r="Y63" s="11"/>
      <c r="Z63" s="11"/>
      <c r="AA63" s="11"/>
      <c r="AB63" s="11"/>
      <c r="AC63" s="11">
        <v>18</v>
      </c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/>
      <c r="F64" s="63"/>
      <c r="G64" s="19"/>
      <c r="H64" s="19"/>
      <c r="I64" s="19"/>
      <c r="J64" s="19"/>
      <c r="K64" s="19"/>
      <c r="L64" s="19"/>
      <c r="M64" s="11"/>
      <c r="N64" s="11"/>
      <c r="O64" s="11"/>
      <c r="P64" s="11"/>
      <c r="Q64" s="11"/>
      <c r="R64" s="12"/>
      <c r="S64" s="12"/>
      <c r="T64" s="11"/>
      <c r="U64" s="11"/>
      <c r="V64" s="12"/>
      <c r="W64" s="12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6" t="s">
        <v>1669</v>
      </c>
      <c r="E65" s="19" t="s">
        <v>1683</v>
      </c>
      <c r="F65" s="8" t="s">
        <v>42</v>
      </c>
      <c r="G65" s="9">
        <v>0.45624999999999999</v>
      </c>
      <c r="H65" s="9">
        <v>0.45624999999999999</v>
      </c>
      <c r="I65" s="10">
        <f t="shared" si="8"/>
        <v>0</v>
      </c>
      <c r="J65" s="11">
        <v>4</v>
      </c>
      <c r="K65" s="11">
        <v>56.3</v>
      </c>
      <c r="L65" s="16" t="str">
        <f t="shared" si="9"/>
        <v>0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/>
      <c r="Y65" s="11"/>
      <c r="Z65" s="11"/>
      <c r="AA65" s="11"/>
      <c r="AB65" s="11"/>
      <c r="AC65" s="11">
        <v>15</v>
      </c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1684</v>
      </c>
      <c r="F66" s="8" t="s">
        <v>42</v>
      </c>
      <c r="G66" s="9">
        <v>0.46180555555555558</v>
      </c>
      <c r="H66" s="9">
        <v>0.46180555555555558</v>
      </c>
      <c r="I66" s="10">
        <f t="shared" si="8"/>
        <v>0</v>
      </c>
      <c r="J66" s="11">
        <v>4</v>
      </c>
      <c r="K66" s="11">
        <v>57.4</v>
      </c>
      <c r="L66" s="16" t="str">
        <f t="shared" si="9"/>
        <v>0</v>
      </c>
      <c r="M66" s="11"/>
      <c r="N66" s="11"/>
      <c r="O66" s="11"/>
      <c r="P66" s="11"/>
      <c r="Q66" s="11"/>
      <c r="R66" s="12"/>
      <c r="S66" s="12"/>
      <c r="T66" s="11"/>
      <c r="U66" s="11"/>
      <c r="V66" s="12"/>
      <c r="W66" s="12">
        <v>2</v>
      </c>
      <c r="X66" s="11"/>
      <c r="Y66" s="11"/>
      <c r="Z66" s="11"/>
      <c r="AA66" s="11"/>
      <c r="AB66" s="11"/>
      <c r="AC66" s="11">
        <v>15</v>
      </c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1685</v>
      </c>
      <c r="F67" s="8" t="s">
        <v>42</v>
      </c>
      <c r="G67" s="9">
        <v>0.46805555555555556</v>
      </c>
      <c r="H67" s="9">
        <v>0.46805555555555556</v>
      </c>
      <c r="I67" s="10">
        <f t="shared" si="8"/>
        <v>0</v>
      </c>
      <c r="J67" s="11">
        <v>4</v>
      </c>
      <c r="K67" s="11">
        <v>51.82</v>
      </c>
      <c r="L67" s="16" t="str">
        <f t="shared" si="9"/>
        <v>0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2</v>
      </c>
      <c r="X67" s="11"/>
      <c r="Y67" s="11"/>
      <c r="Z67" s="11"/>
      <c r="AA67" s="11"/>
      <c r="AB67" s="11"/>
      <c r="AC67" s="11">
        <v>15</v>
      </c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1686</v>
      </c>
      <c r="F68" s="8" t="s">
        <v>42</v>
      </c>
      <c r="G68" s="9">
        <v>0.47361111111111109</v>
      </c>
      <c r="H68" s="9">
        <v>0.47361111111111109</v>
      </c>
      <c r="I68" s="10">
        <f t="shared" si="8"/>
        <v>0</v>
      </c>
      <c r="J68" s="11">
        <v>4</v>
      </c>
      <c r="K68" s="11">
        <v>51.38</v>
      </c>
      <c r="L68" s="16" t="str">
        <f t="shared" si="9"/>
        <v>0</v>
      </c>
      <c r="M68" s="11"/>
      <c r="N68" s="11"/>
      <c r="O68" s="11"/>
      <c r="P68" s="11"/>
      <c r="Q68" s="11"/>
      <c r="R68" s="12"/>
      <c r="S68" s="12"/>
      <c r="T68" s="11"/>
      <c r="U68" s="11"/>
      <c r="V68" s="12"/>
      <c r="W68" s="12">
        <v>2</v>
      </c>
      <c r="X68" s="11"/>
      <c r="Y68" s="11"/>
      <c r="Z68" s="11"/>
      <c r="AA68" s="11"/>
      <c r="AB68" s="11"/>
      <c r="AC68" s="11">
        <v>15</v>
      </c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1687</v>
      </c>
      <c r="F69" s="8" t="s">
        <v>42</v>
      </c>
      <c r="G69" s="9">
        <v>0.5708333333333333</v>
      </c>
      <c r="H69" s="9">
        <v>0.5708333333333333</v>
      </c>
      <c r="I69" s="10">
        <f t="shared" si="8"/>
        <v>0</v>
      </c>
      <c r="J69" s="11">
        <v>4</v>
      </c>
      <c r="K69" s="11">
        <v>54.8</v>
      </c>
      <c r="L69" s="16" t="str">
        <f t="shared" si="9"/>
        <v>0</v>
      </c>
      <c r="M69" s="11"/>
      <c r="N69" s="11"/>
      <c r="O69" s="11"/>
      <c r="P69" s="11"/>
      <c r="Q69" s="11"/>
      <c r="R69" s="12"/>
      <c r="S69" s="12"/>
      <c r="T69" s="11"/>
      <c r="U69" s="11"/>
      <c r="V69" s="12">
        <v>2</v>
      </c>
      <c r="W69" s="12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1688</v>
      </c>
      <c r="F70" s="8" t="s">
        <v>42</v>
      </c>
      <c r="G70" s="9">
        <v>0.57638888888888884</v>
      </c>
      <c r="H70" s="9">
        <v>0.57638888888888884</v>
      </c>
      <c r="I70" s="10">
        <f t="shared" si="8"/>
        <v>0</v>
      </c>
      <c r="J70" s="11">
        <v>4</v>
      </c>
      <c r="K70" s="11">
        <v>57.34</v>
      </c>
      <c r="L70" s="16" t="str">
        <f t="shared" si="9"/>
        <v>0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 t="s">
        <v>1689</v>
      </c>
      <c r="F71" s="8" t="s">
        <v>42</v>
      </c>
      <c r="G71" s="9">
        <v>0.58194444444444449</v>
      </c>
      <c r="H71" s="9">
        <v>0.58194444444444449</v>
      </c>
      <c r="I71" s="10">
        <f t="shared" si="8"/>
        <v>0</v>
      </c>
      <c r="J71" s="11">
        <v>4</v>
      </c>
      <c r="K71" s="11">
        <v>66.760000000000005</v>
      </c>
      <c r="L71" s="16" t="str">
        <f t="shared" si="9"/>
        <v>0</v>
      </c>
      <c r="M71" s="11"/>
      <c r="N71" s="11"/>
      <c r="O71" s="11"/>
      <c r="P71" s="11"/>
      <c r="Q71" s="11"/>
      <c r="R71" s="12"/>
      <c r="S71" s="12"/>
      <c r="T71" s="11"/>
      <c r="U71" s="11"/>
      <c r="V71" s="12">
        <v>2</v>
      </c>
      <c r="W71" s="12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30"/>
      <c r="E72" s="19" t="s">
        <v>1691</v>
      </c>
      <c r="F72" s="8" t="s">
        <v>42</v>
      </c>
      <c r="G72" s="9">
        <v>0.46111111111111114</v>
      </c>
      <c r="H72" s="9">
        <v>0.46388888888888891</v>
      </c>
      <c r="I72" s="10">
        <f t="shared" si="8"/>
        <v>2.7777777777777679E-3</v>
      </c>
      <c r="J72" s="11">
        <v>4</v>
      </c>
      <c r="K72" s="11">
        <v>58.95</v>
      </c>
      <c r="L72" s="16">
        <f t="shared" si="9"/>
        <v>221.0625000000008</v>
      </c>
      <c r="M72" s="11"/>
      <c r="N72" s="11"/>
      <c r="O72" s="11"/>
      <c r="P72" s="11"/>
      <c r="Q72" s="11"/>
      <c r="R72" s="12"/>
      <c r="S72" s="12"/>
      <c r="T72" s="11"/>
      <c r="U72" s="11"/>
      <c r="V72" s="12"/>
      <c r="W72" s="12">
        <v>2</v>
      </c>
      <c r="X72" s="11"/>
      <c r="Y72" s="11"/>
      <c r="Z72" s="11"/>
      <c r="AA72" s="11"/>
      <c r="AB72" s="11"/>
      <c r="AC72" s="11"/>
      <c r="AD72" s="11">
        <v>4</v>
      </c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2785</v>
      </c>
      <c r="F73" s="8" t="s">
        <v>42</v>
      </c>
      <c r="G73" s="9">
        <v>0.46875</v>
      </c>
      <c r="H73" s="9">
        <v>0.47222222222222221</v>
      </c>
      <c r="I73" s="10">
        <f t="shared" si="8"/>
        <v>3.4722222222222099E-3</v>
      </c>
      <c r="J73" s="11">
        <v>4</v>
      </c>
      <c r="K73" s="11">
        <v>54.41</v>
      </c>
      <c r="L73" s="16">
        <f t="shared" si="9"/>
        <v>163.23000000000056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/>
      <c r="Y73" s="11"/>
      <c r="Z73" s="11"/>
      <c r="AA73" s="11"/>
      <c r="AB73" s="11"/>
      <c r="AC73" s="11"/>
      <c r="AD73" s="11">
        <v>5</v>
      </c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65"/>
      <c r="E74" s="17" t="s">
        <v>1693</v>
      </c>
      <c r="F74" s="8" t="s">
        <v>42</v>
      </c>
      <c r="G74" s="9">
        <v>0.44166666666666665</v>
      </c>
      <c r="H74" s="9">
        <v>0.44166666666666665</v>
      </c>
      <c r="I74" s="10">
        <f>H74-G74</f>
        <v>0</v>
      </c>
      <c r="J74" s="11">
        <v>4</v>
      </c>
      <c r="K74" s="11">
        <v>3.52</v>
      </c>
      <c r="L74" s="16" t="str">
        <f>IFERROR(((K74/(J74*I74)/24)),"0")</f>
        <v>0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/>
      <c r="Y74" s="11"/>
      <c r="Z74" s="11"/>
      <c r="AA74" s="11"/>
      <c r="AB74" s="11"/>
      <c r="AC74" s="11">
        <v>10</v>
      </c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65"/>
      <c r="E75" s="17" t="s">
        <v>1694</v>
      </c>
      <c r="F75" s="8" t="s">
        <v>42</v>
      </c>
      <c r="G75" s="9">
        <v>0.44305555555555554</v>
      </c>
      <c r="H75" s="9">
        <v>0.44305555555555554</v>
      </c>
      <c r="I75" s="10">
        <f t="shared" ref="I75:I87" si="10">H75-G75</f>
        <v>0</v>
      </c>
      <c r="J75" s="11">
        <v>4</v>
      </c>
      <c r="K75" s="11">
        <v>3.64</v>
      </c>
      <c r="L75" s="16" t="str">
        <f t="shared" ref="L75:L87" si="11">IFERROR(((K75/(J75*I75)/24)),"0")</f>
        <v>0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/>
      <c r="Y75" s="11"/>
      <c r="Z75" s="11"/>
      <c r="AA75" s="11"/>
      <c r="AB75" s="11"/>
      <c r="AC75" s="11">
        <v>10</v>
      </c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65"/>
      <c r="E76" s="17" t="s">
        <v>1695</v>
      </c>
      <c r="F76" s="8" t="s">
        <v>42</v>
      </c>
      <c r="G76" s="9">
        <v>0.44444444444444442</v>
      </c>
      <c r="H76" s="9">
        <v>0.44444444444444442</v>
      </c>
      <c r="I76" s="10">
        <f t="shared" si="10"/>
        <v>0</v>
      </c>
      <c r="J76" s="11">
        <v>4</v>
      </c>
      <c r="K76" s="11">
        <v>3.72</v>
      </c>
      <c r="L76" s="16" t="str">
        <f t="shared" si="11"/>
        <v>0</v>
      </c>
      <c r="M76" s="11"/>
      <c r="N76" s="11"/>
      <c r="O76" s="11"/>
      <c r="P76" s="11"/>
      <c r="Q76" s="11"/>
      <c r="R76" s="12"/>
      <c r="S76" s="12"/>
      <c r="T76" s="11"/>
      <c r="U76" s="11"/>
      <c r="V76" s="12"/>
      <c r="W76" s="12">
        <v>2</v>
      </c>
      <c r="X76" s="11"/>
      <c r="Y76" s="11"/>
      <c r="Z76" s="11"/>
      <c r="AA76" s="11"/>
      <c r="AB76" s="11"/>
      <c r="AC76" s="11">
        <v>10</v>
      </c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65"/>
      <c r="E77" s="17" t="s">
        <v>1696</v>
      </c>
      <c r="F77" s="8" t="s">
        <v>42</v>
      </c>
      <c r="G77" s="9">
        <v>0.44583333333333336</v>
      </c>
      <c r="H77" s="9">
        <v>0.44583333333333336</v>
      </c>
      <c r="I77" s="10">
        <f t="shared" si="10"/>
        <v>0</v>
      </c>
      <c r="J77" s="11">
        <v>4</v>
      </c>
      <c r="K77" s="11">
        <v>3.56</v>
      </c>
      <c r="L77" s="16" t="str">
        <f t="shared" si="11"/>
        <v>0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/>
      <c r="AA77" s="11"/>
      <c r="AB77" s="11"/>
      <c r="AC77" s="11">
        <v>10</v>
      </c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65"/>
      <c r="E78" s="17" t="s">
        <v>1697</v>
      </c>
      <c r="F78" s="8" t="s">
        <v>42</v>
      </c>
      <c r="G78" s="9">
        <v>0.44722222222222224</v>
      </c>
      <c r="H78" s="9">
        <v>0.44722222222222224</v>
      </c>
      <c r="I78" s="10">
        <f t="shared" si="10"/>
        <v>0</v>
      </c>
      <c r="J78" s="11">
        <v>4</v>
      </c>
      <c r="K78" s="11">
        <v>4.4800000000000004</v>
      </c>
      <c r="L78" s="16" t="str">
        <f t="shared" si="11"/>
        <v>0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/>
      <c r="Z78" s="11"/>
      <c r="AA78" s="11"/>
      <c r="AB78" s="11"/>
      <c r="AC78" s="11">
        <v>10</v>
      </c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65"/>
      <c r="E79" s="17" t="s">
        <v>1698</v>
      </c>
      <c r="F79" s="8" t="s">
        <v>42</v>
      </c>
      <c r="G79" s="9">
        <v>0.44861111111111113</v>
      </c>
      <c r="H79" s="9">
        <v>0.44861111111111113</v>
      </c>
      <c r="I79" s="10">
        <f t="shared" si="10"/>
        <v>0</v>
      </c>
      <c r="J79" s="11">
        <v>4</v>
      </c>
      <c r="K79" s="11">
        <v>3.92</v>
      </c>
      <c r="L79" s="16" t="str">
        <f t="shared" si="11"/>
        <v>0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/>
      <c r="Z79" s="11"/>
      <c r="AA79" s="11"/>
      <c r="AB79" s="11"/>
      <c r="AC79" s="11">
        <v>10</v>
      </c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65"/>
      <c r="E80" s="17" t="s">
        <v>1699</v>
      </c>
      <c r="F80" s="8" t="s">
        <v>42</v>
      </c>
      <c r="G80" s="9">
        <v>0.45</v>
      </c>
      <c r="H80" s="9">
        <v>0.45</v>
      </c>
      <c r="I80" s="10">
        <f t="shared" si="10"/>
        <v>0</v>
      </c>
      <c r="J80" s="11">
        <v>4</v>
      </c>
      <c r="K80" s="11">
        <v>4.08</v>
      </c>
      <c r="L80" s="16" t="str">
        <f t="shared" si="11"/>
        <v>0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/>
      <c r="Y80" s="11"/>
      <c r="Z80" s="11"/>
      <c r="AA80" s="11"/>
      <c r="AB80" s="11"/>
      <c r="AC80" s="11">
        <v>10</v>
      </c>
      <c r="AD80" s="11"/>
      <c r="AE80" s="11"/>
      <c r="AF80" s="11"/>
      <c r="AG80" s="11"/>
      <c r="AH80" s="11"/>
      <c r="AI80" s="11"/>
      <c r="AJ80" s="11"/>
      <c r="AK80" s="11"/>
      <c r="AL80" s="14"/>
    </row>
    <row r="81" spans="2:38" ht="25.05" customHeight="1">
      <c r="B81" s="13"/>
      <c r="C81" s="29"/>
      <c r="D81" s="30"/>
      <c r="E81" s="19" t="s">
        <v>1701</v>
      </c>
      <c r="F81" s="8" t="s">
        <v>42</v>
      </c>
      <c r="G81" s="9">
        <v>0.45902777777777776</v>
      </c>
      <c r="H81" s="9">
        <v>0.46875</v>
      </c>
      <c r="I81" s="10">
        <f t="shared" si="10"/>
        <v>9.7222222222222432E-3</v>
      </c>
      <c r="J81" s="11">
        <v>3</v>
      </c>
      <c r="K81" s="11">
        <v>59.54</v>
      </c>
      <c r="L81" s="16">
        <f t="shared" si="11"/>
        <v>85.057142857142665</v>
      </c>
      <c r="M81" s="11"/>
      <c r="N81" s="11"/>
      <c r="O81" s="11"/>
      <c r="P81" s="11"/>
      <c r="Q81" s="11"/>
      <c r="R81" s="12"/>
      <c r="S81" s="12"/>
      <c r="T81" s="11"/>
      <c r="U81" s="11"/>
      <c r="V81" s="12">
        <v>2</v>
      </c>
      <c r="W81" s="12"/>
      <c r="X81" s="11"/>
      <c r="Y81" s="11"/>
      <c r="Z81" s="11"/>
      <c r="AA81" s="11"/>
      <c r="AB81" s="11">
        <v>14</v>
      </c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2:38" ht="25.05" customHeight="1">
      <c r="B82" s="13"/>
      <c r="C82" s="29"/>
      <c r="D82" s="30"/>
      <c r="E82" s="66" t="s">
        <v>1702</v>
      </c>
      <c r="F82" s="8" t="s">
        <v>42</v>
      </c>
      <c r="G82" s="9">
        <v>0.47847222222222224</v>
      </c>
      <c r="H82" s="9">
        <v>0.48402777777777778</v>
      </c>
      <c r="I82" s="10">
        <f t="shared" si="10"/>
        <v>5.5555555555555358E-3</v>
      </c>
      <c r="J82" s="11">
        <v>3</v>
      </c>
      <c r="K82" s="11">
        <v>53.45</v>
      </c>
      <c r="L82" s="16">
        <f t="shared" si="11"/>
        <v>133.62500000000048</v>
      </c>
      <c r="M82" s="11"/>
      <c r="N82" s="11"/>
      <c r="O82" s="11"/>
      <c r="P82" s="11"/>
      <c r="Q82" s="11"/>
      <c r="R82" s="12"/>
      <c r="S82" s="12"/>
      <c r="T82" s="11"/>
      <c r="U82" s="11"/>
      <c r="V82" s="12"/>
      <c r="W82" s="12">
        <v>2</v>
      </c>
      <c r="X82" s="11"/>
      <c r="Y82" s="11"/>
      <c r="Z82" s="11"/>
      <c r="AA82" s="11"/>
      <c r="AB82" s="11">
        <v>8</v>
      </c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2:38" ht="25.05" customHeight="1">
      <c r="B83" s="13"/>
      <c r="C83" s="29"/>
      <c r="D83" s="30"/>
      <c r="E83" s="66" t="s">
        <v>1703</v>
      </c>
      <c r="F83" s="8" t="s">
        <v>42</v>
      </c>
      <c r="G83" s="9">
        <v>0.4861111111111111</v>
      </c>
      <c r="H83" s="9">
        <v>0.49236111111111114</v>
      </c>
      <c r="I83" s="10">
        <f t="shared" si="10"/>
        <v>6.2500000000000333E-3</v>
      </c>
      <c r="J83" s="11">
        <v>3</v>
      </c>
      <c r="K83" s="11">
        <v>55.08</v>
      </c>
      <c r="L83" s="16">
        <f t="shared" si="11"/>
        <v>122.39999999999935</v>
      </c>
      <c r="M83" s="11"/>
      <c r="N83" s="11"/>
      <c r="O83" s="11"/>
      <c r="P83" s="11"/>
      <c r="Q83" s="11"/>
      <c r="R83" s="12"/>
      <c r="S83" s="12"/>
      <c r="T83" s="11"/>
      <c r="U83" s="11"/>
      <c r="V83" s="12">
        <v>2</v>
      </c>
      <c r="W83" s="12"/>
      <c r="X83" s="11"/>
      <c r="Y83" s="11"/>
      <c r="Z83" s="11"/>
      <c r="AA83" s="11"/>
      <c r="AB83" s="11"/>
      <c r="AC83" s="11"/>
      <c r="AD83" s="11">
        <v>9</v>
      </c>
      <c r="AE83" s="11"/>
      <c r="AF83" s="11"/>
      <c r="AG83" s="11"/>
      <c r="AH83" s="11"/>
      <c r="AI83" s="11"/>
      <c r="AJ83" s="11"/>
      <c r="AK83" s="11"/>
      <c r="AL83" s="14"/>
    </row>
    <row r="84" spans="2:38" ht="25.05" customHeight="1">
      <c r="B84" s="13"/>
      <c r="C84" s="29"/>
      <c r="D84" s="30"/>
      <c r="E84" s="66" t="s">
        <v>1704</v>
      </c>
      <c r="F84" s="8" t="s">
        <v>42</v>
      </c>
      <c r="G84" s="9">
        <v>0.48958333333333331</v>
      </c>
      <c r="H84" s="9">
        <v>0.49791666666666667</v>
      </c>
      <c r="I84" s="10">
        <f t="shared" si="10"/>
        <v>8.3333333333333592E-3</v>
      </c>
      <c r="J84" s="11">
        <v>3</v>
      </c>
      <c r="K84" s="11">
        <v>53.68</v>
      </c>
      <c r="L84" s="16">
        <f t="shared" si="11"/>
        <v>89.466666666666399</v>
      </c>
      <c r="M84" s="11"/>
      <c r="N84" s="11"/>
      <c r="O84" s="11"/>
      <c r="P84" s="11"/>
      <c r="Q84" s="11"/>
      <c r="R84" s="12"/>
      <c r="S84" s="12"/>
      <c r="T84" s="11"/>
      <c r="U84" s="11"/>
      <c r="V84" s="12"/>
      <c r="W84" s="12">
        <v>2</v>
      </c>
      <c r="X84" s="11"/>
      <c r="Y84" s="11"/>
      <c r="Z84" s="11"/>
      <c r="AA84" s="11"/>
      <c r="AB84" s="11">
        <v>12</v>
      </c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2:38" ht="25.05" customHeight="1">
      <c r="B85" s="13"/>
      <c r="C85" s="29"/>
      <c r="D85" s="30"/>
      <c r="E85" s="66" t="s">
        <v>1705</v>
      </c>
      <c r="F85" s="8" t="s">
        <v>42</v>
      </c>
      <c r="G85" s="9">
        <v>0.56458333333333333</v>
      </c>
      <c r="H85" s="9">
        <v>0.57222222222222219</v>
      </c>
      <c r="I85" s="10">
        <f t="shared" si="10"/>
        <v>7.6388888888888618E-3</v>
      </c>
      <c r="J85" s="11">
        <v>3</v>
      </c>
      <c r="K85" s="11">
        <v>54.64</v>
      </c>
      <c r="L85" s="16">
        <f t="shared" si="11"/>
        <v>99.345454545454899</v>
      </c>
      <c r="M85" s="11"/>
      <c r="N85" s="11"/>
      <c r="O85" s="11"/>
      <c r="P85" s="11"/>
      <c r="Q85" s="11"/>
      <c r="R85" s="12"/>
      <c r="S85" s="12"/>
      <c r="T85" s="11"/>
      <c r="U85" s="11"/>
      <c r="V85" s="12">
        <v>2</v>
      </c>
      <c r="W85" s="12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2:38" ht="25.05" customHeight="1">
      <c r="B86" s="13"/>
      <c r="C86" s="29"/>
      <c r="D86" s="30"/>
      <c r="E86" s="66" t="s">
        <v>1706</v>
      </c>
      <c r="F86" s="8" t="s">
        <v>42</v>
      </c>
      <c r="G86" s="9">
        <v>0.57916666666666672</v>
      </c>
      <c r="H86" s="9">
        <v>0.58611111111111114</v>
      </c>
      <c r="I86" s="10">
        <f t="shared" si="10"/>
        <v>6.9444444444444198E-3</v>
      </c>
      <c r="J86" s="11">
        <v>3</v>
      </c>
      <c r="K86" s="11">
        <v>54.82</v>
      </c>
      <c r="L86" s="16">
        <f t="shared" si="11"/>
        <v>109.64000000000038</v>
      </c>
      <c r="M86" s="11"/>
      <c r="N86" s="11"/>
      <c r="O86" s="11"/>
      <c r="P86" s="11"/>
      <c r="Q86" s="11"/>
      <c r="R86" s="12"/>
      <c r="S86" s="12"/>
      <c r="T86" s="11"/>
      <c r="U86" s="11"/>
      <c r="V86" s="12"/>
      <c r="W86" s="12">
        <v>2</v>
      </c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2:38" ht="25.05" customHeight="1">
      <c r="B87" s="13"/>
      <c r="C87" s="29"/>
      <c r="D87" s="30"/>
      <c r="E87" s="66" t="s">
        <v>1707</v>
      </c>
      <c r="F87" s="8" t="s">
        <v>42</v>
      </c>
      <c r="G87" s="9">
        <v>0.59166666666666667</v>
      </c>
      <c r="H87" s="9">
        <v>0.59791666666666665</v>
      </c>
      <c r="I87" s="10">
        <f t="shared" si="10"/>
        <v>6.2499999999999778E-3</v>
      </c>
      <c r="J87" s="11">
        <v>3</v>
      </c>
      <c r="K87" s="11">
        <v>54.1</v>
      </c>
      <c r="L87" s="16">
        <f t="shared" si="11"/>
        <v>120.22222222222264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2:38" ht="25.05" customHeight="1">
      <c r="B88" s="13"/>
      <c r="C88" s="29"/>
      <c r="D88" s="30"/>
      <c r="E88" s="66" t="s">
        <v>2786</v>
      </c>
      <c r="F88" s="8" t="s">
        <v>42</v>
      </c>
      <c r="G88" s="9">
        <v>0.41319444444444442</v>
      </c>
      <c r="H88" s="9">
        <v>0.41666666666666669</v>
      </c>
      <c r="I88" s="10">
        <f>H88-G88</f>
        <v>3.4722222222222654E-3</v>
      </c>
      <c r="J88" s="11">
        <v>1</v>
      </c>
      <c r="K88" s="11">
        <v>27.02</v>
      </c>
      <c r="L88" s="16">
        <f>IFERROR(((K88/(J88*I88)/24)),"0")</f>
        <v>324.23999999999597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5</v>
      </c>
      <c r="W88" s="12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2:38" ht="25.05" customHeight="1">
      <c r="B89" s="13"/>
      <c r="C89" s="29"/>
      <c r="D89" s="30"/>
      <c r="E89" s="17" t="s">
        <v>2787</v>
      </c>
      <c r="F89" s="8" t="s">
        <v>42</v>
      </c>
      <c r="G89" s="9">
        <v>0.57152777777777775</v>
      </c>
      <c r="H89" s="9">
        <v>0.60277777777777775</v>
      </c>
      <c r="I89" s="10">
        <f t="shared" ref="I89:I97" si="12">H89-G89</f>
        <v>3.125E-2</v>
      </c>
      <c r="J89" s="11">
        <v>3</v>
      </c>
      <c r="K89" s="11">
        <v>85</v>
      </c>
      <c r="L89" s="16">
        <f t="shared" ref="L89:L97" si="13">IFERROR(((K89/(J89*I89)/24)),"0")</f>
        <v>37.777777777777779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>
        <v>2</v>
      </c>
      <c r="X89" s="11">
        <v>45</v>
      </c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4"/>
    </row>
    <row r="90" spans="2:38" ht="25.05" customHeight="1">
      <c r="B90" s="13"/>
      <c r="C90" s="29"/>
      <c r="D90" s="30"/>
      <c r="E90" s="17" t="s">
        <v>2788</v>
      </c>
      <c r="F90" s="8" t="s">
        <v>42</v>
      </c>
      <c r="G90" s="9">
        <v>0.57708333333333328</v>
      </c>
      <c r="H90" s="9">
        <v>0.60833333333333328</v>
      </c>
      <c r="I90" s="10">
        <f t="shared" si="12"/>
        <v>3.125E-2</v>
      </c>
      <c r="J90" s="11">
        <v>3</v>
      </c>
      <c r="K90" s="11">
        <v>42.5</v>
      </c>
      <c r="L90" s="16">
        <f t="shared" si="13"/>
        <v>18.888888888888889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>
        <v>2</v>
      </c>
      <c r="X90" s="11"/>
      <c r="Y90" s="11"/>
      <c r="Z90" s="11">
        <v>45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2:38" ht="25.05" customHeight="1">
      <c r="B91" s="13"/>
      <c r="C91" s="29"/>
      <c r="D91" s="30"/>
      <c r="E91" s="17" t="s">
        <v>1709</v>
      </c>
      <c r="F91" s="8" t="s">
        <v>42</v>
      </c>
      <c r="G91" s="9">
        <v>0.57708333333333328</v>
      </c>
      <c r="H91" s="9">
        <v>0.60833333333333328</v>
      </c>
      <c r="I91" s="10">
        <f t="shared" si="12"/>
        <v>3.125E-2</v>
      </c>
      <c r="J91" s="11">
        <v>3</v>
      </c>
      <c r="K91" s="11">
        <v>42.5</v>
      </c>
      <c r="L91" s="16">
        <f t="shared" si="13"/>
        <v>18.888888888888889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>
        <v>2</v>
      </c>
      <c r="X91" s="11"/>
      <c r="Y91" s="11"/>
      <c r="Z91" s="11">
        <v>45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4"/>
    </row>
    <row r="92" spans="2:38" ht="25.05" customHeight="1">
      <c r="B92" s="13"/>
      <c r="C92" s="29"/>
      <c r="D92" s="30"/>
      <c r="E92" s="17" t="s">
        <v>1710</v>
      </c>
      <c r="F92" s="8" t="s">
        <v>42</v>
      </c>
      <c r="G92" s="9">
        <v>0.58333333333333337</v>
      </c>
      <c r="H92" s="9">
        <v>0.61458333333333337</v>
      </c>
      <c r="I92" s="10">
        <f t="shared" si="12"/>
        <v>3.125E-2</v>
      </c>
      <c r="J92" s="11">
        <v>3</v>
      </c>
      <c r="K92" s="11">
        <v>85</v>
      </c>
      <c r="L92" s="16">
        <f t="shared" si="13"/>
        <v>37.777777777777779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>
        <v>2</v>
      </c>
      <c r="X92" s="11"/>
      <c r="Y92" s="11">
        <v>45</v>
      </c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2:38" ht="25.05" customHeight="1">
      <c r="B93" s="13"/>
      <c r="C93" s="29"/>
      <c r="D93" s="30"/>
      <c r="E93" s="17" t="s">
        <v>1711</v>
      </c>
      <c r="F93" s="8" t="s">
        <v>42</v>
      </c>
      <c r="G93" s="9">
        <v>0.59027777777777779</v>
      </c>
      <c r="H93" s="9">
        <v>0.62152777777777779</v>
      </c>
      <c r="I93" s="10">
        <f t="shared" si="12"/>
        <v>3.125E-2</v>
      </c>
      <c r="J93" s="11">
        <v>3</v>
      </c>
      <c r="K93" s="11">
        <v>85</v>
      </c>
      <c r="L93" s="16">
        <f t="shared" si="13"/>
        <v>37.777777777777779</v>
      </c>
      <c r="M93" s="11"/>
      <c r="N93" s="11"/>
      <c r="O93" s="11"/>
      <c r="P93" s="11"/>
      <c r="Q93" s="11"/>
      <c r="R93" s="12"/>
      <c r="S93" s="12"/>
      <c r="T93" s="11"/>
      <c r="U93" s="11"/>
      <c r="V93" s="12"/>
      <c r="W93" s="12">
        <v>2</v>
      </c>
      <c r="X93" s="11"/>
      <c r="Y93" s="11"/>
      <c r="Z93" s="11"/>
      <c r="AA93" s="11">
        <v>45</v>
      </c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4"/>
    </row>
    <row r="94" spans="2:38" ht="25.05" customHeight="1">
      <c r="B94" s="13"/>
      <c r="C94" s="29"/>
      <c r="D94" s="30"/>
      <c r="E94" s="17" t="s">
        <v>1712</v>
      </c>
      <c r="F94" s="8" t="s">
        <v>42</v>
      </c>
      <c r="G94" s="9">
        <v>0.60416666666666663</v>
      </c>
      <c r="H94" s="9">
        <v>0.63541666666666663</v>
      </c>
      <c r="I94" s="10">
        <f t="shared" si="12"/>
        <v>3.125E-2</v>
      </c>
      <c r="J94" s="11">
        <v>3</v>
      </c>
      <c r="K94" s="11">
        <v>42.5</v>
      </c>
      <c r="L94" s="16">
        <f t="shared" si="13"/>
        <v>18.888888888888889</v>
      </c>
      <c r="M94" s="11"/>
      <c r="N94" s="11"/>
      <c r="O94" s="11"/>
      <c r="P94" s="11"/>
      <c r="Q94" s="11"/>
      <c r="R94" s="12"/>
      <c r="S94" s="12"/>
      <c r="T94" s="11"/>
      <c r="U94" s="11"/>
      <c r="V94" s="12"/>
      <c r="W94" s="12">
        <v>2</v>
      </c>
      <c r="X94" s="11">
        <v>45</v>
      </c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4"/>
    </row>
    <row r="95" spans="2:38" ht="25.05" customHeight="1">
      <c r="B95" s="13"/>
      <c r="C95" s="29"/>
      <c r="D95" s="30"/>
      <c r="E95" s="19" t="s">
        <v>248</v>
      </c>
      <c r="F95" s="8" t="s">
        <v>42</v>
      </c>
      <c r="G95" s="9">
        <v>0.41388888888888886</v>
      </c>
      <c r="H95" s="9">
        <v>0.45624999999999999</v>
      </c>
      <c r="I95" s="10">
        <f t="shared" si="12"/>
        <v>4.2361111111111127E-2</v>
      </c>
      <c r="J95" s="11">
        <v>5</v>
      </c>
      <c r="K95" s="11">
        <v>101.71</v>
      </c>
      <c r="L95" s="16">
        <f t="shared" si="13"/>
        <v>20.008524590163926</v>
      </c>
      <c r="M95" s="11"/>
      <c r="N95" s="11"/>
      <c r="O95" s="11"/>
      <c r="P95" s="11"/>
      <c r="Q95" s="11"/>
      <c r="R95" s="12"/>
      <c r="S95" s="12"/>
      <c r="T95" s="11"/>
      <c r="U95" s="11"/>
      <c r="V95" s="12">
        <v>2</v>
      </c>
      <c r="W95" s="12"/>
      <c r="X95" s="11"/>
      <c r="Y95" s="11"/>
      <c r="Z95" s="11"/>
      <c r="AA95" s="11"/>
      <c r="AB95" s="11"/>
      <c r="AC95" s="11"/>
      <c r="AD95" s="11"/>
      <c r="AE95" s="11"/>
      <c r="AF95" s="11"/>
      <c r="AG95" s="11">
        <v>15.25</v>
      </c>
      <c r="AH95" s="11">
        <v>15.25</v>
      </c>
      <c r="AI95" s="11">
        <v>15.25</v>
      </c>
      <c r="AJ95" s="11">
        <v>15.25</v>
      </c>
      <c r="AK95" s="11"/>
      <c r="AL95" s="14"/>
    </row>
    <row r="96" spans="2:38" ht="25.05" customHeight="1">
      <c r="B96" s="13"/>
      <c r="C96" s="29"/>
      <c r="D96" s="30"/>
      <c r="E96" s="66" t="s">
        <v>249</v>
      </c>
      <c r="F96" s="8" t="s">
        <v>42</v>
      </c>
      <c r="G96" s="9">
        <v>0.45694444444444443</v>
      </c>
      <c r="H96" s="9">
        <v>0.50208333333333333</v>
      </c>
      <c r="I96" s="10">
        <f t="shared" si="12"/>
        <v>4.5138888888888895E-2</v>
      </c>
      <c r="J96" s="11">
        <v>5</v>
      </c>
      <c r="K96" s="11">
        <v>100.16</v>
      </c>
      <c r="L96" s="16">
        <f t="shared" si="13"/>
        <v>18.491076923076921</v>
      </c>
      <c r="M96" s="11"/>
      <c r="N96" s="11"/>
      <c r="O96" s="11"/>
      <c r="P96" s="11"/>
      <c r="Q96" s="11"/>
      <c r="R96" s="12"/>
      <c r="S96" s="12"/>
      <c r="T96" s="11"/>
      <c r="U96" s="11"/>
      <c r="V96" s="12"/>
      <c r="W96" s="12">
        <v>2</v>
      </c>
      <c r="X96" s="11"/>
      <c r="Y96" s="11"/>
      <c r="Z96" s="11"/>
      <c r="AA96" s="11"/>
      <c r="AB96" s="11"/>
      <c r="AC96" s="11"/>
      <c r="AD96" s="11"/>
      <c r="AE96" s="11"/>
      <c r="AF96" s="11"/>
      <c r="AG96" s="11">
        <v>16.25</v>
      </c>
      <c r="AH96" s="11">
        <v>16.25</v>
      </c>
      <c r="AI96" s="11">
        <v>16.25</v>
      </c>
      <c r="AJ96" s="11">
        <v>16.25</v>
      </c>
      <c r="AK96" s="11"/>
      <c r="AL96" s="14"/>
    </row>
    <row r="97" spans="2:38" ht="25.05" customHeight="1">
      <c r="B97" s="13"/>
      <c r="C97" s="29"/>
      <c r="D97" s="30"/>
      <c r="E97" s="66" t="s">
        <v>250</v>
      </c>
      <c r="F97" s="8" t="s">
        <v>42</v>
      </c>
      <c r="G97" s="9">
        <v>0.56527777777777777</v>
      </c>
      <c r="H97" s="9">
        <v>0.60833333333333328</v>
      </c>
      <c r="I97" s="10">
        <f t="shared" si="12"/>
        <v>4.3055555555555514E-2</v>
      </c>
      <c r="J97" s="11">
        <v>5</v>
      </c>
      <c r="K97" s="11">
        <v>100.84</v>
      </c>
      <c r="L97" s="16">
        <f t="shared" si="13"/>
        <v>19.517419354838729</v>
      </c>
      <c r="M97" s="11"/>
      <c r="N97" s="11"/>
      <c r="O97" s="11"/>
      <c r="P97" s="11"/>
      <c r="Q97" s="11"/>
      <c r="R97" s="12"/>
      <c r="S97" s="12"/>
      <c r="T97" s="11"/>
      <c r="U97" s="11"/>
      <c r="V97" s="12">
        <v>2</v>
      </c>
      <c r="W97" s="12"/>
      <c r="X97" s="11"/>
      <c r="Y97" s="11"/>
      <c r="Z97" s="11"/>
      <c r="AA97" s="11"/>
      <c r="AB97" s="11"/>
      <c r="AC97" s="11"/>
      <c r="AD97" s="11"/>
      <c r="AE97" s="11"/>
      <c r="AF97" s="11"/>
      <c r="AG97" s="11">
        <v>15.5</v>
      </c>
      <c r="AH97" s="11">
        <v>15.5</v>
      </c>
      <c r="AI97" s="11">
        <v>15.5</v>
      </c>
      <c r="AJ97" s="11">
        <v>15.5</v>
      </c>
      <c r="AK97" s="11"/>
      <c r="AL97" s="14"/>
    </row>
    <row r="98" spans="2:38" ht="25.05" customHeight="1">
      <c r="B98" s="13"/>
      <c r="C98" s="29"/>
      <c r="D98" s="30"/>
      <c r="E98" s="66" t="s">
        <v>251</v>
      </c>
      <c r="F98" s="8" t="s">
        <v>42</v>
      </c>
      <c r="G98" s="9">
        <v>0.60902777777777772</v>
      </c>
      <c r="H98" s="9">
        <v>0.65208333333333335</v>
      </c>
      <c r="I98" s="10">
        <f>H98-G98</f>
        <v>4.3055555555555625E-2</v>
      </c>
      <c r="J98" s="11">
        <v>5</v>
      </c>
      <c r="K98" s="11">
        <v>100.72</v>
      </c>
      <c r="L98" s="16">
        <f>IFERROR(((K98/(J98*I98)/24)),"0")</f>
        <v>19.494193548387063</v>
      </c>
      <c r="M98" s="11"/>
      <c r="N98" s="11"/>
      <c r="O98" s="11"/>
      <c r="P98" s="11"/>
      <c r="Q98" s="11"/>
      <c r="R98" s="12"/>
      <c r="S98" s="12"/>
      <c r="T98" s="11"/>
      <c r="U98" s="11"/>
      <c r="V98" s="12"/>
      <c r="W98" s="12">
        <v>2</v>
      </c>
      <c r="X98" s="11"/>
      <c r="Y98" s="11"/>
      <c r="Z98" s="11"/>
      <c r="AA98" s="11"/>
      <c r="AB98" s="11"/>
      <c r="AC98" s="11"/>
      <c r="AD98" s="11"/>
      <c r="AE98" s="11"/>
      <c r="AF98" s="11"/>
      <c r="AG98" s="11">
        <v>15.5</v>
      </c>
      <c r="AH98" s="11">
        <v>15.5</v>
      </c>
      <c r="AI98" s="11">
        <v>15.5</v>
      </c>
      <c r="AJ98" s="11">
        <v>15.5</v>
      </c>
      <c r="AK98" s="11"/>
      <c r="AL98" s="14"/>
    </row>
    <row r="99" spans="2:38" ht="25.05" customHeight="1">
      <c r="B99" s="13"/>
      <c r="C99" s="29"/>
      <c r="D99" s="30"/>
      <c r="E99" s="66" t="s">
        <v>252</v>
      </c>
      <c r="F99" s="8" t="s">
        <v>42</v>
      </c>
      <c r="G99" s="9">
        <v>0.65277777777777779</v>
      </c>
      <c r="H99" s="9">
        <v>0.69027777777777777</v>
      </c>
      <c r="I99" s="10">
        <f t="shared" ref="I99:I111" si="14">H99-G99</f>
        <v>3.7499999999999978E-2</v>
      </c>
      <c r="J99" s="11">
        <v>5</v>
      </c>
      <c r="K99" s="11">
        <v>98.33</v>
      </c>
      <c r="L99" s="16">
        <f t="shared" ref="L99:L111" si="15">IFERROR(((K99/(J99*I99)/24)),"0")</f>
        <v>21.851111111111123</v>
      </c>
      <c r="M99" s="11"/>
      <c r="N99" s="11"/>
      <c r="O99" s="11"/>
      <c r="P99" s="11"/>
      <c r="Q99" s="11"/>
      <c r="R99" s="12"/>
      <c r="S99" s="12"/>
      <c r="T99" s="11"/>
      <c r="U99" s="11"/>
      <c r="V99" s="12"/>
      <c r="W99" s="12">
        <v>2</v>
      </c>
      <c r="X99" s="11"/>
      <c r="Y99" s="11"/>
      <c r="Z99" s="11"/>
      <c r="AA99" s="11"/>
      <c r="AB99" s="11"/>
      <c r="AC99" s="11"/>
      <c r="AD99" s="11"/>
      <c r="AE99" s="11"/>
      <c r="AF99" s="11"/>
      <c r="AG99" s="11">
        <v>13.5</v>
      </c>
      <c r="AH99" s="11">
        <v>13.5</v>
      </c>
      <c r="AI99" s="11">
        <v>13.5</v>
      </c>
      <c r="AJ99" s="11">
        <v>13.5</v>
      </c>
      <c r="AK99" s="11"/>
      <c r="AL99" s="14"/>
    </row>
    <row r="100" spans="2:38" ht="25.05" customHeight="1">
      <c r="B100" s="13"/>
      <c r="C100" s="29"/>
      <c r="D100" s="30"/>
      <c r="E100" s="19"/>
      <c r="F100" s="8" t="s">
        <v>42</v>
      </c>
      <c r="G100" s="9"/>
      <c r="H100" s="9"/>
      <c r="I100" s="10">
        <f t="shared" si="14"/>
        <v>0</v>
      </c>
      <c r="J100" s="11"/>
      <c r="K100" s="11"/>
      <c r="L100" s="16" t="str">
        <f t="shared" si="15"/>
        <v>0</v>
      </c>
      <c r="M100" s="11"/>
      <c r="N100" s="11"/>
      <c r="O100" s="11"/>
      <c r="P100" s="11"/>
      <c r="Q100" s="11"/>
      <c r="R100" s="12"/>
      <c r="S100" s="12"/>
      <c r="T100" s="11"/>
      <c r="U100" s="11"/>
      <c r="V100" s="12"/>
      <c r="W100" s="12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4"/>
    </row>
    <row r="101" spans="2:38" ht="25.05" customHeight="1">
      <c r="B101" s="13"/>
      <c r="C101" s="29"/>
      <c r="D101" s="30" t="s">
        <v>2782</v>
      </c>
      <c r="E101" s="19" t="s">
        <v>2838</v>
      </c>
      <c r="F101" s="8" t="s">
        <v>42</v>
      </c>
      <c r="G101" s="9">
        <v>0.59444444444444444</v>
      </c>
      <c r="H101" s="9">
        <v>0.61736111111111114</v>
      </c>
      <c r="I101" s="10">
        <f t="shared" si="14"/>
        <v>2.2916666666666696E-2</v>
      </c>
      <c r="J101" s="11">
        <v>3</v>
      </c>
      <c r="K101" s="11">
        <v>99.86</v>
      </c>
      <c r="L101" s="16">
        <f t="shared" si="15"/>
        <v>60.521212121212045</v>
      </c>
      <c r="M101" s="11"/>
      <c r="N101" s="11"/>
      <c r="O101" s="11"/>
      <c r="P101" s="11"/>
      <c r="Q101" s="11"/>
      <c r="R101" s="12"/>
      <c r="S101" s="12"/>
      <c r="T101" s="11"/>
      <c r="U101" s="11"/>
      <c r="V101" s="12">
        <v>2</v>
      </c>
      <c r="W101" s="12"/>
      <c r="X101" s="11"/>
      <c r="Y101" s="11"/>
      <c r="Z101" s="11"/>
      <c r="AA101" s="11"/>
      <c r="AB101" s="11"/>
      <c r="AC101" s="11"/>
      <c r="AD101" s="11">
        <v>33</v>
      </c>
      <c r="AE101" s="11"/>
      <c r="AF101" s="11"/>
      <c r="AG101" s="11"/>
      <c r="AH101" s="11"/>
      <c r="AI101" s="11"/>
      <c r="AJ101" s="11"/>
      <c r="AK101" s="11"/>
      <c r="AL101" s="14"/>
    </row>
    <row r="102" spans="2:38" ht="25.05" customHeight="1">
      <c r="B102" s="13"/>
      <c r="C102" s="29"/>
      <c r="D102" s="30"/>
      <c r="E102" s="19" t="s">
        <v>2839</v>
      </c>
      <c r="F102" s="8" t="s">
        <v>42</v>
      </c>
      <c r="G102" s="9">
        <v>0.61041666666666672</v>
      </c>
      <c r="H102" s="9">
        <v>0.63472222222222219</v>
      </c>
      <c r="I102" s="10">
        <f t="shared" si="14"/>
        <v>2.4305555555555469E-2</v>
      </c>
      <c r="J102" s="11">
        <v>3</v>
      </c>
      <c r="K102" s="11">
        <v>103.06</v>
      </c>
      <c r="L102" s="16">
        <f t="shared" si="15"/>
        <v>58.891428571428783</v>
      </c>
      <c r="M102" s="11"/>
      <c r="N102" s="11"/>
      <c r="O102" s="11"/>
      <c r="P102" s="11"/>
      <c r="Q102" s="11"/>
      <c r="R102" s="12"/>
      <c r="S102" s="12"/>
      <c r="T102" s="11"/>
      <c r="U102" s="11"/>
      <c r="V102" s="12"/>
      <c r="W102" s="12">
        <v>2</v>
      </c>
      <c r="X102" s="11"/>
      <c r="Y102" s="11"/>
      <c r="Z102" s="11"/>
      <c r="AA102" s="11"/>
      <c r="AB102" s="11">
        <v>35</v>
      </c>
      <c r="AC102" s="11"/>
      <c r="AD102" s="11"/>
      <c r="AE102" s="11"/>
      <c r="AF102" s="11"/>
      <c r="AG102" s="11"/>
      <c r="AH102" s="11"/>
      <c r="AI102" s="11"/>
      <c r="AJ102" s="11"/>
      <c r="AK102" s="11"/>
      <c r="AL102" s="14"/>
    </row>
    <row r="103" spans="2:38" ht="25.05" customHeight="1">
      <c r="B103" s="13"/>
      <c r="C103" s="29"/>
      <c r="D103" s="30"/>
      <c r="E103" s="19" t="s">
        <v>2840</v>
      </c>
      <c r="F103" s="8" t="s">
        <v>42</v>
      </c>
      <c r="G103" s="9">
        <v>0.62291666666666667</v>
      </c>
      <c r="H103" s="9">
        <v>0.64027777777777772</v>
      </c>
      <c r="I103" s="10">
        <f t="shared" si="14"/>
        <v>1.7361111111111049E-2</v>
      </c>
      <c r="J103" s="11">
        <v>3</v>
      </c>
      <c r="K103" s="11">
        <v>102.13</v>
      </c>
      <c r="L103" s="16">
        <f t="shared" si="15"/>
        <v>81.704000000000278</v>
      </c>
      <c r="M103" s="11"/>
      <c r="N103" s="11"/>
      <c r="O103" s="11"/>
      <c r="P103" s="11"/>
      <c r="Q103" s="11"/>
      <c r="R103" s="12"/>
      <c r="S103" s="12"/>
      <c r="T103" s="11"/>
      <c r="U103" s="11"/>
      <c r="V103" s="12">
        <v>2</v>
      </c>
      <c r="W103" s="12"/>
      <c r="X103" s="11"/>
      <c r="Y103" s="11"/>
      <c r="Z103" s="11"/>
      <c r="AA103" s="11"/>
      <c r="AB103" s="11"/>
      <c r="AC103" s="11"/>
      <c r="AD103" s="11">
        <v>25</v>
      </c>
      <c r="AE103" s="11"/>
      <c r="AF103" s="11"/>
      <c r="AG103" s="11"/>
      <c r="AH103" s="11"/>
      <c r="AI103" s="11"/>
      <c r="AJ103" s="11"/>
      <c r="AK103" s="11"/>
      <c r="AL103" s="14"/>
    </row>
    <row r="104" spans="2:38" ht="25.05" customHeight="1">
      <c r="B104" s="13"/>
      <c r="C104" s="29"/>
      <c r="D104" s="30"/>
      <c r="E104" s="19" t="s">
        <v>2841</v>
      </c>
      <c r="F104" s="8" t="s">
        <v>42</v>
      </c>
      <c r="G104" s="9">
        <v>0.62361111111111112</v>
      </c>
      <c r="H104" s="9">
        <v>0.64444444444444449</v>
      </c>
      <c r="I104" s="10">
        <f t="shared" si="14"/>
        <v>2.083333333333337E-2</v>
      </c>
      <c r="J104" s="11">
        <v>3</v>
      </c>
      <c r="K104" s="11">
        <v>102.05</v>
      </c>
      <c r="L104" s="16">
        <f t="shared" si="15"/>
        <v>68.033333333333204</v>
      </c>
      <c r="M104" s="11"/>
      <c r="N104" s="11"/>
      <c r="O104" s="11"/>
      <c r="P104" s="11"/>
      <c r="Q104" s="11"/>
      <c r="R104" s="12"/>
      <c r="S104" s="12"/>
      <c r="T104" s="11"/>
      <c r="U104" s="11"/>
      <c r="V104" s="12"/>
      <c r="W104" s="12">
        <v>2</v>
      </c>
      <c r="X104" s="11"/>
      <c r="Y104" s="11"/>
      <c r="Z104" s="11"/>
      <c r="AA104" s="11"/>
      <c r="AB104" s="11"/>
      <c r="AC104" s="11">
        <v>30</v>
      </c>
      <c r="AD104" s="11"/>
      <c r="AE104" s="11"/>
      <c r="AF104" s="11"/>
      <c r="AG104" s="11"/>
      <c r="AH104" s="11"/>
      <c r="AI104" s="11"/>
      <c r="AJ104" s="11"/>
      <c r="AK104" s="11"/>
      <c r="AL104" s="14"/>
    </row>
    <row r="105" spans="2:38" ht="25.05" customHeight="1">
      <c r="B105" s="13"/>
      <c r="C105" s="29"/>
      <c r="D105" s="30"/>
      <c r="E105" s="19" t="s">
        <v>2842</v>
      </c>
      <c r="F105" s="8" t="s">
        <v>42</v>
      </c>
      <c r="G105" s="9">
        <v>0.64513888888888893</v>
      </c>
      <c r="H105" s="9">
        <v>0.67291666666666672</v>
      </c>
      <c r="I105" s="10">
        <f t="shared" si="14"/>
        <v>2.777777777777779E-2</v>
      </c>
      <c r="J105" s="11">
        <v>3</v>
      </c>
      <c r="K105" s="11">
        <v>156.47999999999999</v>
      </c>
      <c r="L105" s="16">
        <f t="shared" si="15"/>
        <v>78.239999999999966</v>
      </c>
      <c r="M105" s="11"/>
      <c r="N105" s="11"/>
      <c r="O105" s="11"/>
      <c r="P105" s="11"/>
      <c r="Q105" s="11"/>
      <c r="R105" s="12"/>
      <c r="S105" s="12"/>
      <c r="T105" s="11"/>
      <c r="U105" s="11"/>
      <c r="V105" s="12">
        <v>2</v>
      </c>
      <c r="W105" s="12"/>
      <c r="X105" s="11"/>
      <c r="Y105" s="11"/>
      <c r="Z105" s="11"/>
      <c r="AA105" s="11"/>
      <c r="AB105" s="11">
        <v>40</v>
      </c>
      <c r="AC105" s="11"/>
      <c r="AD105" s="11"/>
      <c r="AE105" s="11"/>
      <c r="AF105" s="11"/>
      <c r="AG105" s="11"/>
      <c r="AH105" s="11"/>
      <c r="AI105" s="11"/>
      <c r="AJ105" s="11"/>
      <c r="AK105" s="11"/>
      <c r="AL105" s="14"/>
    </row>
    <row r="106" spans="2:38" ht="25.05" customHeight="1">
      <c r="B106" s="13"/>
      <c r="C106" s="29"/>
      <c r="D106" s="30"/>
      <c r="E106" s="19" t="s">
        <v>2843</v>
      </c>
      <c r="F106" s="8" t="s">
        <v>42</v>
      </c>
      <c r="G106" s="9">
        <v>0.56874999999999998</v>
      </c>
      <c r="H106" s="9">
        <v>0.58750000000000002</v>
      </c>
      <c r="I106" s="10">
        <f t="shared" si="14"/>
        <v>1.8750000000000044E-2</v>
      </c>
      <c r="J106" s="11">
        <v>3</v>
      </c>
      <c r="K106" s="11">
        <v>116.8</v>
      </c>
      <c r="L106" s="16">
        <f t="shared" si="15"/>
        <v>86.518518518518306</v>
      </c>
      <c r="M106" s="11"/>
      <c r="N106" s="11"/>
      <c r="O106" s="11"/>
      <c r="P106" s="11"/>
      <c r="Q106" s="11"/>
      <c r="R106" s="12"/>
      <c r="S106" s="12"/>
      <c r="T106" s="11"/>
      <c r="U106" s="11"/>
      <c r="V106" s="12">
        <v>2</v>
      </c>
      <c r="W106" s="12"/>
      <c r="X106" s="11"/>
      <c r="Y106" s="11"/>
      <c r="Z106" s="11"/>
      <c r="AA106" s="11"/>
      <c r="AB106" s="11"/>
      <c r="AC106" s="11">
        <v>27</v>
      </c>
      <c r="AD106" s="11"/>
      <c r="AE106" s="11"/>
      <c r="AF106" s="11"/>
      <c r="AG106" s="11"/>
      <c r="AH106" s="11"/>
      <c r="AI106" s="11"/>
      <c r="AJ106" s="11"/>
      <c r="AK106" s="11"/>
      <c r="AL106" s="14"/>
    </row>
    <row r="107" spans="2:38" ht="25.05" customHeight="1">
      <c r="B107" s="13"/>
      <c r="C107" s="29"/>
      <c r="D107" s="30"/>
      <c r="E107" s="19" t="s">
        <v>2844</v>
      </c>
      <c r="F107" s="8" t="s">
        <v>42</v>
      </c>
      <c r="G107" s="9">
        <v>0.59444444444444444</v>
      </c>
      <c r="H107" s="9">
        <v>0.61250000000000004</v>
      </c>
      <c r="I107" s="10">
        <f t="shared" si="14"/>
        <v>1.8055555555555602E-2</v>
      </c>
      <c r="J107" s="11">
        <v>3</v>
      </c>
      <c r="K107" s="11">
        <v>94.7</v>
      </c>
      <c r="L107" s="16">
        <f t="shared" si="15"/>
        <v>72.846153846153655</v>
      </c>
      <c r="M107" s="11"/>
      <c r="N107" s="11"/>
      <c r="O107" s="11"/>
      <c r="P107" s="11"/>
      <c r="Q107" s="11"/>
      <c r="R107" s="12"/>
      <c r="S107" s="12"/>
      <c r="T107" s="11"/>
      <c r="U107" s="11"/>
      <c r="V107" s="12">
        <v>2</v>
      </c>
      <c r="W107" s="12"/>
      <c r="X107" s="11"/>
      <c r="Y107" s="11"/>
      <c r="Z107" s="11"/>
      <c r="AA107" s="11"/>
      <c r="AB107" s="11"/>
      <c r="AC107" s="11">
        <v>26</v>
      </c>
      <c r="AD107" s="11"/>
      <c r="AE107" s="11"/>
      <c r="AF107" s="11"/>
      <c r="AG107" s="11"/>
      <c r="AH107" s="11"/>
      <c r="AI107" s="11"/>
      <c r="AJ107" s="11"/>
      <c r="AK107" s="11"/>
      <c r="AL107" s="14"/>
    </row>
    <row r="108" spans="2:38" ht="25.05" customHeight="1">
      <c r="B108" s="13"/>
      <c r="C108" s="29"/>
      <c r="D108" s="30"/>
      <c r="E108" s="19"/>
      <c r="F108" s="63"/>
      <c r="G108" s="19"/>
      <c r="H108" s="19"/>
      <c r="I108" s="19"/>
      <c r="J108" s="19"/>
      <c r="K108" s="19"/>
      <c r="L108" s="19"/>
      <c r="M108" s="11"/>
      <c r="N108" s="11"/>
      <c r="O108" s="11"/>
      <c r="P108" s="11"/>
      <c r="Q108" s="11"/>
      <c r="R108" s="12"/>
      <c r="S108" s="12"/>
      <c r="T108" s="11"/>
      <c r="U108" s="11"/>
      <c r="V108" s="12"/>
      <c r="W108" s="12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4"/>
    </row>
    <row r="109" spans="2:38" ht="25.05" customHeight="1">
      <c r="B109" s="13"/>
      <c r="C109" s="29"/>
      <c r="D109" s="6" t="s">
        <v>2769</v>
      </c>
      <c r="E109" s="19" t="s">
        <v>1090</v>
      </c>
      <c r="F109" s="8" t="s">
        <v>42</v>
      </c>
      <c r="G109" s="9">
        <v>0.64375000000000004</v>
      </c>
      <c r="H109" s="9">
        <v>0.65069444444444446</v>
      </c>
      <c r="I109" s="10">
        <f t="shared" si="14"/>
        <v>6.9444444444444198E-3</v>
      </c>
      <c r="J109" s="11">
        <v>1</v>
      </c>
      <c r="K109" s="11">
        <v>46.28</v>
      </c>
      <c r="L109" s="16">
        <f t="shared" si="15"/>
        <v>277.68000000000103</v>
      </c>
      <c r="M109" s="11"/>
      <c r="N109" s="11"/>
      <c r="O109" s="11"/>
      <c r="P109" s="11"/>
      <c r="Q109" s="11"/>
      <c r="R109" s="12"/>
      <c r="S109" s="12"/>
      <c r="T109" s="11"/>
      <c r="U109" s="11"/>
      <c r="V109" s="12">
        <v>10</v>
      </c>
      <c r="W109" s="12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4"/>
    </row>
    <row r="110" spans="2:38" ht="25.05" customHeight="1">
      <c r="B110" s="13"/>
      <c r="C110" s="29"/>
      <c r="D110" s="30"/>
      <c r="E110" s="19" t="s">
        <v>1091</v>
      </c>
      <c r="F110" s="8" t="s">
        <v>42</v>
      </c>
      <c r="G110" s="9">
        <v>0.65486111111111112</v>
      </c>
      <c r="H110" s="9">
        <v>0.66180555555555554</v>
      </c>
      <c r="I110" s="10">
        <f t="shared" si="14"/>
        <v>6.9444444444444198E-3</v>
      </c>
      <c r="J110" s="11">
        <v>1</v>
      </c>
      <c r="K110" s="11">
        <v>46.28</v>
      </c>
      <c r="L110" s="16">
        <f t="shared" si="15"/>
        <v>277.68000000000103</v>
      </c>
      <c r="M110" s="11"/>
      <c r="N110" s="11"/>
      <c r="O110" s="11"/>
      <c r="P110" s="11"/>
      <c r="Q110" s="11"/>
      <c r="R110" s="12"/>
      <c r="S110" s="12"/>
      <c r="T110" s="11"/>
      <c r="U110" s="11"/>
      <c r="V110" s="12"/>
      <c r="W110" s="12">
        <v>10</v>
      </c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4"/>
    </row>
    <row r="111" spans="2:38" ht="25.05" customHeight="1">
      <c r="B111" s="13"/>
      <c r="C111" s="29"/>
      <c r="D111" s="30"/>
      <c r="E111" s="19" t="s">
        <v>1092</v>
      </c>
      <c r="F111" s="8" t="s">
        <v>42</v>
      </c>
      <c r="G111" s="9">
        <v>0.66805555555555551</v>
      </c>
      <c r="H111" s="9">
        <v>0.67500000000000004</v>
      </c>
      <c r="I111" s="10">
        <f t="shared" si="14"/>
        <v>6.9444444444445308E-3</v>
      </c>
      <c r="J111" s="11">
        <v>1</v>
      </c>
      <c r="K111" s="11">
        <v>46.28</v>
      </c>
      <c r="L111" s="16">
        <f t="shared" si="15"/>
        <v>277.67999999999654</v>
      </c>
      <c r="M111" s="11"/>
      <c r="N111" s="11"/>
      <c r="O111" s="11"/>
      <c r="P111" s="11"/>
      <c r="Q111" s="11"/>
      <c r="R111" s="12"/>
      <c r="S111" s="12"/>
      <c r="T111" s="11"/>
      <c r="U111" s="11"/>
      <c r="V111" s="12"/>
      <c r="W111" s="12">
        <v>10</v>
      </c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4"/>
    </row>
    <row r="112" spans="2:38" ht="25.05" customHeight="1">
      <c r="B112" s="13"/>
      <c r="C112" s="29"/>
      <c r="D112" s="30"/>
      <c r="E112" s="19" t="s">
        <v>1093</v>
      </c>
      <c r="F112" s="8" t="s">
        <v>42</v>
      </c>
      <c r="G112" s="9">
        <v>0.67708333333333337</v>
      </c>
      <c r="H112" s="9">
        <v>0.68402777777777779</v>
      </c>
      <c r="I112" s="10">
        <f t="shared" ref="I112:I118" si="16">H112-G112</f>
        <v>6.9444444444444198E-3</v>
      </c>
      <c r="J112" s="11">
        <v>1</v>
      </c>
      <c r="K112" s="11">
        <v>46.28</v>
      </c>
      <c r="L112" s="16">
        <f>IFERROR(((K112/(J112*I112)/24)),"0")</f>
        <v>277.68000000000103</v>
      </c>
      <c r="M112" s="11"/>
      <c r="N112" s="11"/>
      <c r="O112" s="11"/>
      <c r="P112" s="11"/>
      <c r="Q112" s="11"/>
      <c r="R112" s="12"/>
      <c r="S112" s="12"/>
      <c r="T112" s="11"/>
      <c r="U112" s="11"/>
      <c r="V112" s="12"/>
      <c r="W112" s="12">
        <v>10</v>
      </c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4"/>
    </row>
    <row r="113" spans="1:38" ht="25.05" customHeight="1">
      <c r="B113" s="13"/>
      <c r="C113" s="29"/>
      <c r="D113" s="30"/>
      <c r="E113" s="19" t="s">
        <v>1094</v>
      </c>
      <c r="F113" s="8" t="s">
        <v>42</v>
      </c>
      <c r="G113" s="9">
        <v>0.6875</v>
      </c>
      <c r="H113" s="9">
        <v>0.69444444444444442</v>
      </c>
      <c r="I113" s="10">
        <f t="shared" si="16"/>
        <v>6.9444444444444198E-3</v>
      </c>
      <c r="J113" s="11">
        <v>1</v>
      </c>
      <c r="K113" s="11">
        <v>46.28</v>
      </c>
      <c r="L113" s="16">
        <f t="shared" ref="L113:L127" si="17">IFERROR(((K113/(J113*I113)/24)),"0")</f>
        <v>277.68000000000103</v>
      </c>
      <c r="M113" s="11"/>
      <c r="N113" s="11"/>
      <c r="O113" s="11"/>
      <c r="P113" s="11"/>
      <c r="Q113" s="11"/>
      <c r="R113" s="12"/>
      <c r="S113" s="12"/>
      <c r="T113" s="11"/>
      <c r="U113" s="11"/>
      <c r="V113" s="12"/>
      <c r="W113" s="12">
        <v>10</v>
      </c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4"/>
    </row>
    <row r="114" spans="1:38" ht="25.05" customHeight="1">
      <c r="B114" s="13"/>
      <c r="C114" s="29"/>
      <c r="D114" s="30"/>
      <c r="E114" s="19" t="s">
        <v>1095</v>
      </c>
      <c r="F114" s="8" t="s">
        <v>42</v>
      </c>
      <c r="G114" s="9">
        <v>0.70347222222222228</v>
      </c>
      <c r="H114" s="9">
        <v>0.7104166666666667</v>
      </c>
      <c r="I114" s="10">
        <f t="shared" si="16"/>
        <v>6.9444444444444198E-3</v>
      </c>
      <c r="J114" s="11">
        <v>1</v>
      </c>
      <c r="K114" s="11">
        <v>42.72</v>
      </c>
      <c r="L114" s="16">
        <f t="shared" si="17"/>
        <v>256.3200000000009</v>
      </c>
      <c r="M114" s="11"/>
      <c r="N114" s="11"/>
      <c r="O114" s="11"/>
      <c r="P114" s="11"/>
      <c r="Q114" s="11"/>
      <c r="R114" s="12"/>
      <c r="S114" s="12"/>
      <c r="T114" s="11"/>
      <c r="U114" s="11"/>
      <c r="V114" s="12">
        <v>10</v>
      </c>
      <c r="W114" s="12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4"/>
    </row>
    <row r="115" spans="1:38" ht="25.05" customHeight="1">
      <c r="B115" s="13"/>
      <c r="C115" s="29"/>
      <c r="D115" s="30"/>
      <c r="E115" s="19" t="s">
        <v>1096</v>
      </c>
      <c r="F115" s="8" t="s">
        <v>42</v>
      </c>
      <c r="G115" s="9">
        <v>0.71527777777777779</v>
      </c>
      <c r="H115" s="9">
        <v>0.72222222222222221</v>
      </c>
      <c r="I115" s="10">
        <f t="shared" si="16"/>
        <v>6.9444444444444198E-3</v>
      </c>
      <c r="J115" s="11">
        <v>1</v>
      </c>
      <c r="K115" s="11">
        <v>46.28</v>
      </c>
      <c r="L115" s="16">
        <f t="shared" si="17"/>
        <v>277.68000000000103</v>
      </c>
      <c r="M115" s="11"/>
      <c r="N115" s="11"/>
      <c r="O115" s="11"/>
      <c r="P115" s="11"/>
      <c r="Q115" s="11"/>
      <c r="R115" s="12"/>
      <c r="S115" s="12"/>
      <c r="T115" s="11"/>
      <c r="U115" s="11"/>
      <c r="V115" s="12"/>
      <c r="W115" s="12">
        <v>10</v>
      </c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4"/>
    </row>
    <row r="116" spans="1:38" ht="25.05" customHeight="1">
      <c r="B116" s="13"/>
      <c r="C116" s="29"/>
      <c r="D116" s="30"/>
      <c r="E116" s="19" t="s">
        <v>1097</v>
      </c>
      <c r="F116" s="8" t="s">
        <v>42</v>
      </c>
      <c r="G116" s="9">
        <v>0.72430555555555554</v>
      </c>
      <c r="H116" s="9">
        <v>0.73124999999999996</v>
      </c>
      <c r="I116" s="10">
        <f t="shared" si="16"/>
        <v>6.9444444444444198E-3</v>
      </c>
      <c r="J116" s="11">
        <v>1</v>
      </c>
      <c r="K116" s="11">
        <v>46.28</v>
      </c>
      <c r="L116" s="16">
        <f t="shared" si="17"/>
        <v>277.68000000000103</v>
      </c>
      <c r="M116" s="11"/>
      <c r="N116" s="11"/>
      <c r="O116" s="11"/>
      <c r="P116" s="11"/>
      <c r="Q116" s="11"/>
      <c r="R116" s="12"/>
      <c r="S116" s="12"/>
      <c r="T116" s="11"/>
      <c r="U116" s="11"/>
      <c r="V116" s="12"/>
      <c r="W116" s="12">
        <v>10</v>
      </c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4"/>
    </row>
    <row r="117" spans="1:38" ht="25.05" customHeight="1">
      <c r="B117" s="13"/>
      <c r="C117" s="29"/>
      <c r="D117" s="30"/>
      <c r="E117" s="19" t="s">
        <v>1098</v>
      </c>
      <c r="F117" s="8" t="s">
        <v>42</v>
      </c>
      <c r="G117" s="9">
        <v>0.73263888888888884</v>
      </c>
      <c r="H117" s="9">
        <v>0.73958333333333337</v>
      </c>
      <c r="I117" s="10">
        <f t="shared" si="16"/>
        <v>6.9444444444445308E-3</v>
      </c>
      <c r="J117" s="11">
        <v>1</v>
      </c>
      <c r="K117" s="11">
        <v>46.63</v>
      </c>
      <c r="L117" s="16">
        <f t="shared" si="17"/>
        <v>279.77999999999651</v>
      </c>
      <c r="M117" s="11"/>
      <c r="N117" s="11"/>
      <c r="O117" s="11"/>
      <c r="P117" s="11"/>
      <c r="Q117" s="11"/>
      <c r="R117" s="12"/>
      <c r="S117" s="12"/>
      <c r="T117" s="11"/>
      <c r="U117" s="11"/>
      <c r="V117" s="12">
        <v>10</v>
      </c>
      <c r="W117" s="12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4"/>
    </row>
    <row r="118" spans="1:38" ht="25.05" customHeight="1">
      <c r="B118" s="13"/>
      <c r="C118" s="29"/>
      <c r="D118" s="30"/>
      <c r="E118" s="67" t="s">
        <v>2845</v>
      </c>
      <c r="F118" s="8" t="s">
        <v>42</v>
      </c>
      <c r="G118" s="9">
        <v>0.65625</v>
      </c>
      <c r="H118" s="9">
        <v>0.67361111111111116</v>
      </c>
      <c r="I118" s="10">
        <f t="shared" si="16"/>
        <v>1.736111111111116E-2</v>
      </c>
      <c r="J118" s="11">
        <v>1</v>
      </c>
      <c r="K118" s="11">
        <v>4.5</v>
      </c>
      <c r="L118" s="16">
        <f>IFERROR(((K118/(J118*I118)/24)),"0")</f>
        <v>10.799999999999969</v>
      </c>
      <c r="M118" s="11"/>
      <c r="N118" s="11"/>
      <c r="O118" s="11"/>
      <c r="P118" s="11"/>
      <c r="Q118" s="11"/>
      <c r="R118" s="12"/>
      <c r="S118" s="12"/>
      <c r="T118" s="11"/>
      <c r="U118" s="11"/>
      <c r="V118" s="12">
        <v>25</v>
      </c>
      <c r="W118" s="12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4"/>
    </row>
    <row r="119" spans="1:38" ht="25.05" customHeight="1">
      <c r="B119" s="13"/>
      <c r="C119" s="29"/>
      <c r="D119" s="30"/>
      <c r="E119" s="19"/>
      <c r="F119" s="63"/>
      <c r="G119" s="19"/>
      <c r="H119" s="19"/>
      <c r="I119" s="19"/>
      <c r="J119" s="19"/>
      <c r="K119" s="19"/>
      <c r="L119" s="19"/>
      <c r="M119" s="11"/>
      <c r="N119" s="11"/>
      <c r="O119" s="11"/>
      <c r="P119" s="11"/>
      <c r="Q119" s="11"/>
      <c r="R119" s="12"/>
      <c r="S119" s="12"/>
      <c r="T119" s="11"/>
      <c r="U119" s="11"/>
      <c r="V119" s="12"/>
      <c r="W119" s="12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4"/>
    </row>
    <row r="120" spans="1:38" ht="25.05" customHeight="1">
      <c r="B120" s="13"/>
      <c r="C120" s="29"/>
      <c r="D120" s="6" t="s">
        <v>2770</v>
      </c>
      <c r="E120" s="19" t="s">
        <v>1090</v>
      </c>
      <c r="F120" s="8" t="s">
        <v>42</v>
      </c>
      <c r="G120" s="9">
        <v>0.56944444444444442</v>
      </c>
      <c r="H120" s="9">
        <v>0.57638888888888884</v>
      </c>
      <c r="I120" s="10">
        <f t="shared" ref="I120:I127" si="18">H120-G120</f>
        <v>6.9444444444444198E-3</v>
      </c>
      <c r="J120" s="11">
        <v>1</v>
      </c>
      <c r="K120" s="11">
        <v>46.8</v>
      </c>
      <c r="L120" s="16">
        <f t="shared" ref="L120:L126" si="19">IFERROR(((K120/(J120*I120)/24)),"0")</f>
        <v>280.80000000000098</v>
      </c>
      <c r="M120" s="11"/>
      <c r="N120" s="11"/>
      <c r="O120" s="11"/>
      <c r="P120" s="11"/>
      <c r="Q120" s="11"/>
      <c r="R120" s="12"/>
      <c r="S120" s="12"/>
      <c r="T120" s="11"/>
      <c r="U120" s="11"/>
      <c r="V120" s="12">
        <v>10</v>
      </c>
      <c r="W120" s="12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4"/>
    </row>
    <row r="121" spans="1:38" ht="25.05" customHeight="1">
      <c r="B121" s="13"/>
      <c r="C121" s="29"/>
      <c r="D121" s="6"/>
      <c r="E121" s="19" t="s">
        <v>1091</v>
      </c>
      <c r="F121" s="8" t="s">
        <v>42</v>
      </c>
      <c r="G121" s="9">
        <v>0.58333333333333337</v>
      </c>
      <c r="H121" s="9">
        <v>0.59027777777777779</v>
      </c>
      <c r="I121" s="10">
        <f t="shared" si="18"/>
        <v>6.9444444444444198E-3</v>
      </c>
      <c r="J121" s="11">
        <v>1</v>
      </c>
      <c r="K121" s="11">
        <v>46.8</v>
      </c>
      <c r="L121" s="16">
        <f t="shared" si="19"/>
        <v>280.80000000000098</v>
      </c>
      <c r="M121" s="11"/>
      <c r="N121" s="11"/>
      <c r="O121" s="11"/>
      <c r="P121" s="11"/>
      <c r="Q121" s="11"/>
      <c r="R121" s="12"/>
      <c r="S121" s="12"/>
      <c r="T121" s="11"/>
      <c r="U121" s="11"/>
      <c r="V121" s="12"/>
      <c r="W121" s="12">
        <v>10</v>
      </c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4"/>
    </row>
    <row r="122" spans="1:38" ht="25.05" customHeight="1">
      <c r="B122" s="13"/>
      <c r="C122" s="29"/>
      <c r="D122" s="6"/>
      <c r="E122" s="19" t="s">
        <v>1092</v>
      </c>
      <c r="F122" s="8" t="s">
        <v>42</v>
      </c>
      <c r="G122" s="9">
        <v>0.6020833333333333</v>
      </c>
      <c r="H122" s="9">
        <v>0.60902777777777772</v>
      </c>
      <c r="I122" s="10">
        <f t="shared" si="18"/>
        <v>6.9444444444444198E-3</v>
      </c>
      <c r="J122" s="11">
        <v>1</v>
      </c>
      <c r="K122" s="11">
        <v>43.2</v>
      </c>
      <c r="L122" s="16">
        <f t="shared" si="19"/>
        <v>259.20000000000095</v>
      </c>
      <c r="M122" s="11"/>
      <c r="N122" s="11"/>
      <c r="O122" s="11"/>
      <c r="P122" s="11"/>
      <c r="Q122" s="11"/>
      <c r="R122" s="12"/>
      <c r="S122" s="12"/>
      <c r="T122" s="11"/>
      <c r="U122" s="11"/>
      <c r="V122" s="12">
        <v>10</v>
      </c>
      <c r="W122" s="12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4"/>
    </row>
    <row r="123" spans="1:38" ht="25.05" customHeight="1">
      <c r="B123" s="13"/>
      <c r="C123" s="29"/>
      <c r="D123" s="6"/>
      <c r="E123" s="19" t="s">
        <v>1093</v>
      </c>
      <c r="F123" s="8" t="s">
        <v>42</v>
      </c>
      <c r="G123" s="9">
        <v>0.61041666666666672</v>
      </c>
      <c r="H123" s="9">
        <v>0.61736111111111114</v>
      </c>
      <c r="I123" s="10">
        <f t="shared" si="18"/>
        <v>6.9444444444444198E-3</v>
      </c>
      <c r="J123" s="11">
        <v>1</v>
      </c>
      <c r="K123" s="11">
        <v>46.8</v>
      </c>
      <c r="L123" s="16">
        <f t="shared" si="19"/>
        <v>280.80000000000098</v>
      </c>
      <c r="M123" s="11"/>
      <c r="N123" s="11"/>
      <c r="O123" s="11"/>
      <c r="P123" s="11"/>
      <c r="Q123" s="11"/>
      <c r="R123" s="12"/>
      <c r="S123" s="12"/>
      <c r="T123" s="11"/>
      <c r="U123" s="11"/>
      <c r="V123" s="12"/>
      <c r="W123" s="12">
        <v>10</v>
      </c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4"/>
    </row>
    <row r="124" spans="1:38" ht="25.05" customHeight="1">
      <c r="B124" s="13"/>
      <c r="C124" s="29"/>
      <c r="D124" s="6"/>
      <c r="E124" s="19" t="s">
        <v>1094</v>
      </c>
      <c r="F124" s="8" t="s">
        <v>42</v>
      </c>
      <c r="G124" s="9">
        <v>0.625</v>
      </c>
      <c r="H124" s="9">
        <v>0.63194444444444442</v>
      </c>
      <c r="I124" s="10">
        <f t="shared" si="18"/>
        <v>6.9444444444444198E-3</v>
      </c>
      <c r="J124" s="11">
        <v>1</v>
      </c>
      <c r="K124" s="11">
        <v>46.8</v>
      </c>
      <c r="L124" s="16">
        <f t="shared" si="19"/>
        <v>280.80000000000098</v>
      </c>
      <c r="M124" s="11"/>
      <c r="N124" s="11"/>
      <c r="O124" s="11"/>
      <c r="P124" s="11"/>
      <c r="Q124" s="11"/>
      <c r="R124" s="12"/>
      <c r="S124" s="12"/>
      <c r="T124" s="11"/>
      <c r="U124" s="11"/>
      <c r="V124" s="12">
        <v>10</v>
      </c>
      <c r="W124" s="12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4"/>
    </row>
    <row r="125" spans="1:38" ht="25.05" customHeight="1">
      <c r="B125" s="13"/>
      <c r="C125" s="29"/>
      <c r="D125" s="6"/>
      <c r="E125" s="19" t="s">
        <v>1095</v>
      </c>
      <c r="F125" s="8" t="s">
        <v>42</v>
      </c>
      <c r="G125" s="9">
        <v>0.62986111111111109</v>
      </c>
      <c r="H125" s="9">
        <v>0.63680555555555551</v>
      </c>
      <c r="I125" s="10">
        <f t="shared" si="18"/>
        <v>6.9444444444444198E-3</v>
      </c>
      <c r="J125" s="11">
        <v>1</v>
      </c>
      <c r="K125" s="11">
        <v>43.2</v>
      </c>
      <c r="L125" s="16">
        <f t="shared" si="19"/>
        <v>259.20000000000095</v>
      </c>
      <c r="M125" s="11"/>
      <c r="N125" s="11"/>
      <c r="O125" s="11"/>
      <c r="P125" s="11"/>
      <c r="Q125" s="11"/>
      <c r="R125" s="12"/>
      <c r="S125" s="12"/>
      <c r="T125" s="11"/>
      <c r="U125" s="11"/>
      <c r="V125" s="12"/>
      <c r="W125" s="12">
        <v>10</v>
      </c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4"/>
    </row>
    <row r="126" spans="1:38" ht="25.05" customHeight="1">
      <c r="B126" s="13"/>
      <c r="C126" s="29"/>
      <c r="D126" s="30"/>
      <c r="E126" s="19"/>
      <c r="F126" s="8" t="s">
        <v>42</v>
      </c>
      <c r="G126" s="9"/>
      <c r="H126" s="9"/>
      <c r="I126" s="10">
        <f t="shared" si="18"/>
        <v>0</v>
      </c>
      <c r="J126" s="11"/>
      <c r="K126" s="11"/>
      <c r="L126" s="16" t="str">
        <f t="shared" si="19"/>
        <v>0</v>
      </c>
      <c r="M126" s="11"/>
      <c r="N126" s="11"/>
      <c r="O126" s="11"/>
      <c r="P126" s="11"/>
      <c r="Q126" s="11"/>
      <c r="R126" s="12"/>
      <c r="S126" s="12"/>
      <c r="T126" s="11"/>
      <c r="U126" s="11"/>
      <c r="V126" s="12"/>
      <c r="W126" s="12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4"/>
    </row>
    <row r="127" spans="1:38" ht="25.05" customHeight="1">
      <c r="B127" s="13"/>
      <c r="C127" s="29"/>
      <c r="D127" s="30"/>
      <c r="E127" s="19"/>
      <c r="F127" s="8" t="s">
        <v>42</v>
      </c>
      <c r="G127" s="9"/>
      <c r="H127" s="9"/>
      <c r="I127" s="10">
        <f t="shared" si="18"/>
        <v>0</v>
      </c>
      <c r="J127" s="11"/>
      <c r="K127" s="11"/>
      <c r="L127" s="16" t="str">
        <f t="shared" si="17"/>
        <v>0</v>
      </c>
      <c r="M127" s="11"/>
      <c r="N127" s="11"/>
      <c r="O127" s="11"/>
      <c r="P127" s="11"/>
      <c r="Q127" s="11"/>
      <c r="R127" s="12"/>
      <c r="S127" s="12"/>
      <c r="T127" s="11"/>
      <c r="U127" s="11"/>
      <c r="V127" s="12"/>
      <c r="W127" s="12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4"/>
    </row>
    <row r="128" spans="1:38" s="28" customFormat="1" ht="25.5" customHeight="1" thickBot="1">
      <c r="A128" s="2"/>
      <c r="B128" s="32"/>
      <c r="C128" s="33"/>
      <c r="D128" s="34"/>
      <c r="E128" s="35"/>
      <c r="F128" s="35"/>
      <c r="G128" s="36"/>
      <c r="H128" s="36"/>
      <c r="I128" s="37"/>
      <c r="J128" s="38"/>
      <c r="K128" s="38">
        <f t="shared" ref="K128:AL128" si="20">SUM(K35:K127)</f>
        <v>4736.07</v>
      </c>
      <c r="L128" s="39">
        <f t="shared" si="20"/>
        <v>13021.165958209709</v>
      </c>
      <c r="M128" s="38">
        <f t="shared" si="20"/>
        <v>0</v>
      </c>
      <c r="N128" s="38">
        <f t="shared" si="20"/>
        <v>0</v>
      </c>
      <c r="O128" s="38">
        <f t="shared" si="20"/>
        <v>0</v>
      </c>
      <c r="P128" s="38">
        <f t="shared" si="20"/>
        <v>0</v>
      </c>
      <c r="Q128" s="38">
        <f t="shared" si="20"/>
        <v>0</v>
      </c>
      <c r="R128" s="38">
        <f t="shared" si="20"/>
        <v>0</v>
      </c>
      <c r="S128" s="38">
        <f t="shared" si="20"/>
        <v>0</v>
      </c>
      <c r="T128" s="38">
        <f t="shared" si="20"/>
        <v>0</v>
      </c>
      <c r="U128" s="38">
        <f t="shared" si="20"/>
        <v>0</v>
      </c>
      <c r="V128" s="38">
        <f t="shared" si="20"/>
        <v>163</v>
      </c>
      <c r="W128" s="38">
        <f t="shared" si="20"/>
        <v>182</v>
      </c>
      <c r="X128" s="38">
        <f t="shared" si="20"/>
        <v>90</v>
      </c>
      <c r="Y128" s="38">
        <f t="shared" si="20"/>
        <v>45</v>
      </c>
      <c r="Z128" s="38">
        <f t="shared" si="20"/>
        <v>90</v>
      </c>
      <c r="AA128" s="38">
        <f t="shared" si="20"/>
        <v>45</v>
      </c>
      <c r="AB128" s="38">
        <f t="shared" si="20"/>
        <v>145</v>
      </c>
      <c r="AC128" s="38">
        <f t="shared" si="20"/>
        <v>237</v>
      </c>
      <c r="AD128" s="38">
        <f t="shared" si="20"/>
        <v>115</v>
      </c>
      <c r="AE128" s="38">
        <f t="shared" si="20"/>
        <v>0</v>
      </c>
      <c r="AF128" s="38">
        <f t="shared" si="20"/>
        <v>0</v>
      </c>
      <c r="AG128" s="38">
        <f t="shared" si="20"/>
        <v>76</v>
      </c>
      <c r="AH128" s="38">
        <f t="shared" si="20"/>
        <v>76</v>
      </c>
      <c r="AI128" s="38">
        <f t="shared" si="20"/>
        <v>76</v>
      </c>
      <c r="AJ128" s="38">
        <f t="shared" si="20"/>
        <v>76</v>
      </c>
      <c r="AK128" s="38">
        <f t="shared" si="20"/>
        <v>0</v>
      </c>
      <c r="AL128" s="38">
        <f t="shared" si="20"/>
        <v>0</v>
      </c>
    </row>
    <row r="129" spans="2:38" ht="38.1" customHeight="1" thickBot="1">
      <c r="B129" s="40" t="s">
        <v>45</v>
      </c>
      <c r="C129" s="41"/>
      <c r="D129" s="41"/>
      <c r="E129" s="41"/>
      <c r="F129" s="41"/>
      <c r="G129" s="41"/>
      <c r="H129" s="41"/>
      <c r="I129" s="41"/>
      <c r="J129" s="41"/>
      <c r="K129" s="42">
        <f>K26+K34+K128</f>
        <v>9013.0299999999988</v>
      </c>
      <c r="L129" s="42">
        <f>L26+L34+L128</f>
        <v>13945.122187229497</v>
      </c>
      <c r="M129" s="43">
        <f t="shared" ref="M129:AL129" si="21">(M26+M34+M128)/(480-15-30)</f>
        <v>0.38620689655172413</v>
      </c>
      <c r="N129" s="43">
        <f t="shared" si="21"/>
        <v>0</v>
      </c>
      <c r="O129" s="43">
        <f t="shared" si="21"/>
        <v>0.41379310344827586</v>
      </c>
      <c r="P129" s="43">
        <f t="shared" si="21"/>
        <v>0</v>
      </c>
      <c r="Q129" s="43">
        <f t="shared" si="21"/>
        <v>4.5977011494252873E-2</v>
      </c>
      <c r="R129" s="43">
        <f t="shared" si="21"/>
        <v>0.27126436781609198</v>
      </c>
      <c r="S129" s="43">
        <f t="shared" si="21"/>
        <v>2.3103448275862069</v>
      </c>
      <c r="T129" s="43">
        <f t="shared" si="21"/>
        <v>0</v>
      </c>
      <c r="U129" s="43">
        <f t="shared" si="21"/>
        <v>0</v>
      </c>
      <c r="V129" s="43">
        <f t="shared" si="21"/>
        <v>0.37471264367816093</v>
      </c>
      <c r="W129" s="43">
        <f t="shared" si="21"/>
        <v>0.41839080459770117</v>
      </c>
      <c r="X129" s="43">
        <f t="shared" si="21"/>
        <v>0.20689655172413793</v>
      </c>
      <c r="Y129" s="43">
        <f t="shared" si="21"/>
        <v>0.10344827586206896</v>
      </c>
      <c r="Z129" s="43">
        <f t="shared" si="21"/>
        <v>0.20689655172413793</v>
      </c>
      <c r="AA129" s="43">
        <f t="shared" si="21"/>
        <v>0.10344827586206896</v>
      </c>
      <c r="AB129" s="43">
        <f t="shared" si="21"/>
        <v>0.33333333333333331</v>
      </c>
      <c r="AC129" s="43">
        <f t="shared" si="21"/>
        <v>0.54482758620689653</v>
      </c>
      <c r="AD129" s="43">
        <f t="shared" si="21"/>
        <v>0.26436781609195403</v>
      </c>
      <c r="AE129" s="43">
        <f t="shared" si="21"/>
        <v>0</v>
      </c>
      <c r="AF129" s="43">
        <f t="shared" si="21"/>
        <v>0</v>
      </c>
      <c r="AG129" s="43">
        <f t="shared" si="21"/>
        <v>0.17471264367816092</v>
      </c>
      <c r="AH129" s="43">
        <f t="shared" si="21"/>
        <v>0.17471264367816092</v>
      </c>
      <c r="AI129" s="43">
        <f t="shared" si="21"/>
        <v>0.17471264367816092</v>
      </c>
      <c r="AJ129" s="43">
        <f t="shared" si="21"/>
        <v>0.17471264367816092</v>
      </c>
      <c r="AK129" s="43">
        <f t="shared" si="21"/>
        <v>0</v>
      </c>
      <c r="AL129" s="43">
        <f t="shared" si="21"/>
        <v>0</v>
      </c>
    </row>
    <row r="130" spans="2:38" ht="25.05" customHeight="1">
      <c r="B130" s="44"/>
      <c r="C130" s="44"/>
      <c r="D130" s="44"/>
      <c r="E130" s="45"/>
      <c r="F130" s="45"/>
      <c r="G130" s="45"/>
      <c r="H130" s="45"/>
      <c r="I130" s="46"/>
      <c r="J130" s="46"/>
      <c r="K130" s="45"/>
      <c r="L130" s="47"/>
      <c r="M130" s="47"/>
      <c r="N130" s="47"/>
      <c r="O130" s="47"/>
      <c r="P130" s="47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</row>
    <row r="131" spans="2:38" ht="25.05" customHeight="1">
      <c r="B131" s="44"/>
      <c r="C131" s="44"/>
      <c r="D131" s="44"/>
      <c r="E131" s="45"/>
      <c r="F131" s="45"/>
      <c r="G131" s="45"/>
      <c r="H131" s="45"/>
      <c r="I131" s="48" t="s">
        <v>46</v>
      </c>
      <c r="J131" s="46"/>
      <c r="K131" s="45"/>
      <c r="L131" s="47"/>
      <c r="M131" s="47"/>
      <c r="N131" s="47"/>
      <c r="O131" s="47"/>
      <c r="P131" s="47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</row>
    <row r="132" spans="2:38" ht="25.05" customHeight="1">
      <c r="B132" s="44"/>
      <c r="C132" s="44"/>
      <c r="D132" s="44"/>
      <c r="E132" s="45"/>
      <c r="F132" s="45"/>
      <c r="G132" s="45"/>
      <c r="H132" s="45"/>
      <c r="I132" s="49" t="s">
        <v>47</v>
      </c>
      <c r="J132" s="9">
        <v>0</v>
      </c>
      <c r="K132" s="11">
        <v>12</v>
      </c>
      <c r="L132" s="11" t="s">
        <v>48</v>
      </c>
      <c r="M132" s="47"/>
      <c r="N132" s="14">
        <v>2</v>
      </c>
      <c r="O132" s="14"/>
      <c r="P132" s="14"/>
      <c r="Q132" s="50" t="s">
        <v>49</v>
      </c>
      <c r="R132" s="51"/>
      <c r="S132" s="45"/>
      <c r="T132" s="45"/>
      <c r="U132" s="45"/>
      <c r="V132" s="45"/>
      <c r="W132" s="45"/>
      <c r="X132" s="45"/>
      <c r="Y132" s="45"/>
      <c r="Z132" s="45"/>
      <c r="AA132" s="45"/>
      <c r="AC132" s="45"/>
      <c r="AD132" s="45"/>
      <c r="AE132" s="45"/>
      <c r="AF132" s="45"/>
      <c r="AG132" s="45"/>
      <c r="AH132" s="45"/>
    </row>
    <row r="133" spans="2:38" ht="25.05" customHeight="1">
      <c r="B133" s="44"/>
      <c r="C133" s="44"/>
      <c r="D133" s="44"/>
      <c r="E133" s="45"/>
      <c r="F133" s="45"/>
      <c r="G133" s="45"/>
      <c r="H133" s="45"/>
      <c r="I133" s="49" t="s">
        <v>50</v>
      </c>
      <c r="J133" s="9">
        <v>0</v>
      </c>
      <c r="K133" s="11">
        <v>3</v>
      </c>
      <c r="L133" s="11" t="s">
        <v>48</v>
      </c>
      <c r="M133" s="47"/>
      <c r="N133" s="14">
        <v>4</v>
      </c>
      <c r="O133" s="14"/>
      <c r="P133" s="14"/>
      <c r="Q133" s="50" t="s">
        <v>51</v>
      </c>
      <c r="R133" s="51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  <c r="AE133" s="45"/>
      <c r="AF133" s="45"/>
      <c r="AG133" s="45"/>
      <c r="AH133" s="45"/>
    </row>
    <row r="134" spans="2:38" ht="25.05" customHeight="1">
      <c r="B134" s="44"/>
      <c r="C134" s="44"/>
      <c r="D134" s="44"/>
      <c r="E134" s="45"/>
      <c r="F134" s="45"/>
      <c r="G134" s="45"/>
      <c r="H134" s="45"/>
      <c r="I134" s="49" t="s">
        <v>52</v>
      </c>
      <c r="J134" s="9">
        <v>0</v>
      </c>
      <c r="K134" s="11">
        <v>16</v>
      </c>
      <c r="L134" s="11" t="s">
        <v>48</v>
      </c>
      <c r="M134" s="47"/>
      <c r="N134" s="14">
        <v>1</v>
      </c>
      <c r="O134" s="14"/>
      <c r="P134" s="14"/>
      <c r="Q134" s="50" t="s">
        <v>53</v>
      </c>
      <c r="R134" s="51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  <c r="AE134" s="45"/>
      <c r="AF134" s="45"/>
      <c r="AG134" s="45"/>
      <c r="AH134" s="45"/>
    </row>
    <row r="135" spans="2:38" ht="25.05" customHeight="1">
      <c r="B135" s="44"/>
      <c r="C135" s="44"/>
      <c r="D135" s="44"/>
      <c r="E135" s="45"/>
      <c r="F135" s="45"/>
      <c r="G135" s="45"/>
      <c r="H135" s="45"/>
      <c r="I135" s="52" t="s">
        <v>54</v>
      </c>
      <c r="J135" s="53">
        <v>0</v>
      </c>
      <c r="K135" s="11">
        <v>6</v>
      </c>
      <c r="L135" s="54" t="s">
        <v>48</v>
      </c>
      <c r="M135" s="47"/>
      <c r="N135" s="14">
        <v>3</v>
      </c>
      <c r="O135" s="14"/>
      <c r="P135" s="14"/>
      <c r="Q135" s="50" t="s">
        <v>55</v>
      </c>
      <c r="R135" s="51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  <c r="AE135" s="45"/>
      <c r="AF135" s="45"/>
      <c r="AG135" s="45"/>
      <c r="AH135" s="45"/>
    </row>
    <row r="136" spans="2:38" ht="25.05" customHeight="1">
      <c r="B136" s="44"/>
      <c r="C136" s="44"/>
      <c r="D136" s="44"/>
      <c r="E136" s="45"/>
      <c r="F136" s="45"/>
      <c r="G136" s="45"/>
      <c r="H136" s="45"/>
      <c r="I136" s="49" t="s">
        <v>56</v>
      </c>
      <c r="J136" s="9">
        <v>0</v>
      </c>
      <c r="K136" s="11">
        <v>37</v>
      </c>
      <c r="L136" s="11" t="s">
        <v>48</v>
      </c>
      <c r="M136" s="47"/>
      <c r="N136"/>
      <c r="O136"/>
      <c r="P136"/>
      <c r="Q136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  <c r="AE136" s="45"/>
      <c r="AF136" s="45"/>
      <c r="AG136" s="45"/>
      <c r="AH136" s="45"/>
    </row>
    <row r="137" spans="2:38" ht="25.05" customHeight="1">
      <c r="B137" s="44"/>
      <c r="C137" s="44"/>
      <c r="D137" s="44"/>
      <c r="E137" s="45"/>
      <c r="F137" s="45"/>
      <c r="G137" s="45"/>
      <c r="H137" s="45"/>
      <c r="M137" s="47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  <c r="AE137" s="45"/>
      <c r="AF137" s="45"/>
      <c r="AG137" s="45"/>
      <c r="AH137" s="45"/>
    </row>
    <row r="138" spans="2:38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honeticPr fontId="11" type="noConversion"/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0E1D7-4E79-4619-8E35-0222035493CF}">
  <sheetPr>
    <pageSetUpPr fitToPage="1"/>
  </sheetPr>
  <dimension ref="A2:AL103"/>
  <sheetViews>
    <sheetView zoomScale="55" zoomScaleNormal="55" workbookViewId="0">
      <pane xSplit="12" ySplit="3" topLeftCell="M16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2" customWidth="1"/>
    <col min="2" max="2" width="13" style="2" customWidth="1"/>
    <col min="3" max="3" width="17.5546875" style="2" customWidth="1"/>
    <col min="4" max="4" width="78.21875" style="2" customWidth="1"/>
    <col min="5" max="5" width="46" style="2" customWidth="1"/>
    <col min="6" max="6" width="25.21875" style="2" customWidth="1"/>
    <col min="7" max="7" width="13.44140625" style="2" customWidth="1"/>
    <col min="8" max="8" width="12.5546875" style="2" customWidth="1"/>
    <col min="9" max="9" width="22.5546875" style="2" customWidth="1"/>
    <col min="10" max="10" width="12.5546875" style="2" customWidth="1"/>
    <col min="11" max="11" width="17.44140625" style="2" customWidth="1"/>
    <col min="12" max="12" width="20.77734375" style="2" customWidth="1"/>
    <col min="13" max="30" width="16.21875" style="2" customWidth="1"/>
    <col min="31" max="31" width="17.77734375" style="2" customWidth="1"/>
    <col min="32" max="37" width="16.21875" style="2" customWidth="1"/>
    <col min="38" max="38" width="14.44140625" style="2" customWidth="1"/>
    <col min="39" max="16384" width="10.21875" style="2"/>
  </cols>
  <sheetData>
    <row r="2" spans="2:38" ht="25.05" customHeight="1">
      <c r="B2" s="214" t="s">
        <v>1</v>
      </c>
      <c r="C2" s="214" t="s">
        <v>2</v>
      </c>
      <c r="D2" s="214" t="s">
        <v>3</v>
      </c>
      <c r="E2" s="214" t="s">
        <v>4</v>
      </c>
      <c r="F2" s="214" t="s">
        <v>5</v>
      </c>
      <c r="G2" s="215" t="s">
        <v>6</v>
      </c>
      <c r="H2" s="215"/>
      <c r="I2" s="218" t="s">
        <v>7</v>
      </c>
      <c r="J2" s="219" t="s">
        <v>8</v>
      </c>
      <c r="K2" s="219" t="s">
        <v>9</v>
      </c>
      <c r="L2" s="219" t="s">
        <v>10</v>
      </c>
      <c r="M2" s="220" t="s">
        <v>11</v>
      </c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2"/>
    </row>
    <row r="3" spans="2:38" ht="46.5" customHeight="1">
      <c r="B3" s="214"/>
      <c r="C3" s="214"/>
      <c r="D3" s="214"/>
      <c r="E3" s="214"/>
      <c r="F3" s="214"/>
      <c r="G3" s="3" t="s">
        <v>12</v>
      </c>
      <c r="H3" s="3" t="s">
        <v>13</v>
      </c>
      <c r="I3" s="218"/>
      <c r="J3" s="219"/>
      <c r="K3" s="219"/>
      <c r="L3" s="219"/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4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2:38" ht="25.05" customHeight="1">
      <c r="B4" s="13">
        <v>46082</v>
      </c>
      <c r="C4" s="60" t="s">
        <v>40</v>
      </c>
      <c r="D4" s="6"/>
      <c r="E4" s="7" t="s">
        <v>41</v>
      </c>
      <c r="F4" s="8" t="s">
        <v>42</v>
      </c>
      <c r="G4" s="9">
        <v>0.79166666666666663</v>
      </c>
      <c r="H4" s="9">
        <v>0.80555555555555558</v>
      </c>
      <c r="I4" s="10">
        <f t="shared" ref="I4:I29" si="0">H4-G4</f>
        <v>1.3888888888888951E-2</v>
      </c>
      <c r="J4" s="11">
        <v>7</v>
      </c>
      <c r="K4" s="11">
        <v>0</v>
      </c>
      <c r="L4" s="16">
        <f t="shared" ref="L4:L29" si="1">IFERROR(((K4/(J4*I4)/24)),"0")</f>
        <v>0</v>
      </c>
      <c r="M4" s="11"/>
      <c r="N4" s="11"/>
      <c r="O4" s="11"/>
      <c r="P4" s="11"/>
      <c r="Q4" s="11"/>
      <c r="R4" s="12"/>
      <c r="S4" s="12"/>
      <c r="T4" s="11"/>
      <c r="U4" s="11"/>
      <c r="V4" s="12"/>
      <c r="W4" s="12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</row>
    <row r="5" spans="2:38" ht="25.05" customHeight="1">
      <c r="B5" s="13"/>
      <c r="C5" s="14"/>
      <c r="D5" s="6" t="s">
        <v>1669</v>
      </c>
      <c r="E5" s="15" t="s">
        <v>2798</v>
      </c>
      <c r="F5" s="57">
        <v>1</v>
      </c>
      <c r="G5" s="9">
        <v>0.80625000000000002</v>
      </c>
      <c r="H5" s="9">
        <v>0.81944444444444442</v>
      </c>
      <c r="I5" s="10">
        <f t="shared" si="0"/>
        <v>1.3194444444444398E-2</v>
      </c>
      <c r="J5" s="11">
        <v>1</v>
      </c>
      <c r="K5" s="11">
        <f>3.65*7</f>
        <v>25.55</v>
      </c>
      <c r="L5" s="16">
        <f t="shared" si="1"/>
        <v>80.684210526316079</v>
      </c>
      <c r="M5" s="11">
        <v>19</v>
      </c>
      <c r="N5" s="11"/>
      <c r="O5" s="11"/>
      <c r="P5" s="11"/>
      <c r="Q5" s="11"/>
      <c r="R5" s="12"/>
      <c r="S5" s="12"/>
      <c r="T5" s="11"/>
      <c r="U5" s="11"/>
      <c r="V5" s="12"/>
      <c r="W5" s="12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</row>
    <row r="6" spans="2:38" ht="25.5" customHeight="1">
      <c r="B6" s="13"/>
      <c r="C6" s="14"/>
      <c r="D6" s="6"/>
      <c r="E6" s="44" t="s">
        <v>1742</v>
      </c>
      <c r="F6" s="8" t="s">
        <v>42</v>
      </c>
      <c r="G6" s="9">
        <v>0.80625000000000002</v>
      </c>
      <c r="H6" s="9">
        <v>0.81944444444444442</v>
      </c>
      <c r="I6" s="10">
        <f t="shared" si="0"/>
        <v>1.3194444444444398E-2</v>
      </c>
      <c r="J6" s="11">
        <v>1</v>
      </c>
      <c r="K6" s="11">
        <f>1.17*7</f>
        <v>8.19</v>
      </c>
      <c r="L6" s="16">
        <f t="shared" si="1"/>
        <v>25.863157894736933</v>
      </c>
      <c r="M6" s="11"/>
      <c r="N6" s="11"/>
      <c r="O6" s="11"/>
      <c r="P6" s="11"/>
      <c r="Q6" s="11"/>
      <c r="R6" s="12"/>
      <c r="S6" s="12">
        <v>19</v>
      </c>
      <c r="T6" s="11"/>
      <c r="U6" s="11"/>
      <c r="V6" s="12"/>
      <c r="W6" s="12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</row>
    <row r="7" spans="2:38" ht="25.05" customHeight="1">
      <c r="B7" s="13"/>
      <c r="C7" s="14"/>
      <c r="D7" s="6"/>
      <c r="E7" s="15" t="s">
        <v>2012</v>
      </c>
      <c r="F7" s="57">
        <v>1</v>
      </c>
      <c r="G7" s="9">
        <v>0.82291666666666663</v>
      </c>
      <c r="H7" s="9">
        <v>0.83333333333333337</v>
      </c>
      <c r="I7" s="10">
        <f t="shared" si="0"/>
        <v>1.0416666666666741E-2</v>
      </c>
      <c r="J7" s="11">
        <v>1</v>
      </c>
      <c r="K7" s="11">
        <f>1.62*7</f>
        <v>11.34</v>
      </c>
      <c r="L7" s="16">
        <f t="shared" si="1"/>
        <v>45.359999999999673</v>
      </c>
      <c r="M7" s="11">
        <v>15</v>
      </c>
      <c r="N7" s="11"/>
      <c r="O7" s="11"/>
      <c r="P7" s="11"/>
      <c r="Q7" s="11"/>
      <c r="R7" s="12"/>
      <c r="S7" s="12"/>
      <c r="T7" s="11"/>
      <c r="U7" s="11"/>
      <c r="V7" s="12"/>
      <c r="W7" s="12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</row>
    <row r="8" spans="2:38" ht="25.05" customHeight="1">
      <c r="B8" s="13"/>
      <c r="C8" s="14"/>
      <c r="D8" s="6"/>
      <c r="E8" s="15" t="s">
        <v>2799</v>
      </c>
      <c r="F8" s="55" t="s">
        <v>1277</v>
      </c>
      <c r="G8" s="9">
        <v>0.875</v>
      </c>
      <c r="H8" s="9">
        <v>0.97916666666666663</v>
      </c>
      <c r="I8" s="10">
        <f t="shared" si="0"/>
        <v>0.10416666666666663</v>
      </c>
      <c r="J8" s="11">
        <v>4</v>
      </c>
      <c r="K8" s="11">
        <f>6.6*7</f>
        <v>46.199999999999996</v>
      </c>
      <c r="L8" s="16">
        <f t="shared" si="1"/>
        <v>4.620000000000001</v>
      </c>
      <c r="M8" s="11"/>
      <c r="N8" s="11"/>
      <c r="O8" s="11"/>
      <c r="P8" s="11"/>
      <c r="Q8" s="11"/>
      <c r="R8" s="12"/>
      <c r="S8" s="12">
        <v>150</v>
      </c>
      <c r="T8" s="11"/>
      <c r="U8" s="11"/>
      <c r="V8" s="12"/>
      <c r="W8" s="12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</row>
    <row r="9" spans="2:38" ht="25.05" customHeight="1">
      <c r="B9" s="13"/>
      <c r="C9" s="14"/>
      <c r="D9" s="6"/>
      <c r="E9" s="15" t="s">
        <v>2800</v>
      </c>
      <c r="F9" s="55" t="s">
        <v>1277</v>
      </c>
      <c r="G9" s="9">
        <v>0.98333333333333328</v>
      </c>
      <c r="H9" s="9">
        <v>46083.006944444445</v>
      </c>
      <c r="I9" s="10">
        <f t="shared" si="0"/>
        <v>46082.023611111115</v>
      </c>
      <c r="J9" s="11">
        <v>4</v>
      </c>
      <c r="K9" s="11">
        <f>3.3</f>
        <v>3.3</v>
      </c>
      <c r="L9" s="16">
        <f t="shared" si="1"/>
        <v>7.4595248442413527E-7</v>
      </c>
      <c r="M9" s="11"/>
      <c r="N9" s="11"/>
      <c r="O9" s="11"/>
      <c r="P9" s="11"/>
      <c r="Q9" s="11"/>
      <c r="R9" s="12"/>
      <c r="S9" s="12">
        <v>34</v>
      </c>
      <c r="T9" s="11"/>
      <c r="U9" s="11"/>
      <c r="V9" s="12"/>
      <c r="W9" s="12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</row>
    <row r="10" spans="2:38" ht="25.05" customHeight="1">
      <c r="B10" s="13"/>
      <c r="C10" s="14"/>
      <c r="D10" s="6"/>
      <c r="E10" s="15" t="s">
        <v>2801</v>
      </c>
      <c r="F10" s="55" t="s">
        <v>1277</v>
      </c>
      <c r="G10" s="9">
        <v>46083.069444444445</v>
      </c>
      <c r="H10" s="9">
        <v>46083.114583333336</v>
      </c>
      <c r="I10" s="10">
        <f t="shared" si="0"/>
        <v>4.5138888890505768E-2</v>
      </c>
      <c r="J10" s="11">
        <v>7</v>
      </c>
      <c r="K10" s="11">
        <f>6.6*6.5</f>
        <v>42.9</v>
      </c>
      <c r="L10" s="16">
        <f t="shared" si="1"/>
        <v>5.6571428569402178</v>
      </c>
      <c r="M10" s="11"/>
      <c r="N10" s="11"/>
      <c r="O10" s="11"/>
      <c r="P10" s="11"/>
      <c r="Q10" s="11"/>
      <c r="R10" s="12"/>
      <c r="S10" s="12">
        <v>65</v>
      </c>
      <c r="T10" s="11"/>
      <c r="U10" s="11"/>
      <c r="V10" s="12"/>
      <c r="W10" s="12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</row>
    <row r="11" spans="2:38" ht="25.05" customHeight="1">
      <c r="B11" s="13"/>
      <c r="C11" s="14"/>
      <c r="D11" s="6" t="s">
        <v>2120</v>
      </c>
      <c r="E11" s="17" t="s">
        <v>2846</v>
      </c>
      <c r="F11" s="55" t="s">
        <v>59</v>
      </c>
      <c r="G11" s="9">
        <v>0.84722222222222221</v>
      </c>
      <c r="H11" s="9">
        <v>0.86111111111111116</v>
      </c>
      <c r="I11" s="10">
        <f t="shared" si="0"/>
        <v>1.3888888888888951E-2</v>
      </c>
      <c r="J11" s="11">
        <v>2</v>
      </c>
      <c r="K11" s="11">
        <f>1.7*12</f>
        <v>20.399999999999999</v>
      </c>
      <c r="L11" s="16">
        <f t="shared" si="1"/>
        <v>30.599999999999863</v>
      </c>
      <c r="M11" s="11">
        <v>20</v>
      </c>
      <c r="N11" s="11"/>
      <c r="O11" s="11"/>
      <c r="P11" s="11"/>
      <c r="Q11" s="11"/>
      <c r="R11" s="12"/>
      <c r="S11" s="12"/>
      <c r="T11" s="11"/>
      <c r="U11" s="11"/>
      <c r="V11" s="12"/>
      <c r="W11" s="12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</row>
    <row r="12" spans="2:38" ht="25.05" customHeight="1">
      <c r="B12" s="13"/>
      <c r="C12" s="14"/>
      <c r="D12" s="6"/>
      <c r="E12" s="17" t="s">
        <v>2847</v>
      </c>
      <c r="F12" s="8" t="s">
        <v>851</v>
      </c>
      <c r="G12" s="9">
        <v>0.86527777777777781</v>
      </c>
      <c r="H12" s="9">
        <v>0.89236111111111116</v>
      </c>
      <c r="I12" s="10">
        <f t="shared" si="0"/>
        <v>2.7083333333333348E-2</v>
      </c>
      <c r="J12" s="11">
        <v>2</v>
      </c>
      <c r="K12" s="11">
        <f>11*12</f>
        <v>132</v>
      </c>
      <c r="L12" s="16">
        <f t="shared" si="1"/>
        <v>101.53846153846149</v>
      </c>
      <c r="M12" s="11">
        <v>39</v>
      </c>
      <c r="N12" s="11"/>
      <c r="O12" s="11"/>
      <c r="P12" s="11"/>
      <c r="Q12" s="11"/>
      <c r="R12" s="12"/>
      <c r="S12" s="12"/>
      <c r="T12" s="11"/>
      <c r="U12" s="11"/>
      <c r="V12" s="12"/>
      <c r="W12" s="12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</row>
    <row r="13" spans="2:38" ht="25.05" customHeight="1">
      <c r="B13" s="13"/>
      <c r="C13" s="14"/>
      <c r="D13" s="6"/>
      <c r="E13" s="17" t="s">
        <v>1616</v>
      </c>
      <c r="F13" s="8" t="s">
        <v>42</v>
      </c>
      <c r="G13" s="9">
        <v>0.80625000000000002</v>
      </c>
      <c r="H13" s="9">
        <v>0.85416666666666663</v>
      </c>
      <c r="I13" s="10">
        <f t="shared" si="0"/>
        <v>4.7916666666666607E-2</v>
      </c>
      <c r="J13" s="11">
        <v>2</v>
      </c>
      <c r="K13" s="11">
        <f>100*4.03</f>
        <v>403</v>
      </c>
      <c r="L13" s="16">
        <f t="shared" si="1"/>
        <v>175.21739130434807</v>
      </c>
      <c r="M13" s="11"/>
      <c r="N13" s="11"/>
      <c r="O13" s="11"/>
      <c r="P13" s="11"/>
      <c r="Q13" s="11">
        <v>69</v>
      </c>
      <c r="R13" s="12"/>
      <c r="S13" s="12"/>
      <c r="T13" s="11"/>
      <c r="U13" s="11"/>
      <c r="V13" s="12"/>
      <c r="W13" s="12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</row>
    <row r="14" spans="2:38" ht="25.05" customHeight="1">
      <c r="B14" s="13"/>
      <c r="C14" s="14"/>
      <c r="D14" s="6"/>
      <c r="E14" s="58" t="s">
        <v>1617</v>
      </c>
      <c r="F14" s="20">
        <v>0.5</v>
      </c>
      <c r="G14" s="9">
        <v>0.93125000000000002</v>
      </c>
      <c r="H14" s="9">
        <v>0.99652777777777779</v>
      </c>
      <c r="I14" s="10">
        <f t="shared" si="0"/>
        <v>6.5277777777777768E-2</v>
      </c>
      <c r="J14" s="11">
        <v>2</v>
      </c>
      <c r="K14" s="11">
        <f>33.3*12</f>
        <v>399.59999999999997</v>
      </c>
      <c r="L14" s="16">
        <f t="shared" si="1"/>
        <v>127.53191489361704</v>
      </c>
      <c r="M14" s="11">
        <v>94</v>
      </c>
      <c r="N14" s="11"/>
      <c r="O14" s="11"/>
      <c r="P14" s="11"/>
      <c r="Q14" s="11"/>
      <c r="R14" s="12"/>
      <c r="S14" s="12"/>
      <c r="T14" s="11"/>
      <c r="U14" s="11"/>
      <c r="V14" s="12"/>
      <c r="W14" s="12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</row>
    <row r="15" spans="2:38" ht="25.05" customHeight="1">
      <c r="B15" s="13"/>
      <c r="C15" s="14"/>
      <c r="D15" s="31"/>
      <c r="E15" s="121" t="s">
        <v>1321</v>
      </c>
      <c r="F15" s="8" t="s">
        <v>42</v>
      </c>
      <c r="G15" s="9">
        <v>0.80625000000000002</v>
      </c>
      <c r="H15" s="9">
        <v>0.83333333333333337</v>
      </c>
      <c r="I15" s="10">
        <f t="shared" si="0"/>
        <v>2.7083333333333348E-2</v>
      </c>
      <c r="J15" s="11">
        <v>2</v>
      </c>
      <c r="K15" s="11">
        <f>5.3*12</f>
        <v>63.599999999999994</v>
      </c>
      <c r="L15" s="16">
        <f t="shared" si="1"/>
        <v>48.923076923076898</v>
      </c>
      <c r="M15" s="11"/>
      <c r="N15" s="11"/>
      <c r="O15" s="11"/>
      <c r="P15" s="11"/>
      <c r="Q15" s="11"/>
      <c r="R15" s="12"/>
      <c r="S15" s="12">
        <v>39</v>
      </c>
      <c r="T15" s="11"/>
      <c r="U15" s="11"/>
      <c r="V15" s="12"/>
      <c r="W15" s="12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</row>
    <row r="16" spans="2:38" ht="25.05" customHeight="1">
      <c r="B16" s="13"/>
      <c r="C16" s="14"/>
      <c r="D16" s="31"/>
      <c r="E16" s="17" t="s">
        <v>2848</v>
      </c>
      <c r="F16" s="61" t="s">
        <v>232</v>
      </c>
      <c r="G16" s="9">
        <v>0.89652777777777781</v>
      </c>
      <c r="H16" s="9">
        <v>0.90625</v>
      </c>
      <c r="I16" s="10">
        <f t="shared" si="0"/>
        <v>9.7222222222221877E-3</v>
      </c>
      <c r="J16" s="11">
        <v>2</v>
      </c>
      <c r="K16" s="11">
        <v>63.6</v>
      </c>
      <c r="L16" s="16">
        <f t="shared" si="1"/>
        <v>136.28571428571476</v>
      </c>
      <c r="M16" s="11">
        <v>14</v>
      </c>
      <c r="N16" s="11"/>
      <c r="O16" s="11"/>
      <c r="P16" s="11"/>
      <c r="Q16" s="11"/>
      <c r="R16" s="12"/>
      <c r="S16" s="12"/>
      <c r="T16" s="11"/>
      <c r="U16" s="11"/>
      <c r="V16" s="12"/>
      <c r="W16" s="12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</row>
    <row r="17" spans="1:38" ht="25.05" customHeight="1">
      <c r="B17" s="13"/>
      <c r="C17" s="14"/>
      <c r="D17" s="31"/>
      <c r="E17" s="122" t="s">
        <v>2331</v>
      </c>
      <c r="F17" s="8" t="s">
        <v>42</v>
      </c>
      <c r="G17" s="9">
        <v>0.84027777777777779</v>
      </c>
      <c r="H17" s="9">
        <v>0.86805555555555558</v>
      </c>
      <c r="I17" s="10">
        <f t="shared" si="0"/>
        <v>2.777777777777779E-2</v>
      </c>
      <c r="J17" s="11">
        <v>2</v>
      </c>
      <c r="K17" s="11">
        <f>4.4*12</f>
        <v>52.800000000000004</v>
      </c>
      <c r="L17" s="16">
        <f t="shared" si="1"/>
        <v>39.599999999999987</v>
      </c>
      <c r="M17" s="11"/>
      <c r="N17" s="11"/>
      <c r="O17" s="11"/>
      <c r="P17" s="11"/>
      <c r="Q17" s="11"/>
      <c r="R17" s="12"/>
      <c r="S17" s="12">
        <v>40</v>
      </c>
      <c r="T17" s="11"/>
      <c r="U17" s="11"/>
      <c r="V17" s="12"/>
      <c r="W17" s="12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</row>
    <row r="18" spans="1:38" ht="25.5" customHeight="1">
      <c r="B18" s="13"/>
      <c r="C18" s="14"/>
      <c r="D18" s="6"/>
      <c r="E18" s="56" t="s">
        <v>2810</v>
      </c>
      <c r="F18" s="59" t="s">
        <v>59</v>
      </c>
      <c r="G18" s="9">
        <v>0.91041666666666665</v>
      </c>
      <c r="H18" s="9">
        <v>0.92708333333333337</v>
      </c>
      <c r="I18" s="10">
        <f t="shared" si="0"/>
        <v>1.6666666666666718E-2</v>
      </c>
      <c r="J18" s="11">
        <v>2</v>
      </c>
      <c r="K18" s="11">
        <v>52.8</v>
      </c>
      <c r="L18" s="16">
        <f t="shared" si="1"/>
        <v>65.999999999999787</v>
      </c>
      <c r="M18" s="11">
        <v>24</v>
      </c>
      <c r="N18" s="11"/>
      <c r="O18" s="11"/>
      <c r="P18" s="11"/>
      <c r="Q18" s="11"/>
      <c r="R18" s="12"/>
      <c r="S18" s="12"/>
      <c r="T18" s="11"/>
      <c r="U18" s="11"/>
      <c r="V18" s="12"/>
      <c r="W18" s="12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</row>
    <row r="19" spans="1:38" ht="25.5" customHeight="1">
      <c r="B19" s="13"/>
      <c r="C19" s="14"/>
      <c r="D19" s="6" t="s">
        <v>2782</v>
      </c>
      <c r="E19" s="15" t="s">
        <v>2849</v>
      </c>
      <c r="F19" s="55" t="s">
        <v>2850</v>
      </c>
      <c r="G19" s="9">
        <v>0.80625000000000002</v>
      </c>
      <c r="H19" s="9">
        <v>0.87847222222222221</v>
      </c>
      <c r="I19" s="10">
        <f t="shared" si="0"/>
        <v>7.2222222222222188E-2</v>
      </c>
      <c r="J19" s="11">
        <v>1</v>
      </c>
      <c r="K19" s="11">
        <f>47*5.6</f>
        <v>263.2</v>
      </c>
      <c r="L19" s="16">
        <f t="shared" si="1"/>
        <v>151.8461538461539</v>
      </c>
      <c r="M19" s="11"/>
      <c r="N19" s="11"/>
      <c r="O19" s="11"/>
      <c r="P19" s="11"/>
      <c r="Q19" s="11"/>
      <c r="R19" s="12">
        <v>99</v>
      </c>
      <c r="S19" s="12"/>
      <c r="T19" s="11"/>
      <c r="U19" s="11"/>
      <c r="V19" s="12"/>
      <c r="W19" s="12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</row>
    <row r="20" spans="1:38" ht="25.05" customHeight="1">
      <c r="B20" s="13"/>
      <c r="C20" s="14"/>
      <c r="D20" s="6"/>
      <c r="E20" s="15" t="s">
        <v>2851</v>
      </c>
      <c r="F20" s="57">
        <v>1</v>
      </c>
      <c r="G20" s="9">
        <v>0.97222222222222221</v>
      </c>
      <c r="H20" s="9">
        <v>46083.006944444445</v>
      </c>
      <c r="I20" s="10">
        <f t="shared" si="0"/>
        <v>46082.034722222226</v>
      </c>
      <c r="J20" s="11">
        <v>2</v>
      </c>
      <c r="K20" s="11">
        <f>8.7*24</f>
        <v>208.79999999999998</v>
      </c>
      <c r="L20" s="16">
        <f t="shared" si="1"/>
        <v>9.4396873450171046E-5</v>
      </c>
      <c r="M20" s="11">
        <v>50</v>
      </c>
      <c r="N20" s="11"/>
      <c r="O20" s="11"/>
      <c r="P20" s="11"/>
      <c r="Q20" s="11"/>
      <c r="R20" s="12"/>
      <c r="S20" s="12"/>
      <c r="T20" s="11"/>
      <c r="U20" s="11"/>
      <c r="V20" s="12"/>
      <c r="W20" s="12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</row>
    <row r="21" spans="1:38" ht="25.05" customHeight="1">
      <c r="B21" s="13"/>
      <c r="C21" s="14"/>
      <c r="D21" s="6"/>
      <c r="E21" s="15" t="s">
        <v>2852</v>
      </c>
      <c r="F21" s="55" t="s">
        <v>2803</v>
      </c>
      <c r="G21" s="9">
        <v>0.8618055555555556</v>
      </c>
      <c r="H21" s="9">
        <v>0.86458333333333337</v>
      </c>
      <c r="I21" s="10">
        <f t="shared" si="0"/>
        <v>2.7777777777777679E-3</v>
      </c>
      <c r="J21" s="11">
        <v>2</v>
      </c>
      <c r="K21" s="11">
        <f>2*5.5</f>
        <v>11</v>
      </c>
      <c r="L21" s="16">
        <f t="shared" si="1"/>
        <v>82.500000000000298</v>
      </c>
      <c r="M21" s="11">
        <v>4</v>
      </c>
      <c r="N21" s="11"/>
      <c r="O21" s="11"/>
      <c r="P21" s="11"/>
      <c r="Q21" s="11"/>
      <c r="R21" s="12"/>
      <c r="S21" s="12"/>
      <c r="T21" s="11"/>
      <c r="U21" s="11"/>
      <c r="V21" s="12"/>
      <c r="W21" s="12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</row>
    <row r="22" spans="1:38" ht="25.05" customHeight="1">
      <c r="B22" s="13"/>
      <c r="C22" s="14"/>
      <c r="D22" s="6"/>
      <c r="E22" s="15" t="s">
        <v>2853</v>
      </c>
      <c r="F22" s="55" t="s">
        <v>1277</v>
      </c>
      <c r="G22" s="9">
        <v>0.8930555555555556</v>
      </c>
      <c r="H22" s="9">
        <v>0.89583333333333337</v>
      </c>
      <c r="I22" s="10">
        <f t="shared" si="0"/>
        <v>2.7777777777777679E-3</v>
      </c>
      <c r="J22" s="11">
        <v>2</v>
      </c>
      <c r="K22" s="11">
        <f>4.2*5.5</f>
        <v>23.1</v>
      </c>
      <c r="L22" s="16">
        <f t="shared" si="1"/>
        <v>173.25000000000065</v>
      </c>
      <c r="M22" s="11">
        <v>4</v>
      </c>
      <c r="N22" s="11"/>
      <c r="O22" s="11"/>
      <c r="P22" s="11"/>
      <c r="Q22" s="11"/>
      <c r="R22" s="12"/>
      <c r="S22" s="12"/>
      <c r="T22" s="11"/>
      <c r="U22" s="11"/>
      <c r="V22" s="12"/>
      <c r="W22" s="12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</row>
    <row r="23" spans="1:38" ht="25.05" customHeight="1">
      <c r="B23" s="13"/>
      <c r="C23" s="14"/>
      <c r="D23" s="6"/>
      <c r="E23" s="15" t="s">
        <v>2854</v>
      </c>
      <c r="F23" s="55" t="s">
        <v>229</v>
      </c>
      <c r="G23" s="9">
        <v>0.92777777777777781</v>
      </c>
      <c r="H23" s="9">
        <v>0.93055555555555558</v>
      </c>
      <c r="I23" s="10">
        <f t="shared" si="0"/>
        <v>2.7777777777777679E-3</v>
      </c>
      <c r="J23" s="11">
        <v>2</v>
      </c>
      <c r="K23" s="11">
        <f>3.8*5.5</f>
        <v>20.9</v>
      </c>
      <c r="L23" s="16">
        <f t="shared" si="1"/>
        <v>156.75000000000054</v>
      </c>
      <c r="M23" s="11">
        <v>4</v>
      </c>
      <c r="N23" s="11"/>
      <c r="O23" s="11"/>
      <c r="P23" s="11"/>
      <c r="Q23" s="11"/>
      <c r="R23" s="12"/>
      <c r="S23" s="12"/>
      <c r="T23" s="11"/>
      <c r="U23" s="11"/>
      <c r="V23" s="12"/>
      <c r="W23" s="12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</row>
    <row r="24" spans="1:38" ht="25.05" customHeight="1">
      <c r="B24" s="13"/>
      <c r="C24" s="14"/>
      <c r="D24" s="6"/>
      <c r="E24" s="15" t="s">
        <v>2855</v>
      </c>
      <c r="F24" s="55" t="s">
        <v>229</v>
      </c>
      <c r="G24" s="9">
        <v>0.90694444444444444</v>
      </c>
      <c r="H24" s="9">
        <v>0.90972222222222221</v>
      </c>
      <c r="I24" s="10">
        <f t="shared" si="0"/>
        <v>2.7777777777777679E-3</v>
      </c>
      <c r="J24" s="11">
        <v>2</v>
      </c>
      <c r="K24" s="11">
        <f>2*5.5</f>
        <v>11</v>
      </c>
      <c r="L24" s="16">
        <f t="shared" si="1"/>
        <v>82.500000000000298</v>
      </c>
      <c r="M24" s="11">
        <v>4</v>
      </c>
      <c r="N24" s="11"/>
      <c r="O24" s="11"/>
      <c r="P24" s="11"/>
      <c r="Q24" s="11"/>
      <c r="R24" s="12"/>
      <c r="S24" s="12"/>
      <c r="T24" s="11"/>
      <c r="U24" s="11"/>
      <c r="V24" s="12"/>
      <c r="W24" s="12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</row>
    <row r="25" spans="1:38" ht="25.05" customHeight="1">
      <c r="B25" s="13"/>
      <c r="C25" s="14"/>
      <c r="D25" s="6"/>
      <c r="E25" s="15" t="s">
        <v>2856</v>
      </c>
      <c r="F25" s="8" t="s">
        <v>42</v>
      </c>
      <c r="G25" s="9">
        <v>0.84791666666666665</v>
      </c>
      <c r="H25" s="9">
        <v>0.86805555555555558</v>
      </c>
      <c r="I25" s="10">
        <f t="shared" si="0"/>
        <v>2.0138888888888928E-2</v>
      </c>
      <c r="J25" s="11">
        <v>1</v>
      </c>
      <c r="K25" s="11">
        <v>11</v>
      </c>
      <c r="L25" s="16">
        <f t="shared" si="1"/>
        <v>22.758620689655128</v>
      </c>
      <c r="M25" s="11"/>
      <c r="N25" s="11"/>
      <c r="O25" s="11"/>
      <c r="P25" s="11"/>
      <c r="Q25" s="11"/>
      <c r="R25" s="12"/>
      <c r="S25" s="12">
        <v>29</v>
      </c>
      <c r="T25" s="11"/>
      <c r="U25" s="11"/>
      <c r="V25" s="12"/>
      <c r="W25" s="12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</row>
    <row r="26" spans="1:38" ht="25.05" customHeight="1">
      <c r="B26" s="13"/>
      <c r="C26" s="14"/>
      <c r="D26" s="6"/>
      <c r="E26" s="15" t="s">
        <v>2857</v>
      </c>
      <c r="F26" s="55" t="s">
        <v>229</v>
      </c>
      <c r="G26" s="9">
        <v>0.95833333333333337</v>
      </c>
      <c r="H26" s="9">
        <v>0.96527777777777779</v>
      </c>
      <c r="I26" s="10">
        <f t="shared" si="0"/>
        <v>6.9444444444444198E-3</v>
      </c>
      <c r="J26" s="11">
        <v>2</v>
      </c>
      <c r="K26" s="11">
        <v>11</v>
      </c>
      <c r="L26" s="16">
        <f t="shared" si="1"/>
        <v>33.000000000000121</v>
      </c>
      <c r="M26" s="11">
        <v>10</v>
      </c>
      <c r="N26" s="11"/>
      <c r="O26" s="11"/>
      <c r="P26" s="11"/>
      <c r="Q26" s="11"/>
      <c r="R26" s="12"/>
      <c r="S26" s="12"/>
      <c r="T26" s="11"/>
      <c r="U26" s="11"/>
      <c r="V26" s="12"/>
      <c r="W26" s="12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</row>
    <row r="27" spans="1:38" ht="25.05" customHeight="1">
      <c r="B27" s="13"/>
      <c r="C27" s="14"/>
      <c r="D27" s="6"/>
      <c r="E27" s="15" t="s">
        <v>2858</v>
      </c>
      <c r="F27" s="55" t="s">
        <v>2859</v>
      </c>
      <c r="G27" s="9">
        <v>46083.118055555555</v>
      </c>
      <c r="H27" s="9">
        <v>46083.208333333336</v>
      </c>
      <c r="I27" s="10">
        <f t="shared" si="0"/>
        <v>9.0277777781011537E-2</v>
      </c>
      <c r="J27" s="11">
        <v>7</v>
      </c>
      <c r="K27" s="11">
        <f>14.5*5.5</f>
        <v>79.75</v>
      </c>
      <c r="L27" s="16">
        <f t="shared" si="1"/>
        <v>5.2582417580534075</v>
      </c>
      <c r="M27" s="11"/>
      <c r="N27" s="11"/>
      <c r="O27" s="11"/>
      <c r="P27" s="11"/>
      <c r="Q27" s="11"/>
      <c r="R27" s="12"/>
      <c r="S27" s="12">
        <v>130</v>
      </c>
      <c r="T27" s="11"/>
      <c r="U27" s="11"/>
      <c r="V27" s="12"/>
      <c r="W27" s="12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</row>
    <row r="28" spans="1:38" ht="25.05" customHeight="1">
      <c r="B28" s="13"/>
      <c r="C28" s="14"/>
      <c r="D28" s="6"/>
      <c r="E28" s="15" t="s">
        <v>2860</v>
      </c>
      <c r="F28" s="8" t="s">
        <v>42</v>
      </c>
      <c r="G28" s="9">
        <v>46083.215277777781</v>
      </c>
      <c r="H28" s="9">
        <v>46083.236111111109</v>
      </c>
      <c r="I28" s="10">
        <f t="shared" si="0"/>
        <v>2.0833333328482695E-2</v>
      </c>
      <c r="J28" s="11">
        <v>6</v>
      </c>
      <c r="K28" s="11">
        <v>50</v>
      </c>
      <c r="L28" s="16">
        <f t="shared" si="1"/>
        <v>16.666666670547176</v>
      </c>
      <c r="M28" s="11"/>
      <c r="N28" s="11"/>
      <c r="O28" s="11"/>
      <c r="P28" s="11"/>
      <c r="Q28" s="11"/>
      <c r="R28" s="12"/>
      <c r="S28" s="12">
        <v>30</v>
      </c>
      <c r="T28" s="11"/>
      <c r="U28" s="11"/>
      <c r="V28" s="12"/>
      <c r="W28" s="12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</row>
    <row r="29" spans="1:38" ht="25.05" customHeight="1">
      <c r="B29" s="13"/>
      <c r="C29" s="14"/>
      <c r="D29" s="6"/>
      <c r="E29" s="15"/>
      <c r="F29" s="55"/>
      <c r="G29" s="9"/>
      <c r="H29" s="9"/>
      <c r="I29" s="10">
        <f t="shared" si="0"/>
        <v>0</v>
      </c>
      <c r="J29" s="11"/>
      <c r="K29" s="11"/>
      <c r="L29" s="16" t="str">
        <f t="shared" si="1"/>
        <v>0</v>
      </c>
      <c r="M29" s="11"/>
      <c r="N29" s="11"/>
      <c r="O29" s="11"/>
      <c r="P29" s="11"/>
      <c r="Q29" s="11"/>
      <c r="R29" s="12"/>
      <c r="S29" s="12"/>
      <c r="T29" s="11"/>
      <c r="U29" s="11"/>
      <c r="V29" s="12"/>
      <c r="W29" s="12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</row>
    <row r="30" spans="1:38" s="28" customFormat="1" ht="25.05" customHeight="1">
      <c r="A30" s="2"/>
      <c r="B30" s="21"/>
      <c r="C30" s="22"/>
      <c r="D30" s="23"/>
      <c r="E30" s="24"/>
      <c r="F30" s="24"/>
      <c r="G30" s="25"/>
      <c r="H30" s="25"/>
      <c r="I30" s="26"/>
      <c r="J30" s="27"/>
      <c r="K30" s="27">
        <f t="shared" ref="K30:AI30" si="2">SUM(K4:K25)</f>
        <v>1874.2799999999997</v>
      </c>
      <c r="L30" s="39">
        <f t="shared" si="2"/>
        <v>1557.4859399018474</v>
      </c>
      <c r="M30" s="27">
        <f t="shared" si="2"/>
        <v>291</v>
      </c>
      <c r="N30" s="27">
        <f t="shared" si="2"/>
        <v>0</v>
      </c>
      <c r="O30" s="27">
        <f t="shared" si="2"/>
        <v>0</v>
      </c>
      <c r="P30" s="27">
        <f t="shared" si="2"/>
        <v>0</v>
      </c>
      <c r="Q30" s="27">
        <f t="shared" si="2"/>
        <v>69</v>
      </c>
      <c r="R30" s="27">
        <f t="shared" si="2"/>
        <v>99</v>
      </c>
      <c r="S30" s="27">
        <f t="shared" si="2"/>
        <v>376</v>
      </c>
      <c r="T30" s="27">
        <f t="shared" si="2"/>
        <v>0</v>
      </c>
      <c r="U30" s="27">
        <f t="shared" si="2"/>
        <v>0</v>
      </c>
      <c r="V30" s="27">
        <f t="shared" si="2"/>
        <v>0</v>
      </c>
      <c r="W30" s="27">
        <f t="shared" si="2"/>
        <v>0</v>
      </c>
      <c r="X30" s="27">
        <f t="shared" si="2"/>
        <v>0</v>
      </c>
      <c r="Y30" s="27">
        <f t="shared" si="2"/>
        <v>0</v>
      </c>
      <c r="Z30" s="27">
        <f t="shared" si="2"/>
        <v>0</v>
      </c>
      <c r="AA30" s="27">
        <f t="shared" si="2"/>
        <v>0</v>
      </c>
      <c r="AB30" s="27">
        <f t="shared" si="2"/>
        <v>0</v>
      </c>
      <c r="AC30" s="27">
        <f t="shared" si="2"/>
        <v>0</v>
      </c>
      <c r="AD30" s="27">
        <f t="shared" si="2"/>
        <v>0</v>
      </c>
      <c r="AE30" s="27">
        <f t="shared" si="2"/>
        <v>0</v>
      </c>
      <c r="AF30" s="27">
        <f t="shared" si="2"/>
        <v>0</v>
      </c>
      <c r="AG30" s="27">
        <f t="shared" si="2"/>
        <v>0</v>
      </c>
      <c r="AH30" s="27">
        <f t="shared" si="2"/>
        <v>0</v>
      </c>
      <c r="AI30" s="27">
        <f t="shared" si="2"/>
        <v>0</v>
      </c>
      <c r="AJ30" s="27">
        <f>SUM(AJ4:AJ25)</f>
        <v>0</v>
      </c>
      <c r="AK30" s="27">
        <f>SUM(AK4:AK25)</f>
        <v>0</v>
      </c>
      <c r="AL30" s="27">
        <f>SUM(AL4:AL25)</f>
        <v>0</v>
      </c>
    </row>
    <row r="31" spans="1:38" ht="25.05" customHeight="1">
      <c r="B31" s="13"/>
      <c r="C31" s="14" t="s">
        <v>43</v>
      </c>
      <c r="D31" s="6"/>
      <c r="E31" s="7" t="s">
        <v>41</v>
      </c>
      <c r="F31" s="8" t="s">
        <v>42</v>
      </c>
      <c r="G31" s="9"/>
      <c r="H31" s="9"/>
      <c r="I31" s="10">
        <f>H31-G31</f>
        <v>0</v>
      </c>
      <c r="J31" s="11"/>
      <c r="K31" s="11"/>
      <c r="L31" s="16" t="str">
        <f>IFERROR(((K31/(J31*I31)/24)),"0")</f>
        <v>0</v>
      </c>
      <c r="M31" s="11"/>
      <c r="N31" s="11"/>
      <c r="O31" s="11"/>
      <c r="P31" s="11"/>
      <c r="Q31" s="11"/>
      <c r="R31" s="12"/>
      <c r="S31" s="12"/>
      <c r="T31" s="11"/>
      <c r="U31" s="11"/>
      <c r="V31" s="12"/>
      <c r="W31" s="12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</row>
    <row r="32" spans="1:38" ht="25.05" customHeight="1">
      <c r="B32" s="13"/>
      <c r="C32" s="14"/>
      <c r="D32" s="18"/>
      <c r="E32" s="6"/>
      <c r="F32" s="14"/>
      <c r="G32" s="9"/>
      <c r="H32" s="9"/>
      <c r="I32" s="10"/>
      <c r="J32" s="11"/>
      <c r="K32" s="11"/>
      <c r="L32" s="16"/>
      <c r="M32" s="11"/>
      <c r="N32" s="11"/>
      <c r="O32" s="11"/>
      <c r="P32" s="11"/>
      <c r="Q32" s="11"/>
      <c r="R32" s="12"/>
      <c r="S32" s="12"/>
      <c r="T32" s="11"/>
      <c r="U32" s="11"/>
      <c r="V32" s="12"/>
      <c r="W32" s="12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</row>
    <row r="33" spans="1:38" s="28" customFormat="1" ht="25.05" customHeight="1">
      <c r="A33" s="2"/>
      <c r="B33" s="21"/>
      <c r="C33" s="22"/>
      <c r="D33" s="23"/>
      <c r="E33" s="24"/>
      <c r="F33" s="22"/>
      <c r="G33" s="25"/>
      <c r="H33" s="25"/>
      <c r="I33" s="26"/>
      <c r="J33" s="27"/>
      <c r="K33" s="27">
        <f t="shared" ref="K33:AI33" si="3">SUM(K31:K32)</f>
        <v>0</v>
      </c>
      <c r="L33" s="27">
        <f t="shared" si="3"/>
        <v>0</v>
      </c>
      <c r="M33" s="27">
        <f t="shared" si="3"/>
        <v>0</v>
      </c>
      <c r="N33" s="27">
        <f t="shared" si="3"/>
        <v>0</v>
      </c>
      <c r="O33" s="27">
        <f t="shared" si="3"/>
        <v>0</v>
      </c>
      <c r="P33" s="27">
        <f t="shared" si="3"/>
        <v>0</v>
      </c>
      <c r="Q33" s="27">
        <f t="shared" si="3"/>
        <v>0</v>
      </c>
      <c r="R33" s="27">
        <f t="shared" si="3"/>
        <v>0</v>
      </c>
      <c r="S33" s="27">
        <f t="shared" si="3"/>
        <v>0</v>
      </c>
      <c r="T33" s="27">
        <f t="shared" si="3"/>
        <v>0</v>
      </c>
      <c r="U33" s="27">
        <f t="shared" si="3"/>
        <v>0</v>
      </c>
      <c r="V33" s="27">
        <f t="shared" si="3"/>
        <v>0</v>
      </c>
      <c r="W33" s="27">
        <f t="shared" si="3"/>
        <v>0</v>
      </c>
      <c r="X33" s="27">
        <f t="shared" si="3"/>
        <v>0</v>
      </c>
      <c r="Y33" s="27">
        <f t="shared" si="3"/>
        <v>0</v>
      </c>
      <c r="Z33" s="27">
        <f t="shared" si="3"/>
        <v>0</v>
      </c>
      <c r="AA33" s="27">
        <f t="shared" si="3"/>
        <v>0</v>
      </c>
      <c r="AB33" s="27">
        <f t="shared" si="3"/>
        <v>0</v>
      </c>
      <c r="AC33" s="27">
        <f t="shared" si="3"/>
        <v>0</v>
      </c>
      <c r="AD33" s="27">
        <f t="shared" si="3"/>
        <v>0</v>
      </c>
      <c r="AE33" s="27">
        <f t="shared" si="3"/>
        <v>0</v>
      </c>
      <c r="AF33" s="27">
        <f t="shared" si="3"/>
        <v>0</v>
      </c>
      <c r="AG33" s="27">
        <f t="shared" si="3"/>
        <v>0</v>
      </c>
      <c r="AH33" s="27">
        <f t="shared" si="3"/>
        <v>0</v>
      </c>
      <c r="AI33" s="27">
        <f t="shared" si="3"/>
        <v>0</v>
      </c>
      <c r="AJ33" s="27"/>
      <c r="AK33" s="27">
        <f>SUM(AK31:AK32)</f>
        <v>0</v>
      </c>
      <c r="AL33" s="27">
        <f>SUM(AL31:AL32)</f>
        <v>0</v>
      </c>
    </row>
    <row r="34" spans="1:38" ht="25.05" customHeight="1">
      <c r="B34" s="5"/>
      <c r="C34" s="29" t="s">
        <v>44</v>
      </c>
      <c r="D34" s="30"/>
      <c r="E34" s="7" t="s">
        <v>41</v>
      </c>
      <c r="F34" s="8" t="s">
        <v>42</v>
      </c>
      <c r="G34" s="9">
        <v>0.79166666666666663</v>
      </c>
      <c r="H34" s="9">
        <v>0.83333333333333337</v>
      </c>
      <c r="I34" s="10">
        <f t="shared" ref="I34:I48" si="4">H34-G34</f>
        <v>4.1666666666666741E-2</v>
      </c>
      <c r="J34" s="11"/>
      <c r="K34" s="11"/>
      <c r="L34" s="16" t="str">
        <f t="shared" ref="L34:L47" si="5">IFERROR(((K34/(J34*I34)/24)),"0")</f>
        <v>0</v>
      </c>
      <c r="M34" s="11"/>
      <c r="N34" s="11"/>
      <c r="O34" s="11"/>
      <c r="P34" s="11"/>
      <c r="Q34" s="11"/>
      <c r="R34" s="12"/>
      <c r="S34" s="12"/>
      <c r="T34" s="11"/>
      <c r="U34" s="11"/>
      <c r="V34" s="12"/>
      <c r="W34" s="12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4"/>
    </row>
    <row r="35" spans="1:38" ht="25.05" customHeight="1">
      <c r="B35" s="13"/>
      <c r="C35" s="29"/>
      <c r="D35" s="6" t="s">
        <v>2120</v>
      </c>
      <c r="E35" s="123" t="s">
        <v>2149</v>
      </c>
      <c r="F35" s="8" t="s">
        <v>42</v>
      </c>
      <c r="G35" s="9">
        <v>0.94652777777777775</v>
      </c>
      <c r="H35" s="9">
        <v>0.96180555555555558</v>
      </c>
      <c r="I35" s="10">
        <f t="shared" si="4"/>
        <v>1.5277777777777835E-2</v>
      </c>
      <c r="J35" s="11">
        <v>4</v>
      </c>
      <c r="K35" s="11">
        <v>138.41</v>
      </c>
      <c r="L35" s="16">
        <f t="shared" si="5"/>
        <v>94.370454545454194</v>
      </c>
      <c r="M35" s="11"/>
      <c r="N35" s="11"/>
      <c r="O35" s="11"/>
      <c r="P35" s="11"/>
      <c r="Q35" s="11"/>
      <c r="R35" s="12"/>
      <c r="S35" s="12"/>
      <c r="T35" s="11"/>
      <c r="U35" s="11"/>
      <c r="V35" s="12">
        <v>2</v>
      </c>
      <c r="W35" s="12"/>
      <c r="X35" s="11"/>
      <c r="Y35" s="11"/>
      <c r="Z35" s="11"/>
      <c r="AA35" s="11"/>
      <c r="AB35" s="11">
        <v>22</v>
      </c>
      <c r="AC35" s="11"/>
      <c r="AD35" s="11"/>
      <c r="AE35" s="11"/>
      <c r="AF35" s="11"/>
      <c r="AG35" s="11"/>
      <c r="AH35" s="11"/>
      <c r="AI35" s="11"/>
      <c r="AJ35" s="11"/>
      <c r="AK35" s="11"/>
      <c r="AL35" s="14"/>
    </row>
    <row r="36" spans="1:38" ht="25.05" customHeight="1">
      <c r="B36" s="13"/>
      <c r="C36" s="29"/>
      <c r="D36" s="30"/>
      <c r="E36" s="123" t="s">
        <v>2348</v>
      </c>
      <c r="F36" s="8" t="s">
        <v>42</v>
      </c>
      <c r="G36" s="9">
        <v>0.96875</v>
      </c>
      <c r="H36" s="9">
        <v>0.98472222222222228</v>
      </c>
      <c r="I36" s="10">
        <f t="shared" si="4"/>
        <v>1.5972222222222276E-2</v>
      </c>
      <c r="J36" s="11">
        <v>4</v>
      </c>
      <c r="K36" s="11">
        <v>137.69999999999999</v>
      </c>
      <c r="L36" s="16">
        <f t="shared" si="5"/>
        <v>89.804347826086641</v>
      </c>
      <c r="M36" s="11"/>
      <c r="N36" s="11"/>
      <c r="O36" s="11"/>
      <c r="P36" s="11"/>
      <c r="Q36" s="11"/>
      <c r="R36" s="12"/>
      <c r="S36" s="12"/>
      <c r="T36" s="11"/>
      <c r="U36" s="11"/>
      <c r="V36" s="12"/>
      <c r="W36" s="12">
        <v>2</v>
      </c>
      <c r="X36" s="11"/>
      <c r="Y36" s="11"/>
      <c r="Z36" s="11"/>
      <c r="AA36" s="11"/>
      <c r="AB36" s="11"/>
      <c r="AC36" s="11">
        <v>23</v>
      </c>
      <c r="AD36" s="11"/>
      <c r="AE36" s="11"/>
      <c r="AF36" s="11"/>
      <c r="AG36" s="11"/>
      <c r="AH36" s="11"/>
      <c r="AI36" s="11"/>
      <c r="AJ36" s="11"/>
      <c r="AK36" s="11"/>
      <c r="AL36" s="14"/>
    </row>
    <row r="37" spans="1:38" ht="25.05" customHeight="1">
      <c r="B37" s="13"/>
      <c r="C37" s="29"/>
      <c r="D37" s="30"/>
      <c r="E37" s="123" t="s">
        <v>2349</v>
      </c>
      <c r="F37" s="8" t="s">
        <v>42</v>
      </c>
      <c r="G37" s="9">
        <v>0.97083333333333333</v>
      </c>
      <c r="H37" s="9">
        <v>0.98541666666666672</v>
      </c>
      <c r="I37" s="10">
        <f t="shared" si="4"/>
        <v>1.4583333333333393E-2</v>
      </c>
      <c r="J37" s="11">
        <v>4</v>
      </c>
      <c r="K37" s="11">
        <v>138.30000000000001</v>
      </c>
      <c r="L37" s="16">
        <f t="shared" si="5"/>
        <v>98.785714285713894</v>
      </c>
      <c r="M37" s="11"/>
      <c r="N37" s="11"/>
      <c r="O37" s="11"/>
      <c r="P37" s="11"/>
      <c r="Q37" s="11"/>
      <c r="R37" s="12"/>
      <c r="S37" s="12"/>
      <c r="T37" s="11"/>
      <c r="U37" s="11"/>
      <c r="V37" s="12">
        <v>2</v>
      </c>
      <c r="W37" s="12"/>
      <c r="X37" s="11"/>
      <c r="Y37" s="11"/>
      <c r="Z37" s="11"/>
      <c r="AA37" s="11"/>
      <c r="AB37" s="11">
        <v>21</v>
      </c>
      <c r="AC37" s="11"/>
      <c r="AD37" s="11"/>
      <c r="AE37" s="11"/>
      <c r="AF37" s="11"/>
      <c r="AG37" s="11"/>
      <c r="AH37" s="11"/>
      <c r="AI37" s="11"/>
      <c r="AJ37" s="11"/>
      <c r="AK37" s="11"/>
      <c r="AL37" s="14"/>
    </row>
    <row r="38" spans="1:38" ht="25.05" customHeight="1">
      <c r="B38" s="13"/>
      <c r="C38" s="29"/>
      <c r="D38" s="30"/>
      <c r="E38" s="123" t="s">
        <v>2350</v>
      </c>
      <c r="F38" s="8" t="s">
        <v>42</v>
      </c>
      <c r="G38" s="9">
        <v>0.98819444444444449</v>
      </c>
      <c r="H38" s="9">
        <v>1.0062500000000001</v>
      </c>
      <c r="I38" s="10">
        <f t="shared" si="4"/>
        <v>1.8055555555555602E-2</v>
      </c>
      <c r="J38" s="11">
        <v>4</v>
      </c>
      <c r="K38" s="11">
        <v>137.6</v>
      </c>
      <c r="L38" s="16">
        <f t="shared" si="5"/>
        <v>79.384615384615174</v>
      </c>
      <c r="M38" s="11"/>
      <c r="N38" s="11"/>
      <c r="O38" s="11"/>
      <c r="P38" s="11"/>
      <c r="Q38" s="11"/>
      <c r="R38" s="12"/>
      <c r="S38" s="12"/>
      <c r="T38" s="11"/>
      <c r="U38" s="11"/>
      <c r="V38" s="12"/>
      <c r="W38" s="12">
        <v>2</v>
      </c>
      <c r="X38" s="11"/>
      <c r="Y38" s="11"/>
      <c r="Z38" s="11"/>
      <c r="AA38" s="11"/>
      <c r="AB38" s="11"/>
      <c r="AC38" s="11"/>
      <c r="AD38" s="11">
        <v>26</v>
      </c>
      <c r="AE38" s="11"/>
      <c r="AF38" s="11"/>
      <c r="AG38" s="11"/>
      <c r="AH38" s="11"/>
      <c r="AI38" s="11"/>
      <c r="AJ38" s="11"/>
      <c r="AK38" s="11"/>
      <c r="AL38" s="14"/>
    </row>
    <row r="39" spans="1:38" ht="25.05" customHeight="1">
      <c r="B39" s="13"/>
      <c r="C39" s="29"/>
      <c r="D39" s="30"/>
      <c r="E39" s="123" t="s">
        <v>2351</v>
      </c>
      <c r="F39" s="8" t="s">
        <v>42</v>
      </c>
      <c r="G39" s="9">
        <v>0.99305555555555558</v>
      </c>
      <c r="H39" s="9">
        <v>1.0083333333333333</v>
      </c>
      <c r="I39" s="10">
        <f t="shared" si="4"/>
        <v>1.5277777777777724E-2</v>
      </c>
      <c r="J39" s="11">
        <v>4</v>
      </c>
      <c r="K39" s="11">
        <v>138.28</v>
      </c>
      <c r="L39" s="16">
        <f t="shared" si="5"/>
        <v>94.281818181818508</v>
      </c>
      <c r="M39" s="11"/>
      <c r="N39" s="11"/>
      <c r="O39" s="11"/>
      <c r="P39" s="11"/>
      <c r="Q39" s="11"/>
      <c r="R39" s="12"/>
      <c r="S39" s="12"/>
      <c r="T39" s="11"/>
      <c r="U39" s="11"/>
      <c r="V39" s="12">
        <v>2</v>
      </c>
      <c r="W39" s="12"/>
      <c r="X39" s="11"/>
      <c r="Y39" s="11"/>
      <c r="Z39" s="11"/>
      <c r="AA39" s="11"/>
      <c r="AB39" s="11">
        <v>22</v>
      </c>
      <c r="AC39" s="11"/>
      <c r="AD39" s="11"/>
      <c r="AE39" s="11"/>
      <c r="AF39" s="11"/>
      <c r="AG39" s="11"/>
      <c r="AH39" s="11"/>
      <c r="AI39" s="11"/>
      <c r="AJ39" s="11"/>
      <c r="AK39" s="11"/>
      <c r="AL39" s="14"/>
    </row>
    <row r="40" spans="1:38" ht="25.05" customHeight="1">
      <c r="B40" s="13"/>
      <c r="C40" s="29"/>
      <c r="D40" s="30"/>
      <c r="E40" s="123" t="s">
        <v>2352</v>
      </c>
      <c r="F40" s="8" t="s">
        <v>42</v>
      </c>
      <c r="G40" s="9">
        <v>0.99722222222222223</v>
      </c>
      <c r="H40" s="9">
        <v>1.0131944444444445</v>
      </c>
      <c r="I40" s="10">
        <f t="shared" si="4"/>
        <v>1.5972222222222276E-2</v>
      </c>
      <c r="J40" s="11">
        <v>4</v>
      </c>
      <c r="K40" s="11">
        <v>138.28</v>
      </c>
      <c r="L40" s="16">
        <f t="shared" si="5"/>
        <v>90.182608695651865</v>
      </c>
      <c r="M40" s="11"/>
      <c r="N40" s="11"/>
      <c r="O40" s="11"/>
      <c r="P40" s="11"/>
      <c r="Q40" s="11"/>
      <c r="R40" s="12"/>
      <c r="S40" s="12"/>
      <c r="T40" s="11"/>
      <c r="U40" s="11"/>
      <c r="V40" s="12"/>
      <c r="W40" s="12">
        <v>2</v>
      </c>
      <c r="X40" s="11"/>
      <c r="Y40" s="11"/>
      <c r="Z40" s="11"/>
      <c r="AA40" s="11"/>
      <c r="AB40" s="11"/>
      <c r="AC40" s="11">
        <v>23</v>
      </c>
      <c r="AD40" s="11"/>
      <c r="AE40" s="11"/>
      <c r="AF40" s="11"/>
      <c r="AG40" s="11"/>
      <c r="AH40" s="11"/>
      <c r="AI40" s="11"/>
      <c r="AJ40" s="11"/>
      <c r="AK40" s="11"/>
      <c r="AL40" s="14"/>
    </row>
    <row r="41" spans="1:38" ht="25.05" customHeight="1">
      <c r="B41" s="13"/>
      <c r="C41" s="29"/>
      <c r="D41" s="30"/>
      <c r="E41" s="123" t="s">
        <v>2353</v>
      </c>
      <c r="F41" s="8" t="s">
        <v>42</v>
      </c>
      <c r="G41" s="9">
        <v>7.7777777777777779E-2</v>
      </c>
      <c r="H41" s="9">
        <v>9.3055555555555558E-2</v>
      </c>
      <c r="I41" s="10">
        <f t="shared" si="4"/>
        <v>1.5277777777777779E-2</v>
      </c>
      <c r="J41" s="11">
        <v>4</v>
      </c>
      <c r="K41" s="11">
        <v>136.91999999999999</v>
      </c>
      <c r="L41" s="16">
        <f t="shared" si="5"/>
        <v>93.354545454545431</v>
      </c>
      <c r="M41" s="11"/>
      <c r="N41" s="11"/>
      <c r="O41" s="11"/>
      <c r="P41" s="11"/>
      <c r="Q41" s="11"/>
      <c r="R41" s="12"/>
      <c r="S41" s="12"/>
      <c r="T41" s="11"/>
      <c r="U41" s="11"/>
      <c r="V41" s="12">
        <v>2</v>
      </c>
      <c r="W41" s="12"/>
      <c r="X41" s="11"/>
      <c r="Y41" s="11"/>
      <c r="Z41" s="11"/>
      <c r="AA41" s="11"/>
      <c r="AB41" s="11"/>
      <c r="AC41" s="11"/>
      <c r="AD41" s="11">
        <v>23</v>
      </c>
      <c r="AE41" s="11"/>
      <c r="AF41" s="11"/>
      <c r="AG41" s="11"/>
      <c r="AH41" s="11"/>
      <c r="AI41" s="11"/>
      <c r="AJ41" s="11"/>
      <c r="AK41" s="11"/>
      <c r="AL41" s="14"/>
    </row>
    <row r="42" spans="1:38" ht="25.05" customHeight="1">
      <c r="B42" s="13"/>
      <c r="C42" s="29"/>
      <c r="D42" s="30"/>
      <c r="E42" s="123" t="s">
        <v>2354</v>
      </c>
      <c r="F42" s="8" t="s">
        <v>42</v>
      </c>
      <c r="G42" s="9">
        <v>7.8472222222222221E-2</v>
      </c>
      <c r="H42" s="9">
        <v>9.3055555555555558E-2</v>
      </c>
      <c r="I42" s="10">
        <f t="shared" si="4"/>
        <v>1.4583333333333337E-2</v>
      </c>
      <c r="J42" s="11">
        <v>4</v>
      </c>
      <c r="K42" s="11">
        <v>139.72</v>
      </c>
      <c r="L42" s="16">
        <f t="shared" si="5"/>
        <v>99.799999999999969</v>
      </c>
      <c r="M42" s="11"/>
      <c r="N42" s="11"/>
      <c r="O42" s="11"/>
      <c r="P42" s="11"/>
      <c r="Q42" s="11"/>
      <c r="R42" s="12"/>
      <c r="S42" s="12"/>
      <c r="T42" s="11"/>
      <c r="U42" s="11"/>
      <c r="V42" s="12"/>
      <c r="W42" s="12">
        <v>2</v>
      </c>
      <c r="X42" s="11"/>
      <c r="Y42" s="11"/>
      <c r="Z42" s="11"/>
      <c r="AA42" s="11"/>
      <c r="AB42" s="11">
        <v>22</v>
      </c>
      <c r="AC42" s="11"/>
      <c r="AD42" s="11"/>
      <c r="AE42" s="11"/>
      <c r="AF42" s="11"/>
      <c r="AG42" s="11"/>
      <c r="AH42" s="11"/>
      <c r="AI42" s="11"/>
      <c r="AJ42" s="11"/>
      <c r="AK42" s="11"/>
      <c r="AL42" s="14"/>
    </row>
    <row r="43" spans="1:38" ht="25.05" customHeight="1">
      <c r="B43" s="13"/>
      <c r="C43" s="29"/>
      <c r="D43" s="30"/>
      <c r="E43" s="123" t="s">
        <v>2355</v>
      </c>
      <c r="F43" s="8" t="s">
        <v>42</v>
      </c>
      <c r="G43" s="9">
        <v>7.9861111111111105E-2</v>
      </c>
      <c r="H43" s="9">
        <v>9.375E-2</v>
      </c>
      <c r="I43" s="10">
        <f t="shared" si="4"/>
        <v>1.3888888888888895E-2</v>
      </c>
      <c r="J43" s="11">
        <v>4</v>
      </c>
      <c r="K43" s="11">
        <v>137.35</v>
      </c>
      <c r="L43" s="16">
        <f t="shared" si="5"/>
        <v>103.01249999999995</v>
      </c>
      <c r="M43" s="11"/>
      <c r="N43" s="11"/>
      <c r="O43" s="11"/>
      <c r="P43" s="11"/>
      <c r="Q43" s="11"/>
      <c r="R43" s="12"/>
      <c r="S43" s="12"/>
      <c r="T43" s="11"/>
      <c r="U43" s="11"/>
      <c r="V43" s="12">
        <v>2</v>
      </c>
      <c r="W43" s="12"/>
      <c r="X43" s="11"/>
      <c r="Y43" s="11"/>
      <c r="Z43" s="11"/>
      <c r="AA43" s="11"/>
      <c r="AB43" s="11"/>
      <c r="AC43" s="11">
        <v>20</v>
      </c>
      <c r="AD43" s="11"/>
      <c r="AE43" s="11"/>
      <c r="AF43" s="11"/>
      <c r="AG43" s="11"/>
      <c r="AH43" s="11"/>
      <c r="AI43" s="11"/>
      <c r="AJ43" s="11"/>
      <c r="AK43" s="11"/>
      <c r="AL43" s="14"/>
    </row>
    <row r="44" spans="1:38" ht="25.05" customHeight="1">
      <c r="B44" s="13"/>
      <c r="C44" s="29"/>
      <c r="D44" s="30"/>
      <c r="E44" s="123" t="s">
        <v>2356</v>
      </c>
      <c r="F44" s="8" t="s">
        <v>42</v>
      </c>
      <c r="G44" s="9">
        <v>0.10625</v>
      </c>
      <c r="H44" s="9">
        <v>0.11736111111111111</v>
      </c>
      <c r="I44" s="10">
        <f t="shared" si="4"/>
        <v>1.1111111111111113E-2</v>
      </c>
      <c r="J44" s="11">
        <v>4</v>
      </c>
      <c r="K44" s="11">
        <v>138.91999999999999</v>
      </c>
      <c r="L44" s="16">
        <f t="shared" si="5"/>
        <v>130.23749999999995</v>
      </c>
      <c r="M44" s="11"/>
      <c r="N44" s="11"/>
      <c r="O44" s="11"/>
      <c r="P44" s="11"/>
      <c r="Q44" s="11"/>
      <c r="R44" s="12"/>
      <c r="S44" s="12"/>
      <c r="T44" s="11"/>
      <c r="U44" s="11"/>
      <c r="V44" s="12"/>
      <c r="W44" s="12">
        <v>2</v>
      </c>
      <c r="X44" s="11"/>
      <c r="Y44" s="11"/>
      <c r="Z44" s="11"/>
      <c r="AA44" s="11"/>
      <c r="AB44" s="11">
        <v>16</v>
      </c>
      <c r="AC44" s="11"/>
      <c r="AD44" s="11"/>
      <c r="AE44" s="11"/>
      <c r="AF44" s="11"/>
      <c r="AG44" s="11"/>
      <c r="AH44" s="11"/>
      <c r="AI44" s="11"/>
      <c r="AJ44" s="11"/>
      <c r="AK44" s="11"/>
      <c r="AL44" s="14"/>
    </row>
    <row r="45" spans="1:38" ht="25.05" customHeight="1">
      <c r="B45" s="13"/>
      <c r="C45" s="29"/>
      <c r="D45" s="30"/>
      <c r="E45" s="123" t="s">
        <v>2357</v>
      </c>
      <c r="F45" s="8" t="s">
        <v>42</v>
      </c>
      <c r="G45" s="9">
        <v>0.1076388888888889</v>
      </c>
      <c r="H45" s="9">
        <v>0.12013888888888889</v>
      </c>
      <c r="I45" s="10">
        <f t="shared" si="4"/>
        <v>1.2499999999999997E-2</v>
      </c>
      <c r="J45" s="11">
        <v>4</v>
      </c>
      <c r="K45" s="11">
        <v>139.31</v>
      </c>
      <c r="L45" s="16">
        <f t="shared" si="5"/>
        <v>116.0916666666667</v>
      </c>
      <c r="M45" s="11"/>
      <c r="N45" s="11"/>
      <c r="O45" s="11"/>
      <c r="P45" s="11"/>
      <c r="Q45" s="11"/>
      <c r="R45" s="12"/>
      <c r="S45" s="12"/>
      <c r="T45" s="11"/>
      <c r="U45" s="11"/>
      <c r="V45" s="12">
        <v>2</v>
      </c>
      <c r="W45" s="12"/>
      <c r="X45" s="11"/>
      <c r="Y45" s="11"/>
      <c r="Z45" s="11"/>
      <c r="AA45" s="11"/>
      <c r="AB45" s="11"/>
      <c r="AC45" s="11">
        <v>18</v>
      </c>
      <c r="AD45" s="11"/>
      <c r="AE45" s="11"/>
      <c r="AF45" s="11"/>
      <c r="AG45" s="11"/>
      <c r="AH45" s="11"/>
      <c r="AI45" s="11"/>
      <c r="AJ45" s="11"/>
      <c r="AK45" s="11"/>
      <c r="AL45" s="14"/>
    </row>
    <row r="46" spans="1:38" ht="25.05" customHeight="1">
      <c r="B46" s="13"/>
      <c r="C46" s="29"/>
      <c r="D46" s="30"/>
      <c r="E46" s="19" t="s">
        <v>2861</v>
      </c>
      <c r="F46" s="8" t="s">
        <v>42</v>
      </c>
      <c r="G46" s="9">
        <v>0.87361111111111112</v>
      </c>
      <c r="H46" s="9">
        <v>0.87916666666666665</v>
      </c>
      <c r="I46" s="10">
        <f t="shared" si="4"/>
        <v>5.5555555555555358E-3</v>
      </c>
      <c r="J46" s="11">
        <v>4</v>
      </c>
      <c r="K46" s="11">
        <f>5*12</f>
        <v>60</v>
      </c>
      <c r="L46" s="16">
        <f t="shared" si="5"/>
        <v>112.5000000000004</v>
      </c>
      <c r="M46" s="11"/>
      <c r="N46" s="11"/>
      <c r="O46" s="11"/>
      <c r="P46" s="11"/>
      <c r="Q46" s="11"/>
      <c r="R46" s="12"/>
      <c r="S46" s="12"/>
      <c r="T46" s="11"/>
      <c r="U46" s="11"/>
      <c r="V46" s="12">
        <v>8</v>
      </c>
      <c r="W46" s="12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4"/>
    </row>
    <row r="47" spans="1:38" ht="25.05" customHeight="1">
      <c r="B47" s="13"/>
      <c r="C47" s="29"/>
      <c r="D47" s="30"/>
      <c r="E47" s="19"/>
      <c r="F47" s="8" t="s">
        <v>42</v>
      </c>
      <c r="G47" s="9"/>
      <c r="H47" s="9"/>
      <c r="I47" s="10">
        <f t="shared" si="4"/>
        <v>0</v>
      </c>
      <c r="J47" s="11"/>
      <c r="K47" s="11"/>
      <c r="L47" s="16" t="str">
        <f t="shared" si="5"/>
        <v>0</v>
      </c>
      <c r="M47" s="11"/>
      <c r="N47" s="11"/>
      <c r="O47" s="11"/>
      <c r="P47" s="11"/>
      <c r="Q47" s="11"/>
      <c r="R47" s="12"/>
      <c r="S47" s="12"/>
      <c r="T47" s="11"/>
      <c r="U47" s="11"/>
      <c r="V47" s="12"/>
      <c r="W47" s="12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4"/>
    </row>
    <row r="48" spans="1:38" ht="25.05" customHeight="1">
      <c r="B48" s="13"/>
      <c r="C48" s="29"/>
      <c r="D48" s="6" t="s">
        <v>1669</v>
      </c>
      <c r="E48" s="19" t="s">
        <v>476</v>
      </c>
      <c r="F48" s="14"/>
      <c r="G48" s="9">
        <v>0.85</v>
      </c>
      <c r="H48" s="9">
        <v>0.89097222222222228</v>
      </c>
      <c r="I48" s="10">
        <f t="shared" si="4"/>
        <v>4.0972222222222299E-2</v>
      </c>
      <c r="J48" s="11">
        <v>5</v>
      </c>
      <c r="K48" s="11">
        <v>103.68</v>
      </c>
      <c r="L48" s="16">
        <f t="shared" ref="L48:L61" si="6">IFERROR(((K48/(J48*I48)/24)),"0")</f>
        <v>21.087457627118606</v>
      </c>
      <c r="M48" s="11"/>
      <c r="N48" s="11"/>
      <c r="O48" s="11"/>
      <c r="P48" s="11"/>
      <c r="Q48" s="11"/>
      <c r="R48" s="12"/>
      <c r="S48" s="12"/>
      <c r="T48" s="11"/>
      <c r="U48" s="11"/>
      <c r="V48" s="12">
        <v>2</v>
      </c>
      <c r="W48" s="12"/>
      <c r="X48" s="11"/>
      <c r="Y48" s="11"/>
      <c r="Z48" s="11"/>
      <c r="AA48" s="11"/>
      <c r="AB48" s="11"/>
      <c r="AC48" s="11"/>
      <c r="AD48" s="11"/>
      <c r="AE48" s="11"/>
      <c r="AF48" s="11"/>
      <c r="AG48" s="11">
        <f>59/4</f>
        <v>14.75</v>
      </c>
      <c r="AH48" s="11">
        <f t="shared" ref="AH48:AJ48" si="7">59/4</f>
        <v>14.75</v>
      </c>
      <c r="AI48" s="11">
        <f t="shared" si="7"/>
        <v>14.75</v>
      </c>
      <c r="AJ48" s="11">
        <f t="shared" si="7"/>
        <v>14.75</v>
      </c>
      <c r="AK48" s="11"/>
      <c r="AL48" s="14"/>
    </row>
    <row r="49" spans="2:38" ht="25.05" customHeight="1">
      <c r="B49" s="13"/>
      <c r="C49" s="29"/>
      <c r="D49" s="30"/>
      <c r="E49" s="19" t="s">
        <v>477</v>
      </c>
      <c r="F49" s="8" t="s">
        <v>42</v>
      </c>
      <c r="G49" s="9">
        <v>0.89166666666666672</v>
      </c>
      <c r="H49" s="9">
        <v>0.92708333333333337</v>
      </c>
      <c r="I49" s="10">
        <f t="shared" ref="I49:I61" si="8">H49-G49</f>
        <v>3.5416666666666652E-2</v>
      </c>
      <c r="J49" s="11">
        <v>5</v>
      </c>
      <c r="K49" s="11">
        <v>104.76</v>
      </c>
      <c r="L49" s="16">
        <f t="shared" si="6"/>
        <v>24.649411764705892</v>
      </c>
      <c r="M49" s="11"/>
      <c r="N49" s="11"/>
      <c r="O49" s="11"/>
      <c r="P49" s="11"/>
      <c r="Q49" s="11"/>
      <c r="R49" s="12"/>
      <c r="S49" s="12"/>
      <c r="T49" s="11"/>
      <c r="U49" s="11"/>
      <c r="V49" s="12"/>
      <c r="W49" s="12">
        <v>2</v>
      </c>
      <c r="X49" s="11"/>
      <c r="Y49" s="11"/>
      <c r="Z49" s="11"/>
      <c r="AA49" s="11"/>
      <c r="AB49" s="11"/>
      <c r="AC49" s="11"/>
      <c r="AD49" s="11"/>
      <c r="AE49" s="11"/>
      <c r="AF49" s="11"/>
      <c r="AG49" s="11">
        <f>51/4</f>
        <v>12.75</v>
      </c>
      <c r="AH49" s="11">
        <f t="shared" ref="AH49:AJ49" si="9">51/4</f>
        <v>12.75</v>
      </c>
      <c r="AI49" s="11">
        <f t="shared" si="9"/>
        <v>12.75</v>
      </c>
      <c r="AJ49" s="11">
        <f t="shared" si="9"/>
        <v>12.75</v>
      </c>
      <c r="AK49" s="11"/>
      <c r="AL49" s="14"/>
    </row>
    <row r="50" spans="2:38" ht="25.05" customHeight="1">
      <c r="B50" s="13"/>
      <c r="C50" s="29"/>
      <c r="D50" s="30"/>
      <c r="E50" s="19" t="s">
        <v>478</v>
      </c>
      <c r="F50" s="8" t="s">
        <v>42</v>
      </c>
      <c r="G50" s="9">
        <v>0.92777777777777781</v>
      </c>
      <c r="H50" s="9">
        <v>0.97361111111111109</v>
      </c>
      <c r="I50" s="10">
        <f t="shared" si="8"/>
        <v>4.5833333333333282E-2</v>
      </c>
      <c r="J50" s="11">
        <v>5</v>
      </c>
      <c r="K50" s="11">
        <v>104.8</v>
      </c>
      <c r="L50" s="16">
        <f t="shared" si="6"/>
        <v>19.054545454545476</v>
      </c>
      <c r="M50" s="11"/>
      <c r="N50" s="11"/>
      <c r="O50" s="11"/>
      <c r="P50" s="11"/>
      <c r="Q50" s="11"/>
      <c r="R50" s="12"/>
      <c r="S50" s="12"/>
      <c r="T50" s="11"/>
      <c r="U50" s="11"/>
      <c r="V50" s="12">
        <v>2</v>
      </c>
      <c r="W50" s="12"/>
      <c r="X50" s="11"/>
      <c r="Y50" s="11"/>
      <c r="Z50" s="11"/>
      <c r="AA50" s="11"/>
      <c r="AB50" s="11"/>
      <c r="AC50" s="11"/>
      <c r="AD50" s="11"/>
      <c r="AE50" s="11"/>
      <c r="AF50" s="11"/>
      <c r="AG50" s="12">
        <v>16.5</v>
      </c>
      <c r="AH50" s="12">
        <v>16.5</v>
      </c>
      <c r="AI50" s="12">
        <v>16.5</v>
      </c>
      <c r="AJ50" s="12">
        <v>16.5</v>
      </c>
      <c r="AK50" s="11"/>
      <c r="AL50" s="14"/>
    </row>
    <row r="51" spans="2:38" ht="25.05" customHeight="1">
      <c r="B51" s="13"/>
      <c r="C51" s="29"/>
      <c r="D51" s="30"/>
      <c r="E51" s="19" t="s">
        <v>479</v>
      </c>
      <c r="F51" s="8" t="s">
        <v>42</v>
      </c>
      <c r="G51" s="9">
        <v>0.97430555555555554</v>
      </c>
      <c r="H51" s="9">
        <v>1.0069444444444444</v>
      </c>
      <c r="I51" s="10">
        <f t="shared" si="8"/>
        <v>3.2638888888888884E-2</v>
      </c>
      <c r="J51" s="11">
        <v>5</v>
      </c>
      <c r="K51" s="11">
        <v>104.57</v>
      </c>
      <c r="L51" s="16">
        <f t="shared" si="6"/>
        <v>26.698723404255322</v>
      </c>
      <c r="M51" s="11"/>
      <c r="N51" s="11"/>
      <c r="O51" s="11"/>
      <c r="P51" s="11"/>
      <c r="Q51" s="11"/>
      <c r="R51" s="12"/>
      <c r="S51" s="12"/>
      <c r="T51" s="11"/>
      <c r="U51" s="11"/>
      <c r="V51" s="12"/>
      <c r="W51" s="12">
        <v>2</v>
      </c>
      <c r="X51" s="11"/>
      <c r="Y51" s="11"/>
      <c r="Z51" s="11"/>
      <c r="AA51" s="11"/>
      <c r="AB51" s="11"/>
      <c r="AC51" s="11"/>
      <c r="AD51" s="11"/>
      <c r="AE51" s="11"/>
      <c r="AF51" s="11"/>
      <c r="AG51" s="11">
        <f>47/4</f>
        <v>11.75</v>
      </c>
      <c r="AH51" s="11">
        <f t="shared" ref="AH51:AJ51" si="10">47/4</f>
        <v>11.75</v>
      </c>
      <c r="AI51" s="11">
        <f t="shared" si="10"/>
        <v>11.75</v>
      </c>
      <c r="AJ51" s="11">
        <f t="shared" si="10"/>
        <v>11.75</v>
      </c>
      <c r="AK51" s="11"/>
      <c r="AL51" s="14"/>
    </row>
    <row r="52" spans="2:38" ht="25.05" customHeight="1">
      <c r="B52" s="13"/>
      <c r="C52" s="29"/>
      <c r="D52" s="30"/>
      <c r="E52" s="19" t="s">
        <v>480</v>
      </c>
      <c r="F52" s="8" t="s">
        <v>42</v>
      </c>
      <c r="G52" s="9">
        <v>7.7777777777777779E-2</v>
      </c>
      <c r="H52" s="9">
        <v>0.1125</v>
      </c>
      <c r="I52" s="10">
        <f t="shared" si="8"/>
        <v>3.4722222222222224E-2</v>
      </c>
      <c r="J52" s="11">
        <v>5</v>
      </c>
      <c r="K52" s="11">
        <v>103.62</v>
      </c>
      <c r="L52" s="16">
        <f t="shared" si="6"/>
        <v>24.868800000000004</v>
      </c>
      <c r="M52" s="11"/>
      <c r="N52" s="11"/>
      <c r="O52" s="11"/>
      <c r="P52" s="11"/>
      <c r="Q52" s="11"/>
      <c r="R52" s="12"/>
      <c r="S52" s="12"/>
      <c r="T52" s="11"/>
      <c r="U52" s="11"/>
      <c r="V52" s="12">
        <v>2</v>
      </c>
      <c r="W52" s="12"/>
      <c r="X52" s="11"/>
      <c r="Y52" s="11"/>
      <c r="Z52" s="11"/>
      <c r="AA52" s="11"/>
      <c r="AB52" s="11"/>
      <c r="AC52" s="11"/>
      <c r="AD52" s="11"/>
      <c r="AE52" s="11"/>
      <c r="AF52" s="11"/>
      <c r="AG52" s="12">
        <f>50/4</f>
        <v>12.5</v>
      </c>
      <c r="AH52" s="12">
        <f t="shared" ref="AH52:AJ52" si="11">50/4</f>
        <v>12.5</v>
      </c>
      <c r="AI52" s="12">
        <f t="shared" si="11"/>
        <v>12.5</v>
      </c>
      <c r="AJ52" s="12">
        <f t="shared" si="11"/>
        <v>12.5</v>
      </c>
      <c r="AK52" s="11"/>
      <c r="AL52" s="14"/>
    </row>
    <row r="53" spans="2:38" ht="25.05" customHeight="1">
      <c r="B53" s="13"/>
      <c r="C53" s="29"/>
      <c r="D53" s="30"/>
      <c r="E53" s="19" t="s">
        <v>481</v>
      </c>
      <c r="F53" s="8" t="s">
        <v>42</v>
      </c>
      <c r="G53" s="9">
        <v>0.11319444444444444</v>
      </c>
      <c r="H53" s="9">
        <v>0.14652777777777778</v>
      </c>
      <c r="I53" s="10">
        <f t="shared" si="8"/>
        <v>3.333333333333334E-2</v>
      </c>
      <c r="J53" s="11">
        <v>5</v>
      </c>
      <c r="K53" s="11">
        <v>103.05</v>
      </c>
      <c r="L53" s="16">
        <f t="shared" si="6"/>
        <v>25.762499999999999</v>
      </c>
      <c r="M53" s="11"/>
      <c r="N53" s="11"/>
      <c r="O53" s="11"/>
      <c r="P53" s="11"/>
      <c r="Q53" s="11"/>
      <c r="R53" s="12"/>
      <c r="S53" s="12"/>
      <c r="T53" s="11"/>
      <c r="U53" s="11"/>
      <c r="V53" s="12"/>
      <c r="W53" s="12">
        <v>2</v>
      </c>
      <c r="X53" s="11"/>
      <c r="Y53" s="11"/>
      <c r="Z53" s="11"/>
      <c r="AA53" s="11"/>
      <c r="AB53" s="11"/>
      <c r="AC53" s="11"/>
      <c r="AD53" s="11"/>
      <c r="AE53" s="11"/>
      <c r="AF53" s="11"/>
      <c r="AG53" s="12">
        <f>48/4</f>
        <v>12</v>
      </c>
      <c r="AH53" s="12">
        <f t="shared" ref="AH53:AJ53" si="12">48/4</f>
        <v>12</v>
      </c>
      <c r="AI53" s="12">
        <f t="shared" si="12"/>
        <v>12</v>
      </c>
      <c r="AJ53" s="12">
        <f t="shared" si="12"/>
        <v>12</v>
      </c>
      <c r="AK53" s="11"/>
      <c r="AL53" s="14"/>
    </row>
    <row r="54" spans="2:38" ht="25.05" customHeight="1">
      <c r="B54" s="13"/>
      <c r="C54" s="29"/>
      <c r="D54" s="30"/>
      <c r="E54" s="19" t="s">
        <v>482</v>
      </c>
      <c r="F54" s="8" t="s">
        <v>42</v>
      </c>
      <c r="G54" s="9">
        <v>0.14722222222222223</v>
      </c>
      <c r="H54" s="9">
        <v>0.18263888888888888</v>
      </c>
      <c r="I54" s="10">
        <f t="shared" si="8"/>
        <v>3.5416666666666652E-2</v>
      </c>
      <c r="J54" s="11">
        <v>5</v>
      </c>
      <c r="K54" s="11">
        <v>103.68</v>
      </c>
      <c r="L54" s="16">
        <f t="shared" si="6"/>
        <v>24.395294117647069</v>
      </c>
      <c r="M54" s="11"/>
      <c r="N54" s="11"/>
      <c r="O54" s="11"/>
      <c r="P54" s="11"/>
      <c r="Q54" s="11"/>
      <c r="R54" s="12"/>
      <c r="S54" s="12"/>
      <c r="T54" s="11"/>
      <c r="U54" s="11"/>
      <c r="V54" s="12">
        <v>2</v>
      </c>
      <c r="W54" s="12"/>
      <c r="X54" s="11"/>
      <c r="Y54" s="11"/>
      <c r="Z54" s="11"/>
      <c r="AA54" s="11"/>
      <c r="AB54" s="11"/>
      <c r="AC54" s="11"/>
      <c r="AD54" s="11"/>
      <c r="AE54" s="11"/>
      <c r="AF54" s="11"/>
      <c r="AG54" s="11">
        <f>51/4</f>
        <v>12.75</v>
      </c>
      <c r="AH54" s="11">
        <f t="shared" ref="AH54:AJ54" si="13">51/4</f>
        <v>12.75</v>
      </c>
      <c r="AI54" s="11">
        <f t="shared" si="13"/>
        <v>12.75</v>
      </c>
      <c r="AJ54" s="11">
        <f t="shared" si="13"/>
        <v>12.75</v>
      </c>
      <c r="AK54" s="11"/>
      <c r="AL54" s="14"/>
    </row>
    <row r="55" spans="2:38" ht="25.05" customHeight="1">
      <c r="B55" s="13"/>
      <c r="C55" s="29"/>
      <c r="D55" s="30"/>
      <c r="E55" s="19" t="s">
        <v>1790</v>
      </c>
      <c r="F55" s="8" t="s">
        <v>42</v>
      </c>
      <c r="G55" s="9">
        <v>0.89166666666666672</v>
      </c>
      <c r="H55" s="9">
        <v>0.90694444444444444</v>
      </c>
      <c r="I55" s="10">
        <f t="shared" si="8"/>
        <v>1.5277777777777724E-2</v>
      </c>
      <c r="J55" s="11">
        <v>4</v>
      </c>
      <c r="K55" s="11">
        <v>101.98</v>
      </c>
      <c r="L55" s="16">
        <f t="shared" si="6"/>
        <v>69.531818181818423</v>
      </c>
      <c r="M55" s="11"/>
      <c r="N55" s="11"/>
      <c r="O55" s="11"/>
      <c r="P55" s="11"/>
      <c r="Q55" s="11"/>
      <c r="R55" s="12"/>
      <c r="S55" s="12"/>
      <c r="T55" s="11"/>
      <c r="U55" s="11"/>
      <c r="V55" s="12"/>
      <c r="W55" s="12">
        <v>2</v>
      </c>
      <c r="X55" s="11"/>
      <c r="Y55" s="11"/>
      <c r="Z55" s="11"/>
      <c r="AA55" s="11"/>
      <c r="AB55" s="11">
        <v>22</v>
      </c>
      <c r="AC55" s="11"/>
      <c r="AD55" s="11"/>
      <c r="AE55" s="11"/>
      <c r="AF55" s="11"/>
      <c r="AG55" s="11"/>
      <c r="AH55" s="11"/>
      <c r="AI55" s="11"/>
      <c r="AJ55" s="11"/>
      <c r="AK55" s="11"/>
      <c r="AL55" s="14"/>
    </row>
    <row r="56" spans="2:38" ht="25.05" customHeight="1">
      <c r="B56" s="13"/>
      <c r="C56" s="29"/>
      <c r="D56" s="30"/>
      <c r="E56" s="19" t="s">
        <v>1792</v>
      </c>
      <c r="F56" s="8" t="s">
        <v>42</v>
      </c>
      <c r="G56" s="9">
        <v>0.89236111111111116</v>
      </c>
      <c r="H56" s="9">
        <v>0.90833333333333333</v>
      </c>
      <c r="I56" s="10">
        <f t="shared" si="8"/>
        <v>1.5972222222222165E-2</v>
      </c>
      <c r="J56" s="11">
        <v>4</v>
      </c>
      <c r="K56" s="11">
        <v>102.12</v>
      </c>
      <c r="L56" s="16">
        <f t="shared" si="6"/>
        <v>66.600000000000236</v>
      </c>
      <c r="M56" s="11"/>
      <c r="N56" s="11"/>
      <c r="O56" s="11"/>
      <c r="P56" s="11"/>
      <c r="Q56" s="11"/>
      <c r="R56" s="12"/>
      <c r="S56" s="12"/>
      <c r="T56" s="11"/>
      <c r="U56" s="11"/>
      <c r="V56" s="12">
        <v>2</v>
      </c>
      <c r="W56" s="12"/>
      <c r="X56" s="11"/>
      <c r="Y56" s="11"/>
      <c r="Z56" s="11"/>
      <c r="AA56" s="11"/>
      <c r="AB56" s="11"/>
      <c r="AC56" s="11">
        <v>23</v>
      </c>
      <c r="AD56" s="11"/>
      <c r="AE56" s="11"/>
      <c r="AF56" s="11"/>
      <c r="AG56" s="11"/>
      <c r="AH56" s="11"/>
      <c r="AI56" s="11"/>
      <c r="AJ56" s="11"/>
      <c r="AK56" s="11"/>
      <c r="AL56" s="14"/>
    </row>
    <row r="57" spans="2:38" ht="25.05" customHeight="1">
      <c r="B57" s="13"/>
      <c r="C57" s="29"/>
      <c r="D57" s="30"/>
      <c r="E57" s="19" t="s">
        <v>1793</v>
      </c>
      <c r="F57" s="8" t="s">
        <v>42</v>
      </c>
      <c r="G57" s="9">
        <v>0.91111111111111109</v>
      </c>
      <c r="H57" s="9">
        <v>0.92638888888888893</v>
      </c>
      <c r="I57" s="10">
        <f t="shared" si="8"/>
        <v>1.5277777777777835E-2</v>
      </c>
      <c r="J57" s="11">
        <v>4</v>
      </c>
      <c r="K57" s="11">
        <v>101.18</v>
      </c>
      <c r="L57" s="16">
        <f t="shared" si="6"/>
        <v>68.986363636363379</v>
      </c>
      <c r="M57" s="11"/>
      <c r="N57" s="11"/>
      <c r="O57" s="11"/>
      <c r="P57" s="11"/>
      <c r="Q57" s="11"/>
      <c r="R57" s="12"/>
      <c r="S57" s="12"/>
      <c r="T57" s="11"/>
      <c r="U57" s="11"/>
      <c r="V57" s="12"/>
      <c r="W57" s="12">
        <v>2</v>
      </c>
      <c r="X57" s="11"/>
      <c r="Y57" s="11"/>
      <c r="Z57" s="11"/>
      <c r="AA57" s="11"/>
      <c r="AB57" s="11"/>
      <c r="AC57" s="11"/>
      <c r="AD57" s="11">
        <v>22</v>
      </c>
      <c r="AE57" s="11"/>
      <c r="AF57" s="11"/>
      <c r="AG57" s="11"/>
      <c r="AH57" s="11"/>
      <c r="AI57" s="11"/>
      <c r="AJ57" s="11"/>
      <c r="AK57" s="11"/>
      <c r="AL57" s="14"/>
    </row>
    <row r="58" spans="2:38" ht="25.05" customHeight="1">
      <c r="B58" s="13"/>
      <c r="C58" s="29"/>
      <c r="D58" s="30"/>
      <c r="E58" s="19" t="s">
        <v>1794</v>
      </c>
      <c r="F58" s="8" t="s">
        <v>42</v>
      </c>
      <c r="G58" s="9">
        <v>0.91319444444444442</v>
      </c>
      <c r="H58" s="9">
        <v>0.92847222222222225</v>
      </c>
      <c r="I58" s="10">
        <f t="shared" si="8"/>
        <v>1.5277777777777835E-2</v>
      </c>
      <c r="J58" s="11">
        <v>4</v>
      </c>
      <c r="K58" s="11">
        <v>101</v>
      </c>
      <c r="L58" s="16">
        <f t="shared" si="6"/>
        <v>68.863636363636104</v>
      </c>
      <c r="M58" s="11"/>
      <c r="N58" s="11"/>
      <c r="O58" s="11"/>
      <c r="P58" s="11"/>
      <c r="Q58" s="11"/>
      <c r="R58" s="12"/>
      <c r="S58" s="12"/>
      <c r="T58" s="11"/>
      <c r="U58" s="11"/>
      <c r="V58" s="12">
        <v>2</v>
      </c>
      <c r="W58" s="12"/>
      <c r="X58" s="11"/>
      <c r="Y58" s="11"/>
      <c r="Z58" s="11"/>
      <c r="AA58" s="11"/>
      <c r="AB58" s="11">
        <v>22</v>
      </c>
      <c r="AC58" s="11"/>
      <c r="AD58" s="11"/>
      <c r="AE58" s="11"/>
      <c r="AF58" s="11"/>
      <c r="AG58" s="11"/>
      <c r="AH58" s="11"/>
      <c r="AI58" s="11"/>
      <c r="AJ58" s="11"/>
      <c r="AK58" s="11"/>
      <c r="AL58" s="14"/>
    </row>
    <row r="59" spans="2:38" ht="25.05" customHeight="1">
      <c r="B59" s="13"/>
      <c r="C59" s="29"/>
      <c r="D59" s="30"/>
      <c r="E59" s="19" t="s">
        <v>1795</v>
      </c>
      <c r="F59" s="8" t="s">
        <v>42</v>
      </c>
      <c r="G59" s="9">
        <v>0.93194444444444446</v>
      </c>
      <c r="H59" s="9">
        <v>0.94791666666666663</v>
      </c>
      <c r="I59" s="10">
        <f t="shared" si="8"/>
        <v>1.5972222222222165E-2</v>
      </c>
      <c r="J59" s="11">
        <v>4</v>
      </c>
      <c r="K59" s="11">
        <v>100.8</v>
      </c>
      <c r="L59" s="16">
        <f t="shared" si="6"/>
        <v>65.739130434782837</v>
      </c>
      <c r="M59" s="11"/>
      <c r="N59" s="11"/>
      <c r="O59" s="11"/>
      <c r="P59" s="11"/>
      <c r="Q59" s="11"/>
      <c r="R59" s="12"/>
      <c r="S59" s="12"/>
      <c r="T59" s="11"/>
      <c r="U59" s="11"/>
      <c r="V59" s="12"/>
      <c r="W59" s="12">
        <v>2</v>
      </c>
      <c r="X59" s="11"/>
      <c r="Y59" s="11"/>
      <c r="Z59" s="11"/>
      <c r="AA59" s="11"/>
      <c r="AB59" s="11"/>
      <c r="AC59" s="11">
        <v>23</v>
      </c>
      <c r="AD59" s="11"/>
      <c r="AE59" s="11"/>
      <c r="AF59" s="11"/>
      <c r="AG59" s="11"/>
      <c r="AH59" s="11"/>
      <c r="AI59" s="11"/>
      <c r="AJ59" s="11"/>
      <c r="AK59" s="11"/>
      <c r="AL59" s="14"/>
    </row>
    <row r="60" spans="2:38" ht="25.05" customHeight="1">
      <c r="B60" s="13"/>
      <c r="C60" s="29"/>
      <c r="D60" s="30"/>
      <c r="E60" s="19" t="s">
        <v>1796</v>
      </c>
      <c r="F60" s="8" t="s">
        <v>42</v>
      </c>
      <c r="G60" s="9">
        <v>0.93611111111111112</v>
      </c>
      <c r="H60" s="9">
        <v>0.95138888888888884</v>
      </c>
      <c r="I60" s="10">
        <f t="shared" si="8"/>
        <v>1.5277777777777724E-2</v>
      </c>
      <c r="J60" s="11">
        <v>4</v>
      </c>
      <c r="K60" s="11">
        <v>100.5</v>
      </c>
      <c r="L60" s="16">
        <f t="shared" si="6"/>
        <v>68.522727272727522</v>
      </c>
      <c r="M60" s="11"/>
      <c r="N60" s="11"/>
      <c r="O60" s="11"/>
      <c r="P60" s="11"/>
      <c r="Q60" s="11"/>
      <c r="R60" s="12"/>
      <c r="S60" s="12"/>
      <c r="T60" s="11"/>
      <c r="U60" s="11"/>
      <c r="V60" s="12">
        <v>2</v>
      </c>
      <c r="W60" s="12"/>
      <c r="X60" s="11"/>
      <c r="Y60" s="11"/>
      <c r="Z60" s="11"/>
      <c r="AA60" s="11"/>
      <c r="AB60" s="11">
        <v>22</v>
      </c>
      <c r="AC60" s="11"/>
      <c r="AD60" s="11"/>
      <c r="AE60" s="11"/>
      <c r="AF60" s="11"/>
      <c r="AG60" s="11"/>
      <c r="AH60" s="11"/>
      <c r="AI60" s="11"/>
      <c r="AJ60" s="11"/>
      <c r="AK60" s="11"/>
      <c r="AL60" s="14"/>
    </row>
    <row r="61" spans="2:38" ht="25.05" customHeight="1">
      <c r="B61" s="13"/>
      <c r="C61" s="29"/>
      <c r="D61" s="30"/>
      <c r="E61" s="19" t="s">
        <v>1797</v>
      </c>
      <c r="F61" s="14"/>
      <c r="G61" s="9">
        <v>0.95625000000000004</v>
      </c>
      <c r="H61" s="9">
        <v>0.97222222222222221</v>
      </c>
      <c r="I61" s="10">
        <f t="shared" si="8"/>
        <v>1.5972222222222165E-2</v>
      </c>
      <c r="J61" s="11">
        <v>4</v>
      </c>
      <c r="K61" s="11">
        <v>100.6</v>
      </c>
      <c r="L61" s="16">
        <f t="shared" si="6"/>
        <v>65.608695652174148</v>
      </c>
      <c r="M61" s="11"/>
      <c r="N61" s="11"/>
      <c r="O61" s="11"/>
      <c r="P61" s="11"/>
      <c r="Q61" s="11"/>
      <c r="R61" s="12"/>
      <c r="S61" s="12"/>
      <c r="T61" s="11"/>
      <c r="U61" s="11"/>
      <c r="V61" s="12"/>
      <c r="W61" s="12">
        <v>2</v>
      </c>
      <c r="X61" s="11"/>
      <c r="Y61" s="11"/>
      <c r="Z61" s="11"/>
      <c r="AA61" s="11"/>
      <c r="AB61" s="11"/>
      <c r="AC61" s="11">
        <v>23</v>
      </c>
      <c r="AD61" s="11"/>
      <c r="AE61" s="11"/>
      <c r="AF61" s="11"/>
      <c r="AG61" s="11"/>
      <c r="AH61" s="11"/>
      <c r="AI61" s="11"/>
      <c r="AJ61" s="11"/>
      <c r="AK61" s="11"/>
      <c r="AL61" s="14"/>
    </row>
    <row r="62" spans="2:38" ht="25.05" customHeight="1">
      <c r="B62" s="13"/>
      <c r="C62" s="29"/>
      <c r="D62" s="30"/>
      <c r="E62" s="19" t="s">
        <v>2817</v>
      </c>
      <c r="F62" s="8" t="s">
        <v>42</v>
      </c>
      <c r="G62" s="9">
        <v>0.86111111111111116</v>
      </c>
      <c r="H62" s="9">
        <v>0.86805555555555558</v>
      </c>
      <c r="I62" s="10">
        <f t="shared" ref="I62:I70" si="14">H62-G62</f>
        <v>6.9444444444444198E-3</v>
      </c>
      <c r="J62" s="11">
        <v>4</v>
      </c>
      <c r="K62" s="11">
        <v>57.25</v>
      </c>
      <c r="L62" s="16">
        <f t="shared" ref="L62:L70" si="15">IFERROR(((K62/(J62*I62)/24)),"0")</f>
        <v>85.875000000000298</v>
      </c>
      <c r="M62" s="11"/>
      <c r="N62" s="11"/>
      <c r="O62" s="11"/>
      <c r="P62" s="11"/>
      <c r="Q62" s="11"/>
      <c r="R62" s="12"/>
      <c r="S62" s="12"/>
      <c r="T62" s="11"/>
      <c r="U62" s="11"/>
      <c r="V62" s="12">
        <v>2</v>
      </c>
      <c r="W62" s="12"/>
      <c r="X62" s="11"/>
      <c r="Y62" s="11"/>
      <c r="Z62" s="11"/>
      <c r="AA62" s="11"/>
      <c r="AB62" s="11">
        <v>10</v>
      </c>
      <c r="AC62" s="11"/>
      <c r="AD62" s="11"/>
      <c r="AE62" s="11"/>
      <c r="AF62" s="11"/>
      <c r="AG62" s="11"/>
      <c r="AH62" s="11"/>
      <c r="AI62" s="11"/>
      <c r="AJ62" s="11"/>
      <c r="AK62" s="11"/>
      <c r="AL62" s="14"/>
    </row>
    <row r="63" spans="2:38" ht="25.05" customHeight="1">
      <c r="B63" s="13"/>
      <c r="C63" s="29"/>
      <c r="D63" s="30"/>
      <c r="E63" s="19" t="s">
        <v>1972</v>
      </c>
      <c r="F63" s="8" t="s">
        <v>42</v>
      </c>
      <c r="G63" s="9">
        <v>0.95625000000000004</v>
      </c>
      <c r="H63" s="9">
        <v>0.98750000000000004</v>
      </c>
      <c r="I63" s="10">
        <f t="shared" si="14"/>
        <v>3.125E-2</v>
      </c>
      <c r="J63" s="11">
        <v>4</v>
      </c>
      <c r="K63" s="11">
        <f>20*4.25</f>
        <v>85</v>
      </c>
      <c r="L63" s="16">
        <f t="shared" si="15"/>
        <v>28.333333333333332</v>
      </c>
      <c r="M63" s="11"/>
      <c r="N63" s="11"/>
      <c r="O63" s="11"/>
      <c r="P63" s="11"/>
      <c r="Q63" s="11"/>
      <c r="R63" s="12"/>
      <c r="S63" s="12"/>
      <c r="T63" s="11"/>
      <c r="U63" s="11"/>
      <c r="V63" s="12"/>
      <c r="W63" s="12">
        <v>2</v>
      </c>
      <c r="X63" s="11"/>
      <c r="Y63" s="11">
        <v>45</v>
      </c>
      <c r="Z63" s="11">
        <v>45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4"/>
    </row>
    <row r="64" spans="2:38" ht="25.05" customHeight="1">
      <c r="B64" s="13"/>
      <c r="C64" s="29"/>
      <c r="D64" s="30"/>
      <c r="E64" s="19" t="s">
        <v>1973</v>
      </c>
      <c r="F64" s="8" t="s">
        <v>42</v>
      </c>
      <c r="G64" s="9">
        <v>0.96180555555555558</v>
      </c>
      <c r="H64" s="9">
        <v>0.99305555555555558</v>
      </c>
      <c r="I64" s="10">
        <f t="shared" si="14"/>
        <v>3.125E-2</v>
      </c>
      <c r="J64" s="11">
        <v>4</v>
      </c>
      <c r="K64" s="11">
        <f>10*4.25</f>
        <v>42.5</v>
      </c>
      <c r="L64" s="16">
        <f t="shared" si="15"/>
        <v>14.166666666666666</v>
      </c>
      <c r="M64" s="11"/>
      <c r="N64" s="11"/>
      <c r="O64" s="11"/>
      <c r="P64" s="11"/>
      <c r="Q64" s="11"/>
      <c r="R64" s="12"/>
      <c r="S64" s="12"/>
      <c r="T64" s="11"/>
      <c r="U64" s="11"/>
      <c r="V64" s="12">
        <v>2</v>
      </c>
      <c r="W64" s="12"/>
      <c r="X64" s="11"/>
      <c r="Y64" s="11">
        <v>45</v>
      </c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4"/>
    </row>
    <row r="65" spans="2:38" ht="25.05" customHeight="1">
      <c r="B65" s="13"/>
      <c r="C65" s="29"/>
      <c r="D65" s="30"/>
      <c r="E65" s="19" t="s">
        <v>1974</v>
      </c>
      <c r="F65" s="8" t="s">
        <v>42</v>
      </c>
      <c r="G65" s="9">
        <v>1.0034722222222201</v>
      </c>
      <c r="H65" s="9">
        <v>1.0347222222222201</v>
      </c>
      <c r="I65" s="10">
        <f t="shared" si="14"/>
        <v>3.125E-2</v>
      </c>
      <c r="J65" s="11">
        <v>4</v>
      </c>
      <c r="K65" s="11">
        <v>85</v>
      </c>
      <c r="L65" s="16">
        <f t="shared" si="15"/>
        <v>28.333333333333332</v>
      </c>
      <c r="M65" s="11"/>
      <c r="N65" s="11"/>
      <c r="O65" s="11"/>
      <c r="P65" s="11"/>
      <c r="Q65" s="11"/>
      <c r="R65" s="12"/>
      <c r="S65" s="12"/>
      <c r="T65" s="11"/>
      <c r="U65" s="11"/>
      <c r="V65" s="12"/>
      <c r="W65" s="12">
        <v>2</v>
      </c>
      <c r="X65" s="11">
        <v>45</v>
      </c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4"/>
    </row>
    <row r="66" spans="2:38" ht="25.05" customHeight="1">
      <c r="B66" s="13"/>
      <c r="C66" s="29"/>
      <c r="D66" s="30"/>
      <c r="E66" s="19" t="s">
        <v>1975</v>
      </c>
      <c r="F66" s="8" t="s">
        <v>42</v>
      </c>
      <c r="G66" s="9">
        <v>0.97013888888888888</v>
      </c>
      <c r="H66" s="9">
        <v>1.0013888888888889</v>
      </c>
      <c r="I66" s="10">
        <f t="shared" si="14"/>
        <v>3.125E-2</v>
      </c>
      <c r="J66" s="11">
        <v>4</v>
      </c>
      <c r="K66" s="11">
        <v>42.5</v>
      </c>
      <c r="L66" s="16">
        <f t="shared" si="15"/>
        <v>14.166666666666666</v>
      </c>
      <c r="M66" s="11"/>
      <c r="N66" s="11"/>
      <c r="O66" s="11"/>
      <c r="P66" s="11"/>
      <c r="Q66" s="11"/>
      <c r="R66" s="12"/>
      <c r="S66" s="12"/>
      <c r="T66" s="11"/>
      <c r="U66" s="11"/>
      <c r="V66" s="12">
        <v>2</v>
      </c>
      <c r="W66" s="12"/>
      <c r="X66" s="11"/>
      <c r="Y66" s="11"/>
      <c r="Z66" s="11"/>
      <c r="AA66" s="11">
        <v>45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4"/>
    </row>
    <row r="67" spans="2:38" ht="25.05" customHeight="1">
      <c r="B67" s="13"/>
      <c r="C67" s="29"/>
      <c r="D67" s="30"/>
      <c r="E67" s="19" t="s">
        <v>1976</v>
      </c>
      <c r="F67" s="8" t="s">
        <v>42</v>
      </c>
      <c r="G67" s="9">
        <v>0.9770833333333333</v>
      </c>
      <c r="H67" s="9">
        <v>1.0083333333333333</v>
      </c>
      <c r="I67" s="10">
        <f t="shared" si="14"/>
        <v>3.125E-2</v>
      </c>
      <c r="J67" s="11">
        <v>4</v>
      </c>
      <c r="K67" s="11">
        <v>85</v>
      </c>
      <c r="L67" s="16">
        <f t="shared" si="15"/>
        <v>28.333333333333332</v>
      </c>
      <c r="M67" s="11"/>
      <c r="N67" s="11"/>
      <c r="O67" s="11"/>
      <c r="P67" s="11"/>
      <c r="Q67" s="11"/>
      <c r="R67" s="12"/>
      <c r="S67" s="12"/>
      <c r="T67" s="11"/>
      <c r="U67" s="11"/>
      <c r="V67" s="12"/>
      <c r="W67" s="12">
        <v>2</v>
      </c>
      <c r="X67" s="11">
        <v>45</v>
      </c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4"/>
    </row>
    <row r="68" spans="2:38" ht="25.05" customHeight="1">
      <c r="B68" s="13"/>
      <c r="C68" s="29"/>
      <c r="D68" s="30"/>
      <c r="E68" s="19" t="s">
        <v>1977</v>
      </c>
      <c r="F68" s="8" t="s">
        <v>42</v>
      </c>
      <c r="G68" s="9">
        <v>1</v>
      </c>
      <c r="H68" s="9">
        <v>1.03125</v>
      </c>
      <c r="I68" s="10">
        <f t="shared" si="14"/>
        <v>3.125E-2</v>
      </c>
      <c r="J68" s="11">
        <v>4</v>
      </c>
      <c r="K68" s="11">
        <v>42.5</v>
      </c>
      <c r="L68" s="16">
        <f t="shared" si="15"/>
        <v>14.166666666666666</v>
      </c>
      <c r="M68" s="11"/>
      <c r="N68" s="11"/>
      <c r="O68" s="11"/>
      <c r="P68" s="11"/>
      <c r="Q68" s="11"/>
      <c r="R68" s="12"/>
      <c r="S68" s="12"/>
      <c r="T68" s="11"/>
      <c r="U68" s="11"/>
      <c r="V68" s="12">
        <v>2</v>
      </c>
      <c r="W68" s="12"/>
      <c r="X68" s="11"/>
      <c r="Y68" s="11"/>
      <c r="Z68" s="11">
        <v>45</v>
      </c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4"/>
    </row>
    <row r="69" spans="2:38" ht="25.05" customHeight="1">
      <c r="B69" s="13"/>
      <c r="C69" s="29"/>
      <c r="D69" s="30"/>
      <c r="E69" s="19" t="s">
        <v>1978</v>
      </c>
      <c r="F69" s="8" t="s">
        <v>42</v>
      </c>
      <c r="G69" s="9">
        <v>1</v>
      </c>
      <c r="H69" s="9">
        <v>1.03125</v>
      </c>
      <c r="I69" s="10">
        <f>H69-G69</f>
        <v>3.125E-2</v>
      </c>
      <c r="J69" s="11">
        <v>4</v>
      </c>
      <c r="K69" s="11">
        <v>85</v>
      </c>
      <c r="L69" s="16">
        <f t="shared" si="15"/>
        <v>28.333333333333332</v>
      </c>
      <c r="M69" s="11"/>
      <c r="N69" s="11"/>
      <c r="O69" s="11"/>
      <c r="P69" s="11"/>
      <c r="Q69" s="11"/>
      <c r="R69" s="12"/>
      <c r="S69" s="12"/>
      <c r="T69" s="11"/>
      <c r="U69" s="11"/>
      <c r="V69" s="12"/>
      <c r="W69" s="12">
        <v>2</v>
      </c>
      <c r="X69" s="11"/>
      <c r="Y69" s="11"/>
      <c r="Z69" s="11">
        <v>45</v>
      </c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4"/>
    </row>
    <row r="70" spans="2:38" ht="25.05" customHeight="1">
      <c r="B70" s="13"/>
      <c r="C70" s="29"/>
      <c r="D70" s="30"/>
      <c r="E70" s="19" t="s">
        <v>1979</v>
      </c>
      <c r="F70" s="8" t="s">
        <v>42</v>
      </c>
      <c r="G70" s="9">
        <v>1.0062500000000001</v>
      </c>
      <c r="H70" s="9">
        <v>1.0375000000000001</v>
      </c>
      <c r="I70" s="10">
        <f t="shared" si="14"/>
        <v>3.125E-2</v>
      </c>
      <c r="J70" s="11">
        <v>4</v>
      </c>
      <c r="K70" s="11">
        <v>42.5</v>
      </c>
      <c r="L70" s="16">
        <f t="shared" si="15"/>
        <v>14.166666666666666</v>
      </c>
      <c r="M70" s="11"/>
      <c r="N70" s="11"/>
      <c r="O70" s="11"/>
      <c r="P70" s="11"/>
      <c r="Q70" s="11"/>
      <c r="R70" s="12"/>
      <c r="S70" s="12"/>
      <c r="T70" s="11"/>
      <c r="U70" s="11"/>
      <c r="V70" s="12">
        <v>2</v>
      </c>
      <c r="W70" s="12"/>
      <c r="X70" s="11">
        <v>45</v>
      </c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4"/>
    </row>
    <row r="71" spans="2:38" ht="25.05" customHeight="1">
      <c r="B71" s="13"/>
      <c r="C71" s="29"/>
      <c r="D71" s="30"/>
      <c r="E71" s="19"/>
      <c r="F71" s="8" t="s">
        <v>42</v>
      </c>
      <c r="G71" s="9"/>
      <c r="H71" s="9"/>
      <c r="I71" s="10">
        <f t="shared" ref="I71:I75" si="16">H71-G71</f>
        <v>0</v>
      </c>
      <c r="J71" s="11"/>
      <c r="K71" s="11"/>
      <c r="L71" s="16" t="str">
        <f t="shared" ref="L71:L73" si="17">IFERROR(((K71/(J71*I71)/24)),"0")</f>
        <v>0</v>
      </c>
      <c r="M71" s="11"/>
      <c r="N71" s="11"/>
      <c r="O71" s="11"/>
      <c r="P71" s="11"/>
      <c r="Q71" s="11"/>
      <c r="R71" s="12"/>
      <c r="S71" s="12"/>
      <c r="T71" s="11"/>
      <c r="U71" s="11"/>
      <c r="V71" s="12"/>
      <c r="W71" s="12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4"/>
    </row>
    <row r="72" spans="2:38" ht="25.05" customHeight="1">
      <c r="B72" s="13"/>
      <c r="C72" s="29"/>
      <c r="D72" s="6" t="s">
        <v>2782</v>
      </c>
      <c r="E72" s="19" t="s">
        <v>2862</v>
      </c>
      <c r="F72" s="8" t="s">
        <v>42</v>
      </c>
      <c r="G72" s="9">
        <v>0.10208333333333333</v>
      </c>
      <c r="H72" s="9">
        <v>0.12986111111111112</v>
      </c>
      <c r="I72" s="10">
        <f t="shared" si="16"/>
        <v>2.777777777777779E-2</v>
      </c>
      <c r="J72" s="11">
        <v>5</v>
      </c>
      <c r="K72" s="11">
        <v>80</v>
      </c>
      <c r="L72" s="16">
        <f t="shared" si="17"/>
        <v>23.999999999999989</v>
      </c>
      <c r="M72" s="11"/>
      <c r="N72" s="11"/>
      <c r="O72" s="11"/>
      <c r="P72" s="11"/>
      <c r="Q72" s="11"/>
      <c r="R72" s="12"/>
      <c r="S72" s="12"/>
      <c r="T72" s="11"/>
      <c r="U72" s="11"/>
      <c r="V72" s="12">
        <v>2</v>
      </c>
      <c r="W72" s="12"/>
      <c r="X72" s="11"/>
      <c r="Y72" s="11"/>
      <c r="Z72" s="11">
        <v>40</v>
      </c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4"/>
    </row>
    <row r="73" spans="2:38" ht="25.05" customHeight="1">
      <c r="B73" s="13"/>
      <c r="C73" s="29"/>
      <c r="D73" s="30"/>
      <c r="E73" s="19" t="s">
        <v>280</v>
      </c>
      <c r="F73" s="8" t="s">
        <v>42</v>
      </c>
      <c r="G73" s="9">
        <v>0.11458333333333333</v>
      </c>
      <c r="H73" s="9">
        <v>0.1423611111111111</v>
      </c>
      <c r="I73" s="10">
        <f t="shared" si="16"/>
        <v>2.7777777777777776E-2</v>
      </c>
      <c r="J73" s="11">
        <v>5</v>
      </c>
      <c r="K73" s="11">
        <v>80</v>
      </c>
      <c r="L73" s="16">
        <f t="shared" si="17"/>
        <v>24</v>
      </c>
      <c r="M73" s="11"/>
      <c r="N73" s="11"/>
      <c r="O73" s="11"/>
      <c r="P73" s="11"/>
      <c r="Q73" s="11"/>
      <c r="R73" s="12"/>
      <c r="S73" s="12"/>
      <c r="T73" s="11"/>
      <c r="U73" s="11"/>
      <c r="V73" s="12"/>
      <c r="W73" s="12">
        <v>2</v>
      </c>
      <c r="X73" s="11"/>
      <c r="Y73" s="11">
        <v>40</v>
      </c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4"/>
    </row>
    <row r="74" spans="2:38" ht="25.05" customHeight="1">
      <c r="B74" s="13"/>
      <c r="C74" s="29"/>
      <c r="D74" s="30"/>
      <c r="E74" s="19" t="s">
        <v>281</v>
      </c>
      <c r="F74" s="8" t="s">
        <v>42</v>
      </c>
      <c r="G74" s="9">
        <v>0.12916666666666668</v>
      </c>
      <c r="H74" s="9">
        <v>0.15694444444444444</v>
      </c>
      <c r="I74" s="10">
        <f t="shared" si="16"/>
        <v>2.7777777777777762E-2</v>
      </c>
      <c r="J74" s="11">
        <v>5</v>
      </c>
      <c r="K74" s="11">
        <f>4*13</f>
        <v>52</v>
      </c>
      <c r="L74" s="16">
        <f>IFERROR(((K74/(J74*I74)/24)),"0")</f>
        <v>15.600000000000009</v>
      </c>
      <c r="M74" s="11"/>
      <c r="N74" s="11"/>
      <c r="O74" s="11"/>
      <c r="P74" s="11"/>
      <c r="Q74" s="11"/>
      <c r="R74" s="12"/>
      <c r="S74" s="12"/>
      <c r="T74" s="11"/>
      <c r="U74" s="11"/>
      <c r="V74" s="12">
        <v>2</v>
      </c>
      <c r="W74" s="12"/>
      <c r="X74" s="11">
        <v>40</v>
      </c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4"/>
    </row>
    <row r="75" spans="2:38" ht="25.05" customHeight="1">
      <c r="B75" s="13"/>
      <c r="C75" s="29"/>
      <c r="D75" s="30"/>
      <c r="E75" s="19" t="s">
        <v>282</v>
      </c>
      <c r="F75" s="8" t="s">
        <v>42</v>
      </c>
      <c r="G75" s="9">
        <v>0.12916666666666668</v>
      </c>
      <c r="H75" s="9">
        <v>0.15694444444444444</v>
      </c>
      <c r="I75" s="10">
        <f t="shared" si="16"/>
        <v>2.7777777777777762E-2</v>
      </c>
      <c r="J75" s="11">
        <v>5</v>
      </c>
      <c r="K75" s="11">
        <f>4*7</f>
        <v>28</v>
      </c>
      <c r="L75" s="16">
        <f>IFERROR(((K75/(J75*I75)/24)),"0")</f>
        <v>8.4000000000000039</v>
      </c>
      <c r="M75" s="11"/>
      <c r="N75" s="11"/>
      <c r="O75" s="11"/>
      <c r="P75" s="11"/>
      <c r="Q75" s="11"/>
      <c r="R75" s="12"/>
      <c r="S75" s="12"/>
      <c r="T75" s="11"/>
      <c r="U75" s="11"/>
      <c r="V75" s="12"/>
      <c r="W75" s="12">
        <v>2</v>
      </c>
      <c r="X75" s="11">
        <v>40</v>
      </c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4"/>
    </row>
    <row r="76" spans="2:38" ht="25.05" customHeight="1">
      <c r="B76" s="13"/>
      <c r="C76" s="29"/>
      <c r="D76" s="30"/>
      <c r="E76" s="19" t="s">
        <v>283</v>
      </c>
      <c r="F76" s="8" t="s">
        <v>42</v>
      </c>
      <c r="G76" s="9">
        <v>0.14097222222222222</v>
      </c>
      <c r="H76" s="9">
        <v>0.16875000000000001</v>
      </c>
      <c r="I76" s="10">
        <f t="shared" ref="I76:I88" si="18">H76-G76</f>
        <v>2.777777777777779E-2</v>
      </c>
      <c r="J76" s="11">
        <v>5</v>
      </c>
      <c r="K76" s="11">
        <v>80</v>
      </c>
      <c r="L76" s="16">
        <f t="shared" ref="L76:L88" si="19">IFERROR(((K76/(J76*I76)/24)),"0")</f>
        <v>23.999999999999989</v>
      </c>
      <c r="M76" s="11"/>
      <c r="N76" s="11"/>
      <c r="O76" s="11"/>
      <c r="P76" s="11"/>
      <c r="Q76" s="11"/>
      <c r="R76" s="12"/>
      <c r="S76" s="12"/>
      <c r="T76" s="11"/>
      <c r="U76" s="11"/>
      <c r="V76" s="12">
        <v>2</v>
      </c>
      <c r="W76" s="12"/>
      <c r="X76" s="11"/>
      <c r="Y76" s="11"/>
      <c r="Z76" s="11"/>
      <c r="AA76" s="11">
        <v>40</v>
      </c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4"/>
    </row>
    <row r="77" spans="2:38" ht="25.05" customHeight="1">
      <c r="B77" s="13"/>
      <c r="C77" s="29"/>
      <c r="D77" s="30"/>
      <c r="E77" s="19" t="s">
        <v>284</v>
      </c>
      <c r="F77" s="8" t="s">
        <v>42</v>
      </c>
      <c r="G77" s="9">
        <v>0.15555555555555556</v>
      </c>
      <c r="H77" s="9">
        <v>0.18333333333333332</v>
      </c>
      <c r="I77" s="10">
        <f t="shared" si="18"/>
        <v>2.7777777777777762E-2</v>
      </c>
      <c r="J77" s="11">
        <v>5</v>
      </c>
      <c r="K77" s="11">
        <v>80</v>
      </c>
      <c r="L77" s="16">
        <f t="shared" si="19"/>
        <v>24.000000000000014</v>
      </c>
      <c r="M77" s="11"/>
      <c r="N77" s="11"/>
      <c r="O77" s="11"/>
      <c r="P77" s="11"/>
      <c r="Q77" s="11"/>
      <c r="R77" s="12"/>
      <c r="S77" s="12"/>
      <c r="T77" s="11"/>
      <c r="U77" s="11"/>
      <c r="V77" s="12"/>
      <c r="W77" s="12">
        <v>2</v>
      </c>
      <c r="X77" s="11"/>
      <c r="Y77" s="11"/>
      <c r="Z77" s="11">
        <v>40</v>
      </c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4"/>
    </row>
    <row r="78" spans="2:38" ht="25.05" customHeight="1">
      <c r="B78" s="13"/>
      <c r="C78" s="29"/>
      <c r="D78" s="30"/>
      <c r="E78" s="19" t="s">
        <v>2863</v>
      </c>
      <c r="F78" s="8" t="s">
        <v>42</v>
      </c>
      <c r="G78" s="9">
        <v>0.16875000000000001</v>
      </c>
      <c r="H78" s="9">
        <v>0.19652777777777777</v>
      </c>
      <c r="I78" s="10">
        <f t="shared" si="18"/>
        <v>2.7777777777777762E-2</v>
      </c>
      <c r="J78" s="11">
        <v>5</v>
      </c>
      <c r="K78" s="11">
        <v>24</v>
      </c>
      <c r="L78" s="16">
        <f t="shared" si="19"/>
        <v>7.2000000000000037</v>
      </c>
      <c r="M78" s="11"/>
      <c r="N78" s="11"/>
      <c r="O78" s="11"/>
      <c r="P78" s="11"/>
      <c r="Q78" s="11"/>
      <c r="R78" s="12"/>
      <c r="S78" s="12"/>
      <c r="T78" s="11"/>
      <c r="U78" s="11"/>
      <c r="V78" s="12">
        <v>2</v>
      </c>
      <c r="W78" s="12"/>
      <c r="X78" s="11"/>
      <c r="Y78" s="11">
        <v>40</v>
      </c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4"/>
    </row>
    <row r="79" spans="2:38" ht="25.05" customHeight="1">
      <c r="B79" s="13"/>
      <c r="C79" s="29"/>
      <c r="D79" s="30"/>
      <c r="E79" s="19" t="s">
        <v>285</v>
      </c>
      <c r="F79" s="8" t="s">
        <v>42</v>
      </c>
      <c r="G79" s="9">
        <v>0.16875000000000001</v>
      </c>
      <c r="H79" s="9">
        <v>0.19652777777777777</v>
      </c>
      <c r="I79" s="10">
        <f t="shared" si="18"/>
        <v>2.7777777777777762E-2</v>
      </c>
      <c r="J79" s="11">
        <v>5</v>
      </c>
      <c r="K79" s="11">
        <f>12*4</f>
        <v>48</v>
      </c>
      <c r="L79" s="16">
        <f t="shared" si="19"/>
        <v>14.400000000000007</v>
      </c>
      <c r="M79" s="11"/>
      <c r="N79" s="11"/>
      <c r="O79" s="11"/>
      <c r="P79" s="11"/>
      <c r="Q79" s="11"/>
      <c r="R79" s="12"/>
      <c r="S79" s="12"/>
      <c r="T79" s="11"/>
      <c r="U79" s="11"/>
      <c r="V79" s="12"/>
      <c r="W79" s="12">
        <v>2</v>
      </c>
      <c r="X79" s="11"/>
      <c r="Y79" s="11">
        <v>40</v>
      </c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4"/>
    </row>
    <row r="80" spans="2:38" ht="25.05" customHeight="1">
      <c r="B80" s="13"/>
      <c r="C80" s="29"/>
      <c r="D80" s="30"/>
      <c r="E80" s="19" t="s">
        <v>286</v>
      </c>
      <c r="F80" s="8" t="s">
        <v>42</v>
      </c>
      <c r="G80" s="9">
        <v>0.18402777777777779</v>
      </c>
      <c r="H80" s="9">
        <v>0.21180555555555555</v>
      </c>
      <c r="I80" s="10">
        <f t="shared" si="18"/>
        <v>2.7777777777777762E-2</v>
      </c>
      <c r="J80" s="11">
        <v>5</v>
      </c>
      <c r="K80" s="11">
        <v>80</v>
      </c>
      <c r="L80" s="16">
        <f t="shared" si="19"/>
        <v>24.000000000000014</v>
      </c>
      <c r="M80" s="11"/>
      <c r="N80" s="11"/>
      <c r="O80" s="11"/>
      <c r="P80" s="11"/>
      <c r="Q80" s="11"/>
      <c r="R80" s="12"/>
      <c r="S80" s="12"/>
      <c r="T80" s="11"/>
      <c r="U80" s="11"/>
      <c r="V80" s="12">
        <v>2</v>
      </c>
      <c r="W80" s="12"/>
      <c r="X80" s="11">
        <v>40</v>
      </c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4"/>
    </row>
    <row r="81" spans="1:38" ht="25.05" customHeight="1">
      <c r="B81" s="13"/>
      <c r="C81" s="29"/>
      <c r="D81" s="30"/>
      <c r="E81" s="19" t="s">
        <v>287</v>
      </c>
      <c r="F81" s="8" t="s">
        <v>42</v>
      </c>
      <c r="G81" s="9">
        <v>0.19583333333333333</v>
      </c>
      <c r="H81" s="9">
        <v>0.22361111111111112</v>
      </c>
      <c r="I81" s="10">
        <f t="shared" si="18"/>
        <v>2.777777777777779E-2</v>
      </c>
      <c r="J81" s="11">
        <v>5</v>
      </c>
      <c r="K81" s="11">
        <f>19*4</f>
        <v>76</v>
      </c>
      <c r="L81" s="16">
        <f t="shared" si="19"/>
        <v>22.799999999999986</v>
      </c>
      <c r="M81" s="11"/>
      <c r="N81" s="11"/>
      <c r="O81" s="11"/>
      <c r="P81" s="11"/>
      <c r="Q81" s="11"/>
      <c r="R81" s="12"/>
      <c r="S81" s="12"/>
      <c r="T81" s="11"/>
      <c r="U81" s="11"/>
      <c r="V81" s="12"/>
      <c r="W81" s="12">
        <v>2</v>
      </c>
      <c r="X81" s="11"/>
      <c r="Y81" s="11"/>
      <c r="Z81" s="11"/>
      <c r="AA81" s="11">
        <v>40</v>
      </c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4"/>
    </row>
    <row r="82" spans="1:38" ht="25.05" customHeight="1">
      <c r="B82" s="13"/>
      <c r="C82" s="29"/>
      <c r="D82" s="30"/>
      <c r="E82" s="19" t="s">
        <v>288</v>
      </c>
      <c r="F82" s="8" t="s">
        <v>42</v>
      </c>
      <c r="G82" s="9">
        <v>0.19583333333333333</v>
      </c>
      <c r="H82" s="9">
        <v>0.22361111111111112</v>
      </c>
      <c r="I82" s="10">
        <f t="shared" si="18"/>
        <v>2.777777777777779E-2</v>
      </c>
      <c r="J82" s="11">
        <v>5</v>
      </c>
      <c r="K82" s="11">
        <v>4</v>
      </c>
      <c r="L82" s="16">
        <f t="shared" si="19"/>
        <v>1.1999999999999995</v>
      </c>
      <c r="M82" s="11"/>
      <c r="N82" s="11"/>
      <c r="O82" s="11"/>
      <c r="P82" s="11"/>
      <c r="Q82" s="11"/>
      <c r="R82" s="12"/>
      <c r="S82" s="12"/>
      <c r="T82" s="11"/>
      <c r="U82" s="11"/>
      <c r="V82" s="12">
        <v>2</v>
      </c>
      <c r="W82" s="12"/>
      <c r="X82" s="11"/>
      <c r="Y82" s="11"/>
      <c r="Z82" s="11"/>
      <c r="AA82" s="11">
        <v>40</v>
      </c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4"/>
    </row>
    <row r="83" spans="1:38" ht="25.05" customHeight="1">
      <c r="B83" s="13"/>
      <c r="C83" s="29"/>
      <c r="D83" s="30"/>
      <c r="E83" s="19" t="s">
        <v>289</v>
      </c>
      <c r="F83" s="8" t="s">
        <v>42</v>
      </c>
      <c r="G83" s="9">
        <v>0.20902777777777778</v>
      </c>
      <c r="H83" s="9">
        <v>0.23680555555555555</v>
      </c>
      <c r="I83" s="10">
        <f t="shared" si="18"/>
        <v>2.7777777777777762E-2</v>
      </c>
      <c r="J83" s="11">
        <v>5</v>
      </c>
      <c r="K83" s="11">
        <v>80</v>
      </c>
      <c r="L83" s="16">
        <f t="shared" si="19"/>
        <v>24.000000000000014</v>
      </c>
      <c r="M83" s="11"/>
      <c r="N83" s="11"/>
      <c r="O83" s="11"/>
      <c r="P83" s="11"/>
      <c r="Q83" s="11"/>
      <c r="R83" s="12"/>
      <c r="S83" s="12"/>
      <c r="T83" s="11"/>
      <c r="U83" s="11"/>
      <c r="V83" s="12"/>
      <c r="W83" s="12">
        <v>2</v>
      </c>
      <c r="X83" s="11"/>
      <c r="Y83" s="11"/>
      <c r="Z83" s="11">
        <v>40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4"/>
    </row>
    <row r="84" spans="1:38" ht="25.05" customHeight="1">
      <c r="B84" s="13"/>
      <c r="C84" s="29"/>
      <c r="D84" s="30"/>
      <c r="E84" s="19" t="s">
        <v>290</v>
      </c>
      <c r="F84" s="8" t="s">
        <v>42</v>
      </c>
      <c r="G84" s="9">
        <v>0.22222222222222221</v>
      </c>
      <c r="H84" s="9">
        <v>0.25</v>
      </c>
      <c r="I84" s="10">
        <f t="shared" si="18"/>
        <v>2.777777777777779E-2</v>
      </c>
      <c r="J84" s="11">
        <v>5</v>
      </c>
      <c r="K84" s="11">
        <v>80</v>
      </c>
      <c r="L84" s="16">
        <f t="shared" si="19"/>
        <v>23.999999999999989</v>
      </c>
      <c r="M84" s="11"/>
      <c r="N84" s="11"/>
      <c r="O84" s="11"/>
      <c r="P84" s="11"/>
      <c r="Q84" s="11"/>
      <c r="R84" s="12"/>
      <c r="S84" s="12"/>
      <c r="T84" s="11"/>
      <c r="U84" s="11"/>
      <c r="V84" s="12">
        <v>2</v>
      </c>
      <c r="W84" s="12"/>
      <c r="X84" s="11"/>
      <c r="Y84" s="11">
        <v>40</v>
      </c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4"/>
    </row>
    <row r="85" spans="1:38" ht="25.05" customHeight="1">
      <c r="B85" s="13"/>
      <c r="C85" s="29"/>
      <c r="D85" s="30"/>
      <c r="E85" s="19" t="s">
        <v>2864</v>
      </c>
      <c r="F85" s="8" t="s">
        <v>42</v>
      </c>
      <c r="G85" s="9">
        <v>0.23333333333333334</v>
      </c>
      <c r="H85" s="9">
        <v>0.26111111111111113</v>
      </c>
      <c r="I85" s="10">
        <f t="shared" si="18"/>
        <v>2.777777777777779E-2</v>
      </c>
      <c r="J85" s="11">
        <v>5</v>
      </c>
      <c r="K85" s="11">
        <v>48</v>
      </c>
      <c r="L85" s="16">
        <f t="shared" si="19"/>
        <v>14.399999999999993</v>
      </c>
      <c r="M85" s="11"/>
      <c r="N85" s="11"/>
      <c r="O85" s="11"/>
      <c r="P85" s="11"/>
      <c r="Q85" s="11"/>
      <c r="R85" s="12"/>
      <c r="S85" s="12"/>
      <c r="T85" s="11"/>
      <c r="U85" s="11"/>
      <c r="V85" s="12"/>
      <c r="W85" s="12">
        <v>2</v>
      </c>
      <c r="X85" s="11">
        <v>40</v>
      </c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4"/>
    </row>
    <row r="86" spans="1:38" ht="25.05" customHeight="1">
      <c r="B86" s="13"/>
      <c r="C86" s="29"/>
      <c r="D86" s="30"/>
      <c r="E86" s="19" t="s">
        <v>291</v>
      </c>
      <c r="F86" s="8" t="s">
        <v>42</v>
      </c>
      <c r="G86" s="9">
        <v>0.23333333333333334</v>
      </c>
      <c r="H86" s="9">
        <v>0.26111111111111113</v>
      </c>
      <c r="I86" s="10">
        <f t="shared" si="18"/>
        <v>2.777777777777779E-2</v>
      </c>
      <c r="J86" s="11">
        <v>5</v>
      </c>
      <c r="K86" s="11">
        <f>4*8</f>
        <v>32</v>
      </c>
      <c r="L86" s="16">
        <f t="shared" si="19"/>
        <v>9.5999999999999961</v>
      </c>
      <c r="M86" s="11"/>
      <c r="N86" s="11"/>
      <c r="O86" s="11"/>
      <c r="P86" s="11"/>
      <c r="Q86" s="11"/>
      <c r="R86" s="12"/>
      <c r="S86" s="12"/>
      <c r="T86" s="11"/>
      <c r="U86" s="11"/>
      <c r="V86" s="12">
        <v>2</v>
      </c>
      <c r="W86" s="12"/>
      <c r="X86" s="11">
        <v>40</v>
      </c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4"/>
    </row>
    <row r="87" spans="1:38" ht="25.05" customHeight="1">
      <c r="B87" s="13"/>
      <c r="C87" s="29"/>
      <c r="D87" s="30"/>
      <c r="E87" s="19" t="s">
        <v>292</v>
      </c>
      <c r="F87" s="8" t="s">
        <v>42</v>
      </c>
      <c r="G87" s="9">
        <v>0.24444444444444444</v>
      </c>
      <c r="H87" s="9">
        <v>0.2722222222222222</v>
      </c>
      <c r="I87" s="10">
        <f t="shared" si="18"/>
        <v>2.7777777777777762E-2</v>
      </c>
      <c r="J87" s="11">
        <v>5</v>
      </c>
      <c r="K87" s="11">
        <v>80</v>
      </c>
      <c r="L87" s="16">
        <f t="shared" si="19"/>
        <v>24.000000000000014</v>
      </c>
      <c r="M87" s="11"/>
      <c r="N87" s="11"/>
      <c r="O87" s="11"/>
      <c r="P87" s="11"/>
      <c r="Q87" s="11"/>
      <c r="R87" s="12"/>
      <c r="S87" s="12"/>
      <c r="T87" s="11"/>
      <c r="U87" s="11"/>
      <c r="V87" s="12"/>
      <c r="W87" s="12">
        <v>2</v>
      </c>
      <c r="X87" s="11"/>
      <c r="Y87" s="11"/>
      <c r="Z87" s="11"/>
      <c r="AA87" s="11">
        <v>40</v>
      </c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4"/>
    </row>
    <row r="88" spans="1:38" ht="25.05" customHeight="1">
      <c r="B88" s="13"/>
      <c r="C88" s="29"/>
      <c r="D88" s="30"/>
      <c r="E88" s="19" t="s">
        <v>293</v>
      </c>
      <c r="F88" s="8" t="s">
        <v>42</v>
      </c>
      <c r="G88" s="9">
        <v>0.24791666666666667</v>
      </c>
      <c r="H88" s="9">
        <v>0.27569444444444446</v>
      </c>
      <c r="I88" s="10">
        <f t="shared" si="18"/>
        <v>2.777777777777779E-2</v>
      </c>
      <c r="J88" s="11">
        <v>5</v>
      </c>
      <c r="K88" s="11">
        <f>33.44</f>
        <v>33.44</v>
      </c>
      <c r="L88" s="16">
        <f t="shared" si="19"/>
        <v>10.031999999999995</v>
      </c>
      <c r="M88" s="11"/>
      <c r="N88" s="11"/>
      <c r="O88" s="11"/>
      <c r="P88" s="11"/>
      <c r="Q88" s="11"/>
      <c r="R88" s="12"/>
      <c r="S88" s="12"/>
      <c r="T88" s="11"/>
      <c r="U88" s="11"/>
      <c r="V88" s="12">
        <v>2</v>
      </c>
      <c r="W88" s="12"/>
      <c r="X88" s="11"/>
      <c r="Y88" s="11"/>
      <c r="Z88" s="11">
        <v>40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4"/>
    </row>
    <row r="89" spans="1:38" ht="25.05" customHeight="1">
      <c r="B89" s="13"/>
      <c r="C89" s="29"/>
      <c r="D89" s="30"/>
      <c r="E89" s="19" t="s">
        <v>2865</v>
      </c>
      <c r="F89" s="8" t="s">
        <v>42</v>
      </c>
      <c r="G89" s="9">
        <v>0.10972222222222222</v>
      </c>
      <c r="H89" s="9">
        <v>0.13958333333333334</v>
      </c>
      <c r="I89" s="10">
        <f>H89-G89</f>
        <v>2.9861111111111116E-2</v>
      </c>
      <c r="J89" s="11">
        <v>4</v>
      </c>
      <c r="K89" s="11">
        <v>105.25</v>
      </c>
      <c r="L89" s="16">
        <f t="shared" ref="L89:L92" si="20">IFERROR(((K89/(J89*I89)/24)),"0")</f>
        <v>36.715116279069761</v>
      </c>
      <c r="M89" s="11"/>
      <c r="N89" s="11"/>
      <c r="O89" s="11"/>
      <c r="P89" s="11"/>
      <c r="Q89" s="11"/>
      <c r="R89" s="12"/>
      <c r="S89" s="12"/>
      <c r="T89" s="11"/>
      <c r="U89" s="11"/>
      <c r="V89" s="12"/>
      <c r="W89" s="12"/>
      <c r="X89" s="11"/>
      <c r="Y89" s="11"/>
      <c r="Z89" s="11"/>
      <c r="AA89" s="11"/>
      <c r="AB89" s="11"/>
      <c r="AC89" s="11"/>
      <c r="AD89" s="11">
        <v>43</v>
      </c>
      <c r="AE89" s="11"/>
      <c r="AF89" s="11"/>
      <c r="AG89" s="11"/>
      <c r="AH89" s="11"/>
      <c r="AI89" s="11"/>
      <c r="AJ89" s="11"/>
      <c r="AK89" s="11"/>
      <c r="AL89" s="14"/>
    </row>
    <row r="90" spans="1:38" ht="25.05" customHeight="1">
      <c r="B90" s="13"/>
      <c r="C90" s="29"/>
      <c r="D90" s="30"/>
      <c r="E90" s="19" t="s">
        <v>2866</v>
      </c>
      <c r="F90" s="8" t="s">
        <v>42</v>
      </c>
      <c r="G90" s="9">
        <v>0.12986111111111112</v>
      </c>
      <c r="H90" s="9">
        <v>0.16250000000000001</v>
      </c>
      <c r="I90" s="10">
        <f>H90-G90</f>
        <v>3.2638888888888884E-2</v>
      </c>
      <c r="J90" s="11">
        <v>4</v>
      </c>
      <c r="K90" s="11">
        <v>78.459999999999994</v>
      </c>
      <c r="L90" s="16">
        <f t="shared" si="20"/>
        <v>25.040425531914895</v>
      </c>
      <c r="M90" s="11"/>
      <c r="N90" s="11"/>
      <c r="O90" s="11"/>
      <c r="P90" s="11"/>
      <c r="Q90" s="11"/>
      <c r="R90" s="12"/>
      <c r="S90" s="12"/>
      <c r="T90" s="11"/>
      <c r="U90" s="11"/>
      <c r="V90" s="12"/>
      <c r="W90" s="12"/>
      <c r="X90" s="11"/>
      <c r="Y90" s="11"/>
      <c r="Z90" s="11"/>
      <c r="AA90" s="11"/>
      <c r="AB90" s="11">
        <v>47</v>
      </c>
      <c r="AC90" s="11"/>
      <c r="AD90" s="11"/>
      <c r="AE90" s="11"/>
      <c r="AF90" s="11"/>
      <c r="AG90" s="11"/>
      <c r="AH90" s="11"/>
      <c r="AI90" s="11"/>
      <c r="AJ90" s="11"/>
      <c r="AK90" s="11"/>
      <c r="AL90" s="14"/>
    </row>
    <row r="91" spans="1:38" ht="25.05" customHeight="1">
      <c r="B91" s="13"/>
      <c r="C91" s="29"/>
      <c r="D91" s="30"/>
      <c r="E91" s="19" t="s">
        <v>2867</v>
      </c>
      <c r="F91" s="8" t="s">
        <v>42</v>
      </c>
      <c r="G91" s="9">
        <v>0.12777777777777777</v>
      </c>
      <c r="H91" s="9">
        <v>0.15694444444444444</v>
      </c>
      <c r="I91" s="10">
        <f>H91-G91</f>
        <v>2.9166666666666674E-2</v>
      </c>
      <c r="J91" s="11">
        <v>4</v>
      </c>
      <c r="K91" s="11">
        <v>104.4</v>
      </c>
      <c r="L91" s="16">
        <f t="shared" si="20"/>
        <v>37.285714285714278</v>
      </c>
      <c r="M91" s="11"/>
      <c r="N91" s="11"/>
      <c r="O91" s="11"/>
      <c r="P91" s="11"/>
      <c r="Q91" s="11"/>
      <c r="R91" s="12"/>
      <c r="S91" s="12"/>
      <c r="T91" s="11"/>
      <c r="U91" s="11"/>
      <c r="V91" s="12"/>
      <c r="W91" s="12"/>
      <c r="X91" s="11"/>
      <c r="Y91" s="11"/>
      <c r="Z91" s="11"/>
      <c r="AA91" s="11"/>
      <c r="AB91" s="11"/>
      <c r="AC91" s="11">
        <v>42</v>
      </c>
      <c r="AD91" s="11"/>
      <c r="AE91" s="11"/>
      <c r="AF91" s="11"/>
      <c r="AG91" s="11"/>
      <c r="AH91" s="11"/>
      <c r="AI91" s="11"/>
      <c r="AJ91" s="11"/>
      <c r="AK91" s="11"/>
      <c r="AL91" s="14"/>
    </row>
    <row r="92" spans="1:38" ht="25.05" customHeight="1">
      <c r="B92" s="13"/>
      <c r="C92" s="29"/>
      <c r="D92" s="30"/>
      <c r="E92" s="19"/>
      <c r="F92" s="8" t="s">
        <v>42</v>
      </c>
      <c r="G92" s="9"/>
      <c r="H92" s="9"/>
      <c r="I92" s="10">
        <v>4</v>
      </c>
      <c r="J92" s="11"/>
      <c r="K92" s="11"/>
      <c r="L92" s="16" t="str">
        <f t="shared" si="20"/>
        <v>0</v>
      </c>
      <c r="M92" s="11"/>
      <c r="N92" s="11"/>
      <c r="O92" s="11"/>
      <c r="P92" s="11"/>
      <c r="Q92" s="11"/>
      <c r="R92" s="12"/>
      <c r="S92" s="12"/>
      <c r="T92" s="11"/>
      <c r="U92" s="11"/>
      <c r="V92" s="12"/>
      <c r="W92" s="12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4"/>
    </row>
    <row r="93" spans="1:38" s="28" customFormat="1" ht="25.5" customHeight="1">
      <c r="A93" s="2"/>
      <c r="B93" s="32"/>
      <c r="C93" s="33"/>
      <c r="D93" s="34"/>
      <c r="E93" s="35"/>
      <c r="F93" s="35"/>
      <c r="G93" s="36"/>
      <c r="H93" s="36"/>
      <c r="I93" s="37"/>
      <c r="J93" s="38"/>
      <c r="K93" s="38">
        <f t="shared" ref="K93:AI93" si="21">SUM(K34:K92)</f>
        <v>4857.9299999999985</v>
      </c>
      <c r="L93" s="39">
        <f t="shared" si="21"/>
        <v>2492.7231310470265</v>
      </c>
      <c r="M93" s="38">
        <f t="shared" si="21"/>
        <v>0</v>
      </c>
      <c r="N93" s="38">
        <f t="shared" si="21"/>
        <v>0</v>
      </c>
      <c r="O93" s="38">
        <f t="shared" si="21"/>
        <v>0</v>
      </c>
      <c r="P93" s="38">
        <f t="shared" si="21"/>
        <v>0</v>
      </c>
      <c r="Q93" s="38">
        <f t="shared" si="21"/>
        <v>0</v>
      </c>
      <c r="R93" s="38">
        <f t="shared" si="21"/>
        <v>0</v>
      </c>
      <c r="S93" s="38">
        <f t="shared" si="21"/>
        <v>0</v>
      </c>
      <c r="T93" s="38">
        <f t="shared" si="21"/>
        <v>0</v>
      </c>
      <c r="U93" s="38">
        <f t="shared" si="21"/>
        <v>0</v>
      </c>
      <c r="V93" s="38">
        <f t="shared" si="21"/>
        <v>62</v>
      </c>
      <c r="W93" s="38">
        <f t="shared" si="21"/>
        <v>48</v>
      </c>
      <c r="X93" s="38">
        <f t="shared" si="21"/>
        <v>335</v>
      </c>
      <c r="Y93" s="38">
        <f t="shared" si="21"/>
        <v>250</v>
      </c>
      <c r="Z93" s="38">
        <f t="shared" si="21"/>
        <v>295</v>
      </c>
      <c r="AA93" s="38">
        <f t="shared" si="21"/>
        <v>205</v>
      </c>
      <c r="AB93" s="38">
        <f t="shared" si="21"/>
        <v>226</v>
      </c>
      <c r="AC93" s="38">
        <f t="shared" si="21"/>
        <v>195</v>
      </c>
      <c r="AD93" s="38">
        <f t="shared" si="21"/>
        <v>114</v>
      </c>
      <c r="AE93" s="38">
        <f t="shared" si="21"/>
        <v>0</v>
      </c>
      <c r="AF93" s="38">
        <f t="shared" si="21"/>
        <v>0</v>
      </c>
      <c r="AG93" s="38">
        <f t="shared" si="21"/>
        <v>93</v>
      </c>
      <c r="AH93" s="38">
        <f t="shared" si="21"/>
        <v>93</v>
      </c>
      <c r="AI93" s="38">
        <f t="shared" si="21"/>
        <v>93</v>
      </c>
      <c r="AJ93" s="38">
        <f>SUM(AJ34:AJ92)</f>
        <v>93</v>
      </c>
      <c r="AK93" s="38">
        <f>SUM(AK34:AK92)</f>
        <v>0</v>
      </c>
      <c r="AL93" s="38">
        <f>SUM(AL34:AL92)</f>
        <v>0</v>
      </c>
    </row>
    <row r="94" spans="1:38" ht="38.1" customHeight="1">
      <c r="B94" s="40" t="s">
        <v>45</v>
      </c>
      <c r="C94" s="41"/>
      <c r="D94" s="41"/>
      <c r="E94" s="41"/>
      <c r="F94" s="41"/>
      <c r="G94" s="41"/>
      <c r="H94" s="41"/>
      <c r="I94" s="41"/>
      <c r="J94" s="41"/>
      <c r="K94" s="42">
        <f>K30+K33+K93</f>
        <v>6732.2099999999982</v>
      </c>
      <c r="L94" s="42">
        <f>L30+L33+L93</f>
        <v>4050.2090709488739</v>
      </c>
      <c r="M94" s="43">
        <f t="shared" ref="M94:AJ94" si="22">(M30+M33+M93)/(480-15-30)</f>
        <v>0.66896551724137931</v>
      </c>
      <c r="N94" s="43">
        <f t="shared" si="22"/>
        <v>0</v>
      </c>
      <c r="O94" s="43">
        <f t="shared" si="22"/>
        <v>0</v>
      </c>
      <c r="P94" s="43">
        <f t="shared" si="22"/>
        <v>0</v>
      </c>
      <c r="Q94" s="43">
        <f t="shared" si="22"/>
        <v>0.15862068965517243</v>
      </c>
      <c r="R94" s="43">
        <f t="shared" si="22"/>
        <v>0.22758620689655173</v>
      </c>
      <c r="S94" s="43">
        <f t="shared" si="22"/>
        <v>0.86436781609195401</v>
      </c>
      <c r="T94" s="43">
        <f t="shared" si="22"/>
        <v>0</v>
      </c>
      <c r="U94" s="43">
        <f t="shared" si="22"/>
        <v>0</v>
      </c>
      <c r="V94" s="43">
        <f t="shared" si="22"/>
        <v>0.14252873563218391</v>
      </c>
      <c r="W94" s="43">
        <f t="shared" si="22"/>
        <v>0.1103448275862069</v>
      </c>
      <c r="X94" s="43">
        <f t="shared" si="22"/>
        <v>0.77011494252873558</v>
      </c>
      <c r="Y94" s="43">
        <f t="shared" si="22"/>
        <v>0.57471264367816088</v>
      </c>
      <c r="Z94" s="43">
        <f t="shared" si="22"/>
        <v>0.67816091954022983</v>
      </c>
      <c r="AA94" s="43">
        <f t="shared" si="22"/>
        <v>0.47126436781609193</v>
      </c>
      <c r="AB94" s="43">
        <f t="shared" si="22"/>
        <v>0.51954022988505744</v>
      </c>
      <c r="AC94" s="43">
        <f t="shared" si="22"/>
        <v>0.44827586206896552</v>
      </c>
      <c r="AD94" s="43">
        <f t="shared" si="22"/>
        <v>0.2620689655172414</v>
      </c>
      <c r="AE94" s="43">
        <f t="shared" si="22"/>
        <v>0</v>
      </c>
      <c r="AF94" s="43">
        <f t="shared" si="22"/>
        <v>0</v>
      </c>
      <c r="AG94" s="43">
        <f t="shared" si="22"/>
        <v>0.21379310344827587</v>
      </c>
      <c r="AH94" s="43">
        <f t="shared" si="22"/>
        <v>0.21379310344827587</v>
      </c>
      <c r="AI94" s="43">
        <f t="shared" si="22"/>
        <v>0.21379310344827587</v>
      </c>
      <c r="AJ94" s="43">
        <f t="shared" si="22"/>
        <v>0.21379310344827587</v>
      </c>
      <c r="AK94" s="43">
        <f>(AK30+AK33+AK93)/(480-15-30)</f>
        <v>0</v>
      </c>
      <c r="AL94" s="43">
        <f>(AL30+AL33+AL93)/(480-15-30)</f>
        <v>0</v>
      </c>
    </row>
    <row r="95" spans="1:38" ht="25.05" customHeight="1">
      <c r="B95" s="44"/>
      <c r="C95" s="44"/>
      <c r="D95" s="44"/>
      <c r="E95" s="45"/>
      <c r="F95" s="45"/>
      <c r="G95" s="45"/>
      <c r="H95" s="45"/>
      <c r="I95" s="46"/>
      <c r="J95" s="46"/>
      <c r="K95" s="45"/>
      <c r="L95" s="47"/>
      <c r="M95" s="47"/>
      <c r="N95" s="47"/>
      <c r="O95" s="47"/>
      <c r="P95" s="47"/>
      <c r="Q95" s="45"/>
      <c r="R95" s="45"/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  <c r="AE95" s="45"/>
      <c r="AF95" s="45"/>
      <c r="AG95" s="45"/>
      <c r="AH95" s="45"/>
      <c r="AI95" s="45"/>
      <c r="AJ95" s="45"/>
    </row>
    <row r="96" spans="1:38" ht="25.05" customHeight="1">
      <c r="B96" s="44"/>
      <c r="C96" s="44"/>
      <c r="D96" s="44"/>
      <c r="E96" s="45"/>
      <c r="F96" s="45"/>
      <c r="G96" s="45"/>
      <c r="H96" s="45"/>
      <c r="I96" s="48" t="s">
        <v>46</v>
      </c>
      <c r="J96" s="46"/>
      <c r="K96" s="45"/>
      <c r="L96" s="47"/>
      <c r="M96" s="47"/>
      <c r="N96" s="47"/>
      <c r="O96" s="47"/>
      <c r="P96" s="47"/>
      <c r="Q96" s="45"/>
      <c r="R96" s="45"/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  <c r="AE96" s="45"/>
      <c r="AF96" s="45"/>
      <c r="AG96" s="45"/>
      <c r="AH96" s="45"/>
      <c r="AI96" s="45"/>
      <c r="AJ96" s="45"/>
    </row>
    <row r="97" spans="2:34" ht="25.05" customHeight="1">
      <c r="B97" s="44"/>
      <c r="C97" s="44"/>
      <c r="D97" s="44"/>
      <c r="E97" s="45"/>
      <c r="F97" s="45"/>
      <c r="G97" s="45"/>
      <c r="H97" s="45"/>
      <c r="I97" s="49" t="s">
        <v>47</v>
      </c>
      <c r="J97" s="9">
        <v>0</v>
      </c>
      <c r="K97" s="11">
        <v>7</v>
      </c>
      <c r="L97" s="11" t="s">
        <v>48</v>
      </c>
      <c r="M97" s="47"/>
      <c r="N97" s="14">
        <v>3</v>
      </c>
      <c r="O97" s="14"/>
      <c r="P97" s="14"/>
      <c r="Q97" s="50" t="s">
        <v>49</v>
      </c>
      <c r="R97" s="51"/>
      <c r="S97" s="45"/>
      <c r="T97" s="45"/>
      <c r="U97" s="45"/>
      <c r="V97" s="45"/>
      <c r="W97" s="45"/>
      <c r="X97" s="45"/>
      <c r="Y97" s="45"/>
      <c r="Z97" s="45"/>
      <c r="AA97" s="45"/>
      <c r="AC97" s="45"/>
      <c r="AD97" s="45"/>
      <c r="AE97" s="45"/>
      <c r="AF97" s="45"/>
      <c r="AG97" s="45"/>
      <c r="AH97" s="45"/>
    </row>
    <row r="98" spans="2:34" ht="25.05" customHeight="1">
      <c r="B98" s="44"/>
      <c r="C98" s="44"/>
      <c r="D98" s="44"/>
      <c r="E98" s="45"/>
      <c r="F98" s="45"/>
      <c r="G98" s="45"/>
      <c r="H98" s="45"/>
      <c r="I98" s="49" t="s">
        <v>50</v>
      </c>
      <c r="J98" s="9">
        <v>0</v>
      </c>
      <c r="K98" s="11">
        <v>0</v>
      </c>
      <c r="L98" s="11" t="s">
        <v>48</v>
      </c>
      <c r="M98" s="47"/>
      <c r="N98" s="14">
        <v>0</v>
      </c>
      <c r="O98" s="14"/>
      <c r="P98" s="14"/>
      <c r="Q98" s="50" t="s">
        <v>51</v>
      </c>
      <c r="R98" s="51"/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  <c r="AE98" s="45"/>
      <c r="AF98" s="45"/>
      <c r="AG98" s="45"/>
      <c r="AH98" s="45"/>
    </row>
    <row r="99" spans="2:34" ht="25.05" customHeight="1">
      <c r="B99" s="44"/>
      <c r="C99" s="44"/>
      <c r="D99" s="44"/>
      <c r="E99" s="45"/>
      <c r="F99" s="45"/>
      <c r="G99" s="45"/>
      <c r="H99" s="45"/>
      <c r="I99" s="49" t="s">
        <v>52</v>
      </c>
      <c r="J99" s="9">
        <v>0</v>
      </c>
      <c r="K99" s="11">
        <v>18</v>
      </c>
      <c r="L99" s="11" t="s">
        <v>48</v>
      </c>
      <c r="M99" s="47"/>
      <c r="N99" s="14">
        <v>1</v>
      </c>
      <c r="O99" s="14"/>
      <c r="P99" s="14"/>
      <c r="Q99" s="50" t="s">
        <v>53</v>
      </c>
      <c r="R99" s="51"/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  <c r="AE99" s="45"/>
      <c r="AF99" s="45"/>
      <c r="AG99" s="45"/>
      <c r="AH99" s="45"/>
    </row>
    <row r="100" spans="2:34" ht="25.05" customHeight="1">
      <c r="B100" s="44"/>
      <c r="C100" s="44"/>
      <c r="D100" s="44"/>
      <c r="E100" s="45"/>
      <c r="F100" s="45"/>
      <c r="G100" s="45"/>
      <c r="H100" s="45"/>
      <c r="I100" s="52" t="s">
        <v>54</v>
      </c>
      <c r="J100" s="53">
        <v>0</v>
      </c>
      <c r="K100" s="11">
        <v>2</v>
      </c>
      <c r="L100" s="54" t="s">
        <v>48</v>
      </c>
      <c r="M100" s="47"/>
      <c r="N100" s="14">
        <v>4</v>
      </c>
      <c r="O100" s="14"/>
      <c r="P100" s="14"/>
      <c r="Q100" s="50" t="s">
        <v>55</v>
      </c>
      <c r="R100" s="51"/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  <c r="AE100" s="45"/>
      <c r="AF100" s="45"/>
      <c r="AG100" s="45"/>
      <c r="AH100" s="45"/>
    </row>
    <row r="101" spans="2:34" ht="25.05" customHeight="1">
      <c r="B101" s="44"/>
      <c r="C101" s="44"/>
      <c r="D101" s="44"/>
      <c r="E101" s="45"/>
      <c r="F101" s="45"/>
      <c r="G101" s="45"/>
      <c r="H101" s="45"/>
      <c r="I101" s="49" t="s">
        <v>56</v>
      </c>
      <c r="J101" s="9">
        <v>0</v>
      </c>
      <c r="K101" s="11">
        <v>27</v>
      </c>
      <c r="L101" s="11" t="s">
        <v>48</v>
      </c>
      <c r="M101" s="47"/>
      <c r="N101"/>
      <c r="O101"/>
      <c r="P101"/>
      <c r="Q101"/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  <c r="AE101" s="45"/>
      <c r="AF101" s="45"/>
      <c r="AG101" s="45"/>
      <c r="AH101" s="45"/>
    </row>
    <row r="102" spans="2:34" ht="25.05" customHeight="1">
      <c r="B102" s="44"/>
      <c r="C102" s="44"/>
      <c r="D102" s="44"/>
      <c r="E102" s="45"/>
      <c r="F102" s="45"/>
      <c r="G102" s="45"/>
      <c r="H102" s="45"/>
      <c r="M102" s="47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  <c r="AE102" s="45"/>
      <c r="AF102" s="45"/>
      <c r="AG102" s="45"/>
      <c r="AH102" s="45"/>
    </row>
    <row r="103" spans="2:34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L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631C8727E9F341B58A864A14ECA3A9" ma:contentTypeVersion="17" ma:contentTypeDescription="Create a new document." ma:contentTypeScope="" ma:versionID="c6005975cbf64ba9183a46009156fddf">
  <xsd:schema xmlns:xsd="http://www.w3.org/2001/XMLSchema" xmlns:xs="http://www.w3.org/2001/XMLSchema" xmlns:p="http://schemas.microsoft.com/office/2006/metadata/properties" xmlns:ns2="0ea193a0-a4e8-40f9-868c-88f7d36eae2d" xmlns:ns3="de6fe8b5-791a-43ec-a5ff-f7355eeb75f1" targetNamespace="http://schemas.microsoft.com/office/2006/metadata/properties" ma:root="true" ma:fieldsID="f931201fc2ec8911e984d24ca963aa48" ns2:_="" ns3:_="">
    <xsd:import namespace="0ea193a0-a4e8-40f9-868c-88f7d36eae2d"/>
    <xsd:import namespace="de6fe8b5-791a-43ec-a5ff-f7355eeb7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193a0-a4e8-40f9-868c-88f7d36eae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2a6f55-e156-4039-9ab8-889c5b25f1c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fe8b5-791a-43ec-a5ff-f7355eeb75f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109874-895f-455b-9d4a-a2ee5f1d71ec}" ma:internalName="TaxCatchAll" ma:showField="CatchAllData" ma:web="de6fe8b5-791a-43ec-a5ff-f7355eeb7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ea193a0-a4e8-40f9-868c-88f7d36eae2d">
      <Terms xmlns="http://schemas.microsoft.com/office/infopath/2007/PartnerControls"/>
    </lcf76f155ced4ddcb4097134ff3c332f>
    <TaxCatchAll xmlns="de6fe8b5-791a-43ec-a5ff-f7355eeb75f1" xsi:nil="true"/>
  </documentManagement>
</p:properties>
</file>

<file path=customXml/itemProps1.xml><?xml version="1.0" encoding="utf-8"?>
<ds:datastoreItem xmlns:ds="http://schemas.openxmlformats.org/officeDocument/2006/customXml" ds:itemID="{0DE78EE8-E41E-4CC3-BA7A-2EB2E257E3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a193a0-a4e8-40f9-868c-88f7d36eae2d"/>
    <ds:schemaRef ds:uri="de6fe8b5-791a-43ec-a5ff-f7355eeb7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FAF98E-990D-4331-9B96-E4B57DD48A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6BC7F4-405E-4689-8D7E-793552050B6B}">
  <ds:schemaRefs>
    <ds:schemaRef ds:uri="http://schemas.microsoft.com/office/2006/metadata/properties"/>
    <ds:schemaRef ds:uri="http://schemas.microsoft.com/office/infopath/2007/PartnerControls"/>
    <ds:schemaRef ds:uri="0ea193a0-a4e8-40f9-868c-88f7d36eae2d"/>
    <ds:schemaRef ds:uri="de6fe8b5-791a-43ec-a5ff-f7355eeb75f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From</vt:lpstr>
      <vt:lpstr>D 31 Mar</vt:lpstr>
      <vt:lpstr>N 30 Mar</vt:lpstr>
      <vt:lpstr>D 30 Mar</vt:lpstr>
      <vt:lpstr>N 29 Mar</vt:lpstr>
      <vt:lpstr>D 28 Mar </vt:lpstr>
      <vt:lpstr>N 27 Mar</vt:lpstr>
      <vt:lpstr>D 27 Mar</vt:lpstr>
      <vt:lpstr>N 26 Mar</vt:lpstr>
      <vt:lpstr>D 26 Mar </vt:lpstr>
      <vt:lpstr>N 25 Mar</vt:lpstr>
      <vt:lpstr>D 25 Mar</vt:lpstr>
      <vt:lpstr>N 24 Mar</vt:lpstr>
      <vt:lpstr>D 24 Mar</vt:lpstr>
      <vt:lpstr>ยังไม่หั่น</vt:lpstr>
      <vt:lpstr>ของเหลือหั่น</vt:lpstr>
      <vt:lpstr>N 23 Mar</vt:lpstr>
      <vt:lpstr>D 23 Mar</vt:lpstr>
      <vt:lpstr>N 22 Mar</vt:lpstr>
      <vt:lpstr>D 21 Mar </vt:lpstr>
      <vt:lpstr>N 20 Mar</vt:lpstr>
      <vt:lpstr>D 20 Mar</vt:lpstr>
      <vt:lpstr>N 19 Mar</vt:lpstr>
      <vt:lpstr>D 19 Mar</vt:lpstr>
      <vt:lpstr>N 18 Mar</vt:lpstr>
      <vt:lpstr>D 18 Mar</vt:lpstr>
      <vt:lpstr>N 17 Mar</vt:lpstr>
      <vt:lpstr>D 17 Mar </vt:lpstr>
      <vt:lpstr>N 16 Mar</vt:lpstr>
      <vt:lpstr>D 16 Mar</vt:lpstr>
      <vt:lpstr>N 15 Mar</vt:lpstr>
      <vt:lpstr>D 14 Mar</vt:lpstr>
      <vt:lpstr>N 13 Mar</vt:lpstr>
      <vt:lpstr>D 13 Mar </vt:lpstr>
      <vt:lpstr>D 12 Mar</vt:lpstr>
      <vt:lpstr>N 11 Mar</vt:lpstr>
      <vt:lpstr>D 11 Mar</vt:lpstr>
      <vt:lpstr>N 12 Mar</vt:lpstr>
      <vt:lpstr>N 10 Mar</vt:lpstr>
      <vt:lpstr>D 10 Mar</vt:lpstr>
      <vt:lpstr>N 9 Mar</vt:lpstr>
      <vt:lpstr>D 9 Mar</vt:lpstr>
      <vt:lpstr>N 8 Mar</vt:lpstr>
      <vt:lpstr>D 7 Mar</vt:lpstr>
      <vt:lpstr>N 6 Mar</vt:lpstr>
      <vt:lpstr>D 6 Mar</vt:lpstr>
      <vt:lpstr>N 5 Mar</vt:lpstr>
      <vt:lpstr>D 5 Mar</vt:lpstr>
      <vt:lpstr>N 4 Mar</vt:lpstr>
      <vt:lpstr>D 4 Mar</vt:lpstr>
      <vt:lpstr>N 3 Mar</vt:lpstr>
      <vt:lpstr>D 3 Mar</vt:lpstr>
      <vt:lpstr>N 2 Mar</vt:lpstr>
      <vt:lpstr>D 2 Mar</vt:lpstr>
      <vt:lpstr>N 01 Mar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wx 1</cp:lastModifiedBy>
  <cp:revision/>
  <dcterms:created xsi:type="dcterms:W3CDTF">2026-02-02T13:38:34Z</dcterms:created>
  <dcterms:modified xsi:type="dcterms:W3CDTF">2026-05-28T05:21:05Z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0x010100B3631C8727E9F341B58A864A14ECA3A9</vt:lpwstr>
  </property>
  <property fmtid="{D5CDD505-2E9C-101B-9397-08002B2CF9AE}" pid="3" name="MediaServiceImageTags">
    <vt:lpwstr/>
  </property>
  <property fmtid="{D5CDD505-2E9C-101B-9397-08002B2CF9AE}" pid="4" name="MSIP_Label_ac416c6e-dfd2-4f34-9c66-7e3f78f23021_Enabled">
    <vt:lpwstr>true</vt:lpwstr>
  </property>
  <property fmtid="{D5CDD505-2E9C-101B-9397-08002B2CF9AE}" pid="5" name="MSIP_Label_ac416c6e-dfd2-4f34-9c66-7e3f78f23021_SetDate">
    <vt:lpwstr>2026-02-03T18:07:58Z</vt:lpwstr>
  </property>
  <property fmtid="{D5CDD505-2E9C-101B-9397-08002B2CF9AE}" pid="6" name="MSIP_Label_ac416c6e-dfd2-4f34-9c66-7e3f78f23021_Method">
    <vt:lpwstr>Standard</vt:lpwstr>
  </property>
  <property fmtid="{D5CDD505-2E9C-101B-9397-08002B2CF9AE}" pid="7" name="MSIP_Label_ac416c6e-dfd2-4f34-9c66-7e3f78f23021_Name">
    <vt:lpwstr>ac416c6e-dfd2-4f34-9c66-7e3f78f23021</vt:lpwstr>
  </property>
  <property fmtid="{D5CDD505-2E9C-101B-9397-08002B2CF9AE}" pid="8" name="MSIP_Label_ac416c6e-dfd2-4f34-9c66-7e3f78f23021_SiteId">
    <vt:lpwstr>5af395c7-bcfc-43ac-98fa-a57dd56b8796</vt:lpwstr>
  </property>
  <property fmtid="{D5CDD505-2E9C-101B-9397-08002B2CF9AE}" pid="9" name="MSIP_Label_ac416c6e-dfd2-4f34-9c66-7e3f78f23021_ActionId">
    <vt:lpwstr>1e1e985c-a510-4e31-99a1-a1930010042e</vt:lpwstr>
  </property>
  <property fmtid="{D5CDD505-2E9C-101B-9397-08002B2CF9AE}" pid="10" name="MSIP_Label_ac416c6e-dfd2-4f34-9c66-7e3f78f23021_ContentBits">
    <vt:lpwstr>3</vt:lpwstr>
  </property>
  <property fmtid="{D5CDD505-2E9C-101B-9397-08002B2CF9AE}" pid="11" name="MSIP_Label_ac416c6e-dfd2-4f34-9c66-7e3f78f23021_Tag">
    <vt:lpwstr>10, 3, 0, 1</vt:lpwstr>
  </property>
</Properties>
</file>