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enryblair/Desktop/Projects/Stevens/CS-513/FinalExam/"/>
    </mc:Choice>
  </mc:AlternateContent>
  <xr:revisionPtr revIDLastSave="0" documentId="13_ncr:1_{D4205589-2844-5B45-A4E2-760B9C98F47F}" xr6:coauthVersionLast="47" xr6:coauthVersionMax="47" xr10:uidLastSave="{00000000-0000-0000-0000-000000000000}"/>
  <bookViews>
    <workbookView xWindow="1100" yWindow="840" windowWidth="28040" windowHeight="17420" xr2:uid="{5CD4EC78-82A5-1D4F-B2C7-988FE798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3" i="1" l="1"/>
  <c r="O143" i="1"/>
  <c r="N143" i="1"/>
  <c r="M143" i="1"/>
  <c r="P142" i="1"/>
  <c r="P141" i="1"/>
  <c r="F143" i="1"/>
  <c r="E143" i="1"/>
  <c r="D143" i="1"/>
  <c r="C143" i="1"/>
  <c r="F142" i="1"/>
  <c r="F141" i="1"/>
  <c r="P137" i="1"/>
  <c r="O137" i="1"/>
  <c r="N137" i="1"/>
  <c r="M137" i="1"/>
  <c r="P136" i="1"/>
  <c r="F137" i="1"/>
  <c r="E137" i="1"/>
  <c r="D137" i="1"/>
  <c r="C137" i="1"/>
  <c r="F136" i="1"/>
  <c r="P111" i="1"/>
  <c r="M124" i="1" s="1"/>
  <c r="P124" i="1" s="1"/>
  <c r="M111" i="1"/>
  <c r="L115" i="1" s="1"/>
  <c r="O111" i="1"/>
  <c r="L117" i="1" s="1"/>
  <c r="N111" i="1"/>
  <c r="L116" i="1" s="1"/>
  <c r="P110" i="1"/>
  <c r="R124" i="1" s="1"/>
  <c r="P109" i="1"/>
  <c r="R123" i="1" s="1"/>
  <c r="P108" i="1"/>
  <c r="R122" i="1" s="1"/>
  <c r="F111" i="1"/>
  <c r="D123" i="1" s="1"/>
  <c r="E111" i="1"/>
  <c r="B117" i="1" s="1"/>
  <c r="D111" i="1"/>
  <c r="B116" i="1" s="1"/>
  <c r="C111" i="1"/>
  <c r="B115" i="1" s="1"/>
  <c r="F110" i="1"/>
  <c r="H124" i="1" s="1"/>
  <c r="F109" i="1"/>
  <c r="H123" i="1" s="1"/>
  <c r="F108" i="1"/>
  <c r="H122" i="1" s="1"/>
  <c r="F87" i="1"/>
  <c r="B101" i="1" s="1"/>
  <c r="E101" i="1" s="1"/>
  <c r="E87" i="1"/>
  <c r="B93" i="1" s="1"/>
  <c r="D87" i="1"/>
  <c r="B92" i="1" s="1"/>
  <c r="C87" i="1"/>
  <c r="B91" i="1" s="1"/>
  <c r="F86" i="1"/>
  <c r="F85" i="1"/>
  <c r="F84" i="1"/>
  <c r="F83" i="1"/>
  <c r="F82" i="1"/>
  <c r="F81" i="1"/>
  <c r="F64" i="1"/>
  <c r="E64" i="1"/>
  <c r="D64" i="1"/>
  <c r="C64" i="1"/>
  <c r="F63" i="1"/>
  <c r="F58" i="1"/>
  <c r="E58" i="1"/>
  <c r="D58" i="1"/>
  <c r="C58" i="1"/>
  <c r="F57" i="1"/>
  <c r="C50" i="1"/>
  <c r="D50" i="1"/>
  <c r="B50" i="1"/>
  <c r="C49" i="1"/>
  <c r="D49" i="1"/>
  <c r="B49" i="1"/>
  <c r="P65" i="1"/>
  <c r="O65" i="1"/>
  <c r="N65" i="1"/>
  <c r="M65" i="1"/>
  <c r="P64" i="1"/>
  <c r="P63" i="1"/>
  <c r="P59" i="1"/>
  <c r="P39" i="1"/>
  <c r="O59" i="1"/>
  <c r="N59" i="1"/>
  <c r="M59" i="1"/>
  <c r="P58" i="1"/>
  <c r="P57" i="1"/>
  <c r="M52" i="1"/>
  <c r="N52" i="1"/>
  <c r="M51" i="1"/>
  <c r="N51" i="1"/>
  <c r="L52" i="1"/>
  <c r="L51" i="1"/>
  <c r="M50" i="1"/>
  <c r="N50" i="1"/>
  <c r="L50" i="1"/>
  <c r="L49" i="1"/>
  <c r="M49" i="1"/>
  <c r="N49" i="1"/>
  <c r="M39" i="1"/>
  <c r="F37" i="1"/>
  <c r="E37" i="1"/>
  <c r="D37" i="1"/>
  <c r="C37" i="1"/>
  <c r="O39" i="1"/>
  <c r="N39" i="1"/>
  <c r="P38" i="1"/>
  <c r="P37" i="1"/>
  <c r="P36" i="1"/>
  <c r="P35" i="1"/>
  <c r="F36" i="1"/>
  <c r="F35" i="1"/>
  <c r="C30" i="1"/>
  <c r="D30" i="1"/>
  <c r="B30" i="1"/>
  <c r="C29" i="1"/>
  <c r="D29" i="1"/>
  <c r="B29" i="1"/>
  <c r="C28" i="1"/>
  <c r="D28" i="1"/>
  <c r="B28" i="1"/>
  <c r="C27" i="1"/>
  <c r="D27" i="1"/>
  <c r="B27" i="1"/>
  <c r="D26" i="1"/>
  <c r="C26" i="1"/>
  <c r="B26" i="1"/>
  <c r="F12" i="1"/>
  <c r="F7" i="1"/>
  <c r="F8" i="1"/>
  <c r="F9" i="1"/>
  <c r="F10" i="1"/>
  <c r="F11" i="1"/>
  <c r="F6" i="1"/>
  <c r="D12" i="1"/>
  <c r="E12" i="1"/>
  <c r="C12" i="1"/>
  <c r="C115" i="1" l="1"/>
  <c r="D115" i="1" s="1"/>
  <c r="C116" i="1"/>
  <c r="D116" i="1" s="1"/>
  <c r="D122" i="1"/>
  <c r="G122" i="1" s="1"/>
  <c r="C117" i="1"/>
  <c r="D117" i="1" s="1"/>
  <c r="C122" i="1"/>
  <c r="M117" i="1"/>
  <c r="N117" i="1" s="1"/>
  <c r="H99" i="1"/>
  <c r="M115" i="1"/>
  <c r="N115" i="1" s="1"/>
  <c r="B124" i="1"/>
  <c r="E124" i="1" s="1"/>
  <c r="H101" i="1"/>
  <c r="B122" i="1"/>
  <c r="E122" i="1" s="1"/>
  <c r="M116" i="1"/>
  <c r="N116" i="1" s="1"/>
  <c r="C123" i="1"/>
  <c r="N124" i="1"/>
  <c r="Q124" i="1" s="1"/>
  <c r="L122" i="1"/>
  <c r="O122" i="1" s="1"/>
  <c r="N122" i="1"/>
  <c r="Q122" i="1" s="1"/>
  <c r="M122" i="1"/>
  <c r="P122" i="1" s="1"/>
  <c r="B123" i="1"/>
  <c r="E123" i="1" s="1"/>
  <c r="L124" i="1"/>
  <c r="O124" i="1" s="1"/>
  <c r="N123" i="1"/>
  <c r="Q123" i="1" s="1"/>
  <c r="D124" i="1"/>
  <c r="G124" i="1" s="1"/>
  <c r="M123" i="1"/>
  <c r="C124" i="1"/>
  <c r="F124" i="1" s="1"/>
  <c r="L123" i="1"/>
  <c r="O123" i="1" s="1"/>
  <c r="F122" i="1"/>
  <c r="C93" i="1"/>
  <c r="D93" i="1" s="1"/>
  <c r="G123" i="1"/>
  <c r="H102" i="1"/>
  <c r="H100" i="1"/>
  <c r="B44" i="1"/>
  <c r="C91" i="1"/>
  <c r="D91" i="1" s="1"/>
  <c r="C92" i="1"/>
  <c r="D92" i="1" s="1"/>
  <c r="H98" i="1"/>
  <c r="B100" i="1"/>
  <c r="E100" i="1" s="1"/>
  <c r="B99" i="1"/>
  <c r="E99" i="1" s="1"/>
  <c r="D99" i="1"/>
  <c r="G99" i="1" s="1"/>
  <c r="B102" i="1"/>
  <c r="E102" i="1" s="1"/>
  <c r="C102" i="1"/>
  <c r="F102" i="1" s="1"/>
  <c r="C98" i="1"/>
  <c r="F98" i="1" s="1"/>
  <c r="D101" i="1"/>
  <c r="G101" i="1" s="1"/>
  <c r="C101" i="1"/>
  <c r="F101" i="1" s="1"/>
  <c r="D102" i="1"/>
  <c r="G102" i="1" s="1"/>
  <c r="B98" i="1"/>
  <c r="E98" i="1" s="1"/>
  <c r="D98" i="1"/>
  <c r="G98" i="1" s="1"/>
  <c r="C99" i="1"/>
  <c r="F99" i="1" s="1"/>
  <c r="D100" i="1"/>
  <c r="G100" i="1" s="1"/>
  <c r="C100" i="1"/>
  <c r="F100" i="1" s="1"/>
  <c r="E49" i="1"/>
  <c r="B42" i="1"/>
  <c r="P50" i="1"/>
  <c r="B43" i="1"/>
  <c r="G49" i="1"/>
  <c r="G50" i="1"/>
  <c r="F49" i="1"/>
  <c r="F50" i="1"/>
  <c r="E50" i="1"/>
  <c r="Q51" i="1"/>
  <c r="O50" i="1"/>
  <c r="O49" i="1"/>
  <c r="L43" i="1"/>
  <c r="L44" i="1"/>
  <c r="P51" i="1"/>
  <c r="P49" i="1"/>
  <c r="Q49" i="1"/>
  <c r="O52" i="1"/>
  <c r="O51" i="1"/>
  <c r="L42" i="1"/>
  <c r="P52" i="1"/>
  <c r="Q50" i="1"/>
  <c r="E30" i="1"/>
  <c r="Q52" i="1"/>
  <c r="F28" i="1"/>
  <c r="B21" i="1"/>
  <c r="F26" i="1"/>
  <c r="E27" i="1"/>
  <c r="F29" i="1"/>
  <c r="B20" i="1"/>
  <c r="E26" i="1"/>
  <c r="G29" i="1"/>
  <c r="G26" i="1"/>
  <c r="G30" i="1"/>
  <c r="G27" i="1"/>
  <c r="F30" i="1"/>
  <c r="F27" i="1"/>
  <c r="E28" i="1"/>
  <c r="G28" i="1"/>
  <c r="E29" i="1"/>
  <c r="B19" i="1"/>
  <c r="L119" i="1" l="1" a="1"/>
  <c r="L119" i="1" s="1"/>
  <c r="M128" i="1" a="1"/>
  <c r="M128" i="1" s="1"/>
  <c r="B119" i="1" a="1"/>
  <c r="B119" i="1" s="1"/>
  <c r="C127" i="1" a="1"/>
  <c r="C127" i="1" s="1"/>
  <c r="L128" i="1" a="1"/>
  <c r="L128" i="1" s="1"/>
  <c r="N128" i="1" s="1"/>
  <c r="B129" i="1" a="1"/>
  <c r="B129" i="1" s="1"/>
  <c r="B128" i="1" a="1"/>
  <c r="B128" i="1" s="1"/>
  <c r="L127" i="1" a="1"/>
  <c r="L127" i="1" s="1"/>
  <c r="C129" i="1" a="1"/>
  <c r="C129" i="1" s="1"/>
  <c r="C128" i="1" a="1"/>
  <c r="C128" i="1" s="1"/>
  <c r="B127" i="1" a="1"/>
  <c r="B127" i="1" s="1"/>
  <c r="L129" i="1" a="1"/>
  <c r="L129" i="1" s="1"/>
  <c r="M129" i="1" a="1"/>
  <c r="M129" i="1" s="1"/>
  <c r="M127" i="1" a="1"/>
  <c r="M127" i="1" s="1"/>
  <c r="B95" i="1" a="1"/>
  <c r="B95" i="1" s="1"/>
  <c r="I101" i="1" a="1"/>
  <c r="I101" i="1" s="1"/>
  <c r="I102" i="1" a="1"/>
  <c r="I102" i="1" s="1"/>
  <c r="J102" i="1" a="1"/>
  <c r="J102" i="1" s="1"/>
  <c r="I98" i="1" a="1"/>
  <c r="I98" i="1" s="1"/>
  <c r="J101" i="1" a="1"/>
  <c r="J101" i="1" s="1"/>
  <c r="J98" i="1" a="1"/>
  <c r="J98" i="1" s="1"/>
  <c r="J99" i="1" a="1"/>
  <c r="J99" i="1" s="1"/>
  <c r="B46" i="1"/>
  <c r="I100" i="1" a="1"/>
  <c r="I100" i="1" s="1"/>
  <c r="I99" i="1" a="1"/>
  <c r="I99" i="1" s="1"/>
  <c r="J100" i="1" a="1"/>
  <c r="J100" i="1" s="1"/>
  <c r="H49" i="1"/>
  <c r="R50" i="1"/>
  <c r="H29" i="1"/>
  <c r="H50" i="1"/>
  <c r="R49" i="1"/>
  <c r="L46" i="1"/>
  <c r="R51" i="1"/>
  <c r="R52" i="1"/>
  <c r="H27" i="1"/>
  <c r="H30" i="1"/>
  <c r="B23" i="1"/>
  <c r="H28" i="1"/>
  <c r="H26" i="1"/>
  <c r="N127" i="1" l="1"/>
  <c r="D128" i="1"/>
  <c r="N129" i="1"/>
  <c r="D127" i="1"/>
  <c r="D129" i="1"/>
  <c r="K99" i="1"/>
  <c r="K100" i="1"/>
  <c r="K98" i="1"/>
  <c r="K102" i="1"/>
  <c r="K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<sst xmlns="http://schemas.openxmlformats.org/spreadsheetml/2006/main" count="349" uniqueCount="62">
  <si>
    <t>Ethnicity</t>
  </si>
  <si>
    <t>Age Category</t>
  </si>
  <si>
    <t>Alcohol</t>
  </si>
  <si>
    <t>Cocaine</t>
  </si>
  <si>
    <t>Heroin</t>
  </si>
  <si>
    <t>Row Total</t>
  </si>
  <si>
    <t>Black</t>
  </si>
  <si>
    <t>Old</t>
  </si>
  <si>
    <t>Young</t>
  </si>
  <si>
    <t>Hispanic</t>
  </si>
  <si>
    <t>White</t>
  </si>
  <si>
    <t>Column Total</t>
  </si>
  <si>
    <t>1.b) Construct a C4.5 decision tree (two levels only).  (15 Points)</t>
  </si>
  <si>
    <t>1.a) Construct a classification and regression tree (CART) (two levels only). (15 Points)</t>
  </si>
  <si>
    <t>1.a)</t>
  </si>
  <si>
    <t>PROBLEM 1)</t>
  </si>
  <si>
    <t>Proportion</t>
  </si>
  <si>
    <t>Black-Old</t>
  </si>
  <si>
    <t>Black-Young</t>
  </si>
  <si>
    <t>Hispanic-Old</t>
  </si>
  <si>
    <t>Hispanic-Young</t>
  </si>
  <si>
    <t>White-Old</t>
  </si>
  <si>
    <t>White-Young</t>
  </si>
  <si>
    <t>Total Gini</t>
  </si>
  <si>
    <t>Gini</t>
  </si>
  <si>
    <t>Count</t>
  </si>
  <si>
    <t>Class</t>
  </si>
  <si>
    <t>P(Class)</t>
  </si>
  <si>
    <t>Possible Split</t>
  </si>
  <si>
    <t>Count-Alcohol</t>
  </si>
  <si>
    <t>Count-Cocaine</t>
  </si>
  <si>
    <t>Count-Heroin</t>
  </si>
  <si>
    <t>P(Alcohol | Split)</t>
  </si>
  <si>
    <t>P(Cocaine | Split)</t>
  </si>
  <si>
    <t>P(Heroin | Split)</t>
  </si>
  <si>
    <t>&lt;-- Minimum Gini so split on Ethnicity=Black</t>
  </si>
  <si>
    <t>LEFT</t>
  </si>
  <si>
    <t>RIGHT</t>
  </si>
  <si>
    <t>&lt;-- Minimum Gini so split on Age=Old</t>
  </si>
  <si>
    <t>&lt;-- Minimum Gini so split on Age=Young</t>
  </si>
  <si>
    <t>Features</t>
  </si>
  <si>
    <t>Prediction</t>
  </si>
  <si>
    <t>SPLIT # 1</t>
  </si>
  <si>
    <t>SPLIT # 2</t>
  </si>
  <si>
    <t>1.b)</t>
  </si>
  <si>
    <t>Use the table below and Excel to classify patient addiction type (alcohol, cocaine, heroin) using Ethnicity and Age Category:</t>
  </si>
  <si>
    <t>SUMMARY</t>
  </si>
  <si>
    <t>Total Entropy</t>
  </si>
  <si>
    <t>log2(Proportion)</t>
  </si>
  <si>
    <t>Proportion-Alcohol</t>
  </si>
  <si>
    <t>Proportion-Cocaine</t>
  </si>
  <si>
    <t>Proportion-Heroin</t>
  </si>
  <si>
    <t>log2(Proportion-Alcohol)</t>
  </si>
  <si>
    <t>log2(Proportion-Cocaine)</t>
  </si>
  <si>
    <t>log2(Proportion-Heroin)</t>
  </si>
  <si>
    <t>Information Gain</t>
  </si>
  <si>
    <t>Entropy-LEFT</t>
  </si>
  <si>
    <t>Entropy-RIGHT</t>
  </si>
  <si>
    <t>Split Count</t>
  </si>
  <si>
    <t>&lt;-- Highest Information Gain is if we split on Age</t>
  </si>
  <si>
    <t>&lt;-- Highest Information Gain is if we split on Black / not Black</t>
  </si>
  <si>
    <t>--&gt; Identical to 1.a)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</si>
</sst>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548DD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">
    <xf numFmtId="0" fontId="0" fillId="0" borderId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6" fillId="5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7" borderId="5" xfId="0" applyFont="1" applyFill="1" applyBorder="1"/>
    <xf numFmtId="0" fontId="9" fillId="4" borderId="6" xfId="2" applyBorder="1"/>
    <xf numFmtId="0" fontId="6" fillId="5" borderId="6" xfId="3" applyBorder="1"/>
    <xf numFmtId="0" fontId="0" fillId="0" borderId="7" xfId="0" applyBorder="1"/>
    <xf numFmtId="0" fontId="0" fillId="0" borderId="0" xfId="0" applyBorder="1"/>
    <xf numFmtId="0" fontId="0" fillId="8" borderId="0" xfId="0" applyFill="1"/>
    <xf numFmtId="0" fontId="0" fillId="8" borderId="0" xfId="0" applyFill="1" applyBorder="1"/>
    <xf numFmtId="0" fontId="0" fillId="8" borderId="7" xfId="0" applyFill="1" applyBorder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7" fillId="3" borderId="4" xfId="1" applyBorder="1" applyAlignment="1">
      <alignment horizontal="right" vertical="center"/>
    </xf>
    <xf numFmtId="0" fontId="0" fillId="9" borderId="0" xfId="0" applyFill="1"/>
    <xf numFmtId="0" fontId="10" fillId="0" borderId="1" xfId="0" applyFont="1" applyFill="1" applyBorder="1"/>
    <xf numFmtId="0" fontId="13" fillId="0" borderId="1" xfId="0" applyFont="1" applyBorder="1"/>
    <xf numFmtId="0" fontId="10" fillId="0" borderId="1" xfId="0" applyFont="1" applyBorder="1"/>
    <xf numFmtId="0" fontId="15" fillId="0" borderId="0" xfId="0" applyFont="1"/>
    <xf numFmtId="0" fontId="16" fillId="0" borderId="0" xfId="0" applyFont="1"/>
    <xf numFmtId="0" fontId="17" fillId="3" borderId="2" xfId="1" applyFont="1" applyBorder="1" applyAlignment="1">
      <alignment horizontal="right" vertical="center"/>
    </xf>
    <xf numFmtId="0" fontId="1" fillId="9" borderId="0" xfId="0" applyFont="1" applyFill="1"/>
    <xf numFmtId="0" fontId="10" fillId="0" borderId="3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2" xfId="0" applyFill="1" applyBorder="1"/>
    <xf numFmtId="0" fontId="10" fillId="9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0" fillId="0" borderId="11" xfId="0" applyBorder="1"/>
    <xf numFmtId="0" fontId="0" fillId="10" borderId="11" xfId="0" applyFill="1" applyBorder="1"/>
    <xf numFmtId="0" fontId="0" fillId="10" borderId="0" xfId="0" applyFill="1"/>
    <xf numFmtId="0" fontId="0" fillId="10" borderId="7" xfId="0" applyFill="1" applyBorder="1"/>
    <xf numFmtId="0" fontId="8" fillId="6" borderId="13" xfId="0" applyFont="1" applyFill="1" applyBorder="1"/>
    <xf numFmtId="0" fontId="8" fillId="6" borderId="14" xfId="0" applyFont="1" applyFill="1" applyBorder="1"/>
    <xf numFmtId="0" fontId="8" fillId="6" borderId="15" xfId="0" applyFont="1" applyFill="1" applyBorder="1"/>
    <xf numFmtId="0" fontId="0" fillId="7" borderId="16" xfId="0" applyFont="1" applyFill="1" applyBorder="1"/>
    <xf numFmtId="0" fontId="0" fillId="7" borderId="17" xfId="0" applyFont="1" applyFill="1" applyBorder="1"/>
    <xf numFmtId="0" fontId="0" fillId="0" borderId="12" xfId="0" applyFont="1" applyFill="1" applyBorder="1"/>
    <xf numFmtId="0" fontId="0" fillId="0" borderId="8" xfId="0" applyFont="1" applyFill="1" applyBorder="1"/>
    <xf numFmtId="0" fontId="0" fillId="0" borderId="5" xfId="0" applyFont="1" applyFill="1" applyBorder="1"/>
    <xf numFmtId="0" fontId="0" fillId="11" borderId="12" xfId="0" applyFont="1" applyFill="1" applyBorder="1"/>
    <xf numFmtId="0" fontId="0" fillId="11" borderId="8" xfId="0" applyFont="1" applyFill="1" applyBorder="1"/>
    <xf numFmtId="0" fontId="0" fillId="11" borderId="5" xfId="0" applyFont="1" applyFill="1" applyBorder="1"/>
    <xf numFmtId="0" fontId="0" fillId="12" borderId="12" xfId="0" applyFont="1" applyFill="1" applyBorder="1"/>
    <xf numFmtId="0" fontId="0" fillId="12" borderId="8" xfId="0" applyFont="1" applyFill="1" applyBorder="1"/>
    <xf numFmtId="0" fontId="0" fillId="12" borderId="5" xfId="0" applyFont="1" applyFill="1" applyBorder="1"/>
    <xf numFmtId="0" fontId="1" fillId="0" borderId="0" xfId="0" quotePrefix="1" applyFont="1"/>
  </cellXfs>
  <cellStyles count="4">
    <cellStyle name="20% - Accent3" xfId="3" builtinId="38"/>
    <cellStyle name="Accent3" xfId="2" builtinId="37"/>
    <cellStyle name="Good" xfId="1" builtinId="26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881875C-46F7-054D-B809-3D61472C6347}" name="Table21" displayName="Table21" ref="A18:B21" totalsRowShown="0">
  <autoFilter ref="A18:B21" xr:uid="{C881875C-46F7-054D-B809-3D61472C6347}"/>
  <tableColumns count="2">
    <tableColumn id="1" xr3:uid="{C07AD42D-8E91-024B-A24E-24D0505679D1}" name="Class"/>
    <tableColumn id="2" xr3:uid="{36A19CF7-450B-EB46-BA98-539F8E7AC1B0}" name="P(Class)">
      <calculatedColumnFormula>C$12/$F$12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3216BD-1045-FD42-B080-141593B8DFD2}" name="Table22" displayName="Table22" ref="A25:H30" totalsRowShown="0">
  <autoFilter ref="A25:H30" xr:uid="{1B3216BD-1045-FD42-B080-141593B8DFD2}"/>
  <tableColumns count="8">
    <tableColumn id="1" xr3:uid="{F1DE1A53-BEE4-2A45-9443-6BADEF3ABC32}" name="Possible Split"/>
    <tableColumn id="2" xr3:uid="{03AFAA14-6539-8947-92EF-023406425EEF}" name="Count-Alcohol"/>
    <tableColumn id="3" xr3:uid="{288387CE-BE37-274F-96F3-B64E6C00689E}" name="Count-Cocaine"/>
    <tableColumn id="4" xr3:uid="{4400D1B6-6398-664E-9F6D-F07485E0E3AA}" name="Count-Heroin"/>
    <tableColumn id="5" xr3:uid="{293256EA-B5FD-FF48-AD92-86279200D36B}" name="P(Alcohol | Split)">
      <calculatedColumnFormula>Table22[[#This Row],[Count-Alcohol]]/SUM(Table22[[#This Row],[Count-Alcohol]:[Count-Heroin]])</calculatedColumnFormula>
    </tableColumn>
    <tableColumn id="6" xr3:uid="{840F5396-CB66-864C-A247-DEFD740BC754}" name="P(Cocaine | Split)">
      <calculatedColumnFormula>Table22[[#This Row],[Count-Cocaine]]/SUM(Table22[[#This Row],[Count-Alcohol]:[Count-Heroin]])</calculatedColumnFormula>
    </tableColumn>
    <tableColumn id="7" xr3:uid="{0F3398B9-6D8B-7441-A481-451F38EB45EF}" name="P(Heroin | Split)">
      <calculatedColumnFormula>Table22[[#This Row],[Count-Heroin]]/SUM(Table22[[#This Row],[Count-Alcohol]:[Count-Heroin]])</calculatedColumnFormula>
    </tableColumn>
    <tableColumn id="8" xr3:uid="{B764E740-4892-DF48-8B12-44BC35B38363}" name="Gini" dataDxfId="19">
      <calculatedColumnFormula>1 - SUMSQ(Table22[[#This Row],[P(Alcohol | Split)]:[P(Heroin | Split)]])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FFD1472-07D4-344A-83A7-3C250EF25BAF}" name="Table2124" displayName="Table2124" ref="K41:L44" totalsRowShown="0">
  <autoFilter ref="K41:L44" xr:uid="{AFFD1472-07D4-344A-83A7-3C250EF25BAF}"/>
  <tableColumns count="2">
    <tableColumn id="1" xr3:uid="{278899EA-9E2D-9745-877F-37619673645E}" name="Class"/>
    <tableColumn id="2" xr3:uid="{D08AF0C6-6A6C-AE4D-80B5-D4351118BEAF}" name="P(Class)">
      <calculatedColumnFormula>$M$39/$P$39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6EF9A13-5E5F-2C4B-852B-CC78B083F274}" name="Table2225" displayName="Table2225" ref="K48:R52" totalsRowShown="0">
  <autoFilter ref="K48:R52" xr:uid="{E6EF9A13-5E5F-2C4B-852B-CC78B083F274}"/>
  <tableColumns count="8">
    <tableColumn id="1" xr3:uid="{212BA59C-0751-1E48-A19D-A1509AC7ED03}" name="Possible Split"/>
    <tableColumn id="2" xr3:uid="{14954B35-C104-9246-8C57-BE0841F5D32B}" name="Count-Alcohol"/>
    <tableColumn id="3" xr3:uid="{C9C7E34B-964B-B346-B2C0-04D8ACC0B19E}" name="Count-Cocaine"/>
    <tableColumn id="4" xr3:uid="{2D2C8D5F-7ACB-6A4B-AC73-7A11FF115174}" name="Count-Heroin"/>
    <tableColumn id="5" xr3:uid="{4DFF6E6F-8268-0544-A67B-29BA44EDF73A}" name="P(Alcohol | Split)">
      <calculatedColumnFormula>Table2225[[#This Row],[Count-Alcohol]]/SUM(Table2225[[#This Row],[Count-Alcohol]:[Count-Heroin]])</calculatedColumnFormula>
    </tableColumn>
    <tableColumn id="6" xr3:uid="{A71B197C-AEE9-8447-B384-1C78FFF6EE27}" name="P(Cocaine | Split)">
      <calculatedColumnFormula>Table2225[[#This Row],[Count-Cocaine]]/SUM(Table2225[[#This Row],[Count-Alcohol]:[Count-Heroin]])</calculatedColumnFormula>
    </tableColumn>
    <tableColumn id="7" xr3:uid="{AC286A11-D77B-E340-BA31-B4D6E9643321}" name="P(Heroin | Split)">
      <calculatedColumnFormula>Table2225[[#This Row],[Count-Heroin]]/SUM(Table2225[[#This Row],[Count-Alcohol]:[Count-Heroin]])</calculatedColumnFormula>
    </tableColumn>
    <tableColumn id="8" xr3:uid="{C900C692-5705-1A40-9E9E-1F7DA2253954}" name="Gini" dataDxfId="18">
      <calculatedColumnFormula>1 - SUMSQ(Table2225[[#This Row],[P(Alcohol | Split)]:[P(Heroin | Split)]])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95F6874-3030-3243-AC37-F235BA5C6B0F}" name="Table212426" displayName="Table212426" ref="A41:B44" totalsRowShown="0">
  <autoFilter ref="A41:B44" xr:uid="{F95F6874-3030-3243-AC37-F235BA5C6B0F}"/>
  <tableColumns count="2">
    <tableColumn id="1" xr3:uid="{D9023E3F-3867-3747-B0DF-670E93423048}" name="Class"/>
    <tableColumn id="2" xr3:uid="{CF249AA7-71F2-B747-801C-A62FF7C660A1}" name="P(Class)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B644197-5947-9649-8CAB-83E2F4AA291C}" name="Table222527" displayName="Table222527" ref="A48:H50" totalsRowShown="0">
  <autoFilter ref="A48:H50" xr:uid="{BB644197-5947-9649-8CAB-83E2F4AA291C}"/>
  <tableColumns count="8">
    <tableColumn id="1" xr3:uid="{C356F3A4-D8F5-E740-8552-21C25C4804DA}" name="Possible Split"/>
    <tableColumn id="2" xr3:uid="{4C301399-66F6-E645-B573-288A61393350}" name="Count-Alcohol">
      <calculatedColumnFormula>C35</calculatedColumnFormula>
    </tableColumn>
    <tableColumn id="3" xr3:uid="{14430E85-1389-A94B-9D33-365889A5F87D}" name="Count-Cocaine">
      <calculatedColumnFormula>D35</calculatedColumnFormula>
    </tableColumn>
    <tableColumn id="4" xr3:uid="{8D87BDB2-5EF9-7F4D-BA2E-37FFD73DFBAC}" name="Count-Heroin">
      <calculatedColumnFormula>E35</calculatedColumnFormula>
    </tableColumn>
    <tableColumn id="5" xr3:uid="{4A954EBD-E603-A44A-AA85-ABBB46EF694E}" name="P(Alcohol | Split)">
      <calculatedColumnFormula>Table222527[[#This Row],[Count-Alcohol]]/SUM(Table222527[[#This Row],[Count-Alcohol]:[Count-Heroin]])</calculatedColumnFormula>
    </tableColumn>
    <tableColumn id="6" xr3:uid="{0C01B86C-0614-F34A-A373-AD6105389455}" name="P(Cocaine | Split)">
      <calculatedColumnFormula>Table222527[[#This Row],[Count-Cocaine]]/SUM(Table222527[[#This Row],[Count-Alcohol]:[Count-Heroin]])</calculatedColumnFormula>
    </tableColumn>
    <tableColumn id="7" xr3:uid="{8CA111E9-A28F-6F4A-8FBC-E75109C64BC0}" name="P(Heroin | Split)">
      <calculatedColumnFormula>Table222527[[#This Row],[Count-Heroin]]/SUM(Table222527[[#This Row],[Count-Alcohol]:[Count-Heroin]])</calculatedColumnFormula>
    </tableColumn>
    <tableColumn id="8" xr3:uid="{F10DBE61-3A1C-5F45-82BE-7606E7A3A046}" name="Gini" dataDxfId="17">
      <calculatedColumnFormula>1 - SUMSQ(Table222527[[#This Row],[P(Alcohol | Split)]:[P(Heroin | Split)]])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9E9DAED-4C61-8643-883B-03A06E6FF5F5}" name="Table27" displayName="Table27" ref="A69:B75" totalsRowShown="0">
  <autoFilter ref="A69:B75" xr:uid="{99E9DAED-4C61-8643-883B-03A06E6FF5F5}"/>
  <tableColumns count="2">
    <tableColumn id="1" xr3:uid="{686375EA-BFF0-FB4B-8961-23387DECD21C}" name="Features"/>
    <tableColumn id="2" xr3:uid="{33858CC2-51B2-D148-B483-44C4BED68B74}" name="Prediction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A7F5C9A-77DA-9046-B924-5B683B502114}" name="Table29" displayName="Table29" ref="A90:D93" totalsRowShown="0">
  <autoFilter ref="A90:D93" xr:uid="{3A7F5C9A-77DA-9046-B924-5B683B502114}"/>
  <tableColumns count="4">
    <tableColumn id="1" xr3:uid="{1E7F6FB2-8A84-F947-8407-BD4A35C0A73F}" name="Class"/>
    <tableColumn id="2" xr3:uid="{41FB35BC-553D-1B43-B375-05BE69BFC931}" name="Count">
      <calculatedColumnFormula>C87</calculatedColumnFormula>
    </tableColumn>
    <tableColumn id="3" xr3:uid="{50F15CD9-D240-414B-A030-A24E758DE60C}" name="Proportion">
      <calculatedColumnFormula>Table29[[#This Row],[Count]]/$F$87</calculatedColumnFormula>
    </tableColumn>
    <tableColumn id="4" xr3:uid="{C8765CC0-8083-4A48-8076-6B50D92FB76F}" name="log2(Proportion)">
      <calculatedColumnFormula>LOG(Table29[[#This Row],[Proportion]], 2)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A3A5B08-3666-D645-BC31-B575D97AC0F7}" name="Table30" displayName="Table30" ref="A97:K102" totalsRowShown="0">
  <autoFilter ref="A97:K102" xr:uid="{6A3A5B08-3666-D645-BC31-B575D97AC0F7}"/>
  <tableColumns count="11">
    <tableColumn id="1" xr3:uid="{C10FA415-890A-1148-9322-020408D738AF}" name="Possible Split" dataDxfId="16"/>
    <tableColumn id="2" xr3:uid="{9EBDA401-A229-4A48-B7D7-1ED70BEC007C}" name="Proportion-Alcohol"/>
    <tableColumn id="3" xr3:uid="{3DCDF509-2C30-1949-87A7-C73FDF0E39F1}" name="Proportion-Cocaine"/>
    <tableColumn id="4" xr3:uid="{A974C6BF-01C6-3149-82B0-497F9FA26C8D}" name="Proportion-Heroin"/>
    <tableColumn id="5" xr3:uid="{72BB6A70-AFD5-8B44-BB0B-6FE9915859E4}" name="log2(Proportion-Alcohol)"/>
    <tableColumn id="6" xr3:uid="{E6348F1E-0956-DA46-8D51-4776FE215E88}" name="log2(Proportion-Cocaine)"/>
    <tableColumn id="7" xr3:uid="{970A11B3-C931-9941-B90B-A254361ACC46}" name="log2(Proportion-Heroin)"/>
    <tableColumn id="11" xr3:uid="{47910805-D1F0-D646-A837-08DBF1C7B570}" name="Split Count"/>
    <tableColumn id="8" xr3:uid="{9DBB39E3-3F14-254F-B4E6-77C30BF041E1}" name="Entropy-LEFT" dataDxfId="15">
      <calculatedColumnFormula array="1">-SUM(Table30[[#This Row],[Proportion-Alcohol]:[Proportion-Heroin]]*Table30[[#This Row],[log2(Proportion-Alcohol)]:[log2(Proportion-Heroin)]])</calculatedColumnFormula>
    </tableColumn>
    <tableColumn id="9" xr3:uid="{FCB7C860-FD19-5F46-AC67-19B44F71F740}" name="Entropy-RIGHT" dataDxfId="14"/>
    <tableColumn id="10" xr3:uid="{12925CAA-2661-964A-835C-C5D1843BD7D7}" name="Information Gain">
      <calculatedColumnFormula>$B$95 - ((Table30[[#This Row],[Split Count]]/$F$87) * Table30[[#This Row],[Entropy-LEFT]] + (($F$87-Table30[[#This Row],[Split Count]])/$F$87) * Table30[[#This Row],[Entropy-RIGHT]])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A030ACC-6FD3-EE48-A815-BAE7DF96757E}" name="Table2934" displayName="Table2934" ref="A114:D117" totalsRowShown="0">
  <autoFilter ref="A114:D117" xr:uid="{AA030ACC-6FD3-EE48-A815-BAE7DF96757E}"/>
  <tableColumns count="4">
    <tableColumn id="1" xr3:uid="{1AF29117-07FE-BC47-8BED-471103CE1F23}" name="Class"/>
    <tableColumn id="2" xr3:uid="{ED43A0C6-BDE5-4744-A513-775D6ECE5DDC}" name="Count">
      <calculatedColumnFormula>C111</calculatedColumnFormula>
    </tableColumn>
    <tableColumn id="3" xr3:uid="{5E2E1EF9-CA94-0447-A499-CEE3674B13D3}" name="Proportion">
      <calculatedColumnFormula>Table2934[[#This Row],[Count]]/$F$111</calculatedColumnFormula>
    </tableColumn>
    <tableColumn id="4" xr3:uid="{64DCBBF0-FA2B-D540-A32F-D2E80DFBD8D6}" name="log2(Proportion)">
      <calculatedColumnFormula>LOG(Table2934[[#This Row],[Proportion]], 2)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5BBD0AB-39EE-C441-B43B-C97FDAFA1816}" name="Table3035" displayName="Table3035" ref="A121:H124" totalsRowShown="0">
  <autoFilter ref="A121:H124" xr:uid="{75BBD0AB-39EE-C441-B43B-C97FDAFA1816}"/>
  <tableColumns count="8">
    <tableColumn id="1" xr3:uid="{8D486482-DF28-5049-AA4E-AF8DBFC046DA}" name="Possible Split" dataDxfId="13"/>
    <tableColumn id="2" xr3:uid="{9BAEBEB2-5B4A-B149-96EF-E5DB45F8330F}" name="Proportion-Alcohol">
      <calculatedColumnFormula>C108/$F$111</calculatedColumnFormula>
    </tableColumn>
    <tableColumn id="3" xr3:uid="{953A956B-F1AF-3940-ABF8-6374F591F1CA}" name="Proportion-Cocaine">
      <calculatedColumnFormula>D108/$F$111</calculatedColumnFormula>
    </tableColumn>
    <tableColumn id="4" xr3:uid="{7F2F7CCB-AC3C-6A4C-A941-812211704515}" name="Proportion-Heroin">
      <calculatedColumnFormula>E108/$F$111</calculatedColumnFormula>
    </tableColumn>
    <tableColumn id="5" xr3:uid="{DF257C27-0C9D-D94B-9FD7-262D00C7A5B8}" name="log2(Proportion-Alcohol)">
      <calculatedColumnFormula>LOG(Table3035[[#This Row],[Proportion-Alcohol]], 2)</calculatedColumnFormula>
    </tableColumn>
    <tableColumn id="6" xr3:uid="{C5419759-3651-5945-9CF7-4F5AB27B0358}" name="log2(Proportion-Cocaine)">
      <calculatedColumnFormula>LOG(Table3035[[#This Row],[Proportion-Cocaine]], 2)</calculatedColumnFormula>
    </tableColumn>
    <tableColumn id="7" xr3:uid="{8E4B4878-660E-9846-8ED2-9F7C5C358BB6}" name="log2(Proportion-Heroin)">
      <calculatedColumnFormula>LOG(Table3035[[#This Row],[Proportion-Heroin]], 2)</calculatedColumnFormula>
    </tableColumn>
    <tableColumn id="11" xr3:uid="{C45EEF6E-41C4-D644-BABC-646144C6E887}" name="Split Count">
      <calculatedColumnFormula>F108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5953D6F-FB9F-264F-AC79-0695F35359AD}" name="Table35" displayName="Table35" ref="A126:D129" totalsRowShown="0" headerRowDxfId="7" headerRowBorderDxfId="11" tableBorderDxfId="12" totalsRowBorderDxfId="10">
  <autoFilter ref="A126:D129" xr:uid="{D5953D6F-FB9F-264F-AC79-0695F35359AD}"/>
  <tableColumns count="4">
    <tableColumn id="1" xr3:uid="{8D16C576-2D75-A54C-8427-4BE82FC6F7DD}" name="Possible Split"/>
    <tableColumn id="2" xr3:uid="{8A308947-5145-A042-96C6-12D3867C7CF6}" name="Entropy-LEFT" dataDxfId="9">
      <calculatedColumnFormula array="1">-SUM(B122:D122*E122:G122)</calculatedColumnFormula>
    </tableColumn>
    <tableColumn id="3" xr3:uid="{44A464E1-0A52-F149-8F96-FA1A7ECD8993}" name="Entropy-RIGHT"/>
    <tableColumn id="4" xr3:uid="{4855F0AF-3A2B-9E45-821C-63A25EAD374F}" name="Information Gain" dataDxfId="8">
      <calculatedColumnFormula>$B$119 - ((H122/$F$111) * B127 + (($F$111-H122)/$F$111) * C127)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B38797A-1D3F-4348-915B-B0889658CBD1}" name="Table293437" displayName="Table293437" ref="K114:N117" totalsRowShown="0">
  <autoFilter ref="K114:N117" xr:uid="{AB38797A-1D3F-4348-915B-B0889658CBD1}"/>
  <tableColumns count="4">
    <tableColumn id="1" xr3:uid="{64E35CA9-40A1-A048-945B-19BB579DDEE7}" name="Class"/>
    <tableColumn id="2" xr3:uid="{545B5759-FA07-D841-A059-BCCCD4F5462E}" name="Count">
      <calculatedColumnFormula>M111</calculatedColumnFormula>
    </tableColumn>
    <tableColumn id="3" xr3:uid="{DBAAFA90-FAE4-FE4D-B6DD-862171A5D0E0}" name="Proportion">
      <calculatedColumnFormula>Table293437[[#This Row],[Count]]/$P$111</calculatedColumnFormula>
    </tableColumn>
    <tableColumn id="4" xr3:uid="{20CE7502-C7D4-A941-BB54-EEE60DF16623}" name="log2(Proportion)">
      <calculatedColumnFormula>LOG(Table293437[[#This Row],[Proportion]], 2)</calculatedColumnFormula>
    </tableColumn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EEAF083-94C5-E040-97B5-B006E6DE8E9E}" name="Table303538" displayName="Table303538" ref="K121:R124" totalsRowShown="0">
  <autoFilter ref="K121:R124" xr:uid="{AEEAF083-94C5-E040-97B5-B006E6DE8E9E}"/>
  <tableColumns count="8">
    <tableColumn id="1" xr3:uid="{76339E86-038F-1A43-A8BF-8366E8692653}" name="Possible Split" dataDxfId="6"/>
    <tableColumn id="2" xr3:uid="{31587502-7DC9-7B4A-9B30-039493AE76BD}" name="Proportion-Alcohol">
      <calculatedColumnFormula>M108/$P$111</calculatedColumnFormula>
    </tableColumn>
    <tableColumn id="3" xr3:uid="{B8EF5723-76AC-2548-9E53-A3FDAFD6DEBD}" name="Proportion-Cocaine">
      <calculatedColumnFormula>N108/$P$111</calculatedColumnFormula>
    </tableColumn>
    <tableColumn id="4" xr3:uid="{E6DE2B93-39F4-1A42-8DC5-456A135D1422}" name="Proportion-Heroin">
      <calculatedColumnFormula>O108/$P$111</calculatedColumnFormula>
    </tableColumn>
    <tableColumn id="5" xr3:uid="{5BD5F7E3-6519-EB44-8B7F-3EABA23EDC4E}" name="log2(Proportion-Alcohol)">
      <calculatedColumnFormula>LOG(Table303538[[#This Row],[Proportion-Alcohol]], 2)</calculatedColumnFormula>
    </tableColumn>
    <tableColumn id="6" xr3:uid="{5CF069B4-DD25-1848-A7C8-2248DC5568EF}" name="log2(Proportion-Cocaine)">
      <calculatedColumnFormula>LOG(Table303538[[#This Row],[Proportion-Cocaine]], 2)</calculatedColumnFormula>
    </tableColumn>
    <tableColumn id="7" xr3:uid="{BDE45C28-B8EB-CD40-944A-F41DE00E2F53}" name="log2(Proportion-Heroin)">
      <calculatedColumnFormula>LOG(Table303538[[#This Row],[Proportion-Heroin]], 2)</calculatedColumnFormula>
    </tableColumn>
    <tableColumn id="11" xr3:uid="{23040BA9-9215-7B43-B9C8-098CF4A87409}" name="Split Count">
      <calculatedColumnFormula>P108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F100573-32FC-7E4E-BC13-4C639F7894F7}" name="Table3539" displayName="Table3539" ref="K126:N129" totalsRowShown="0" headerRowDxfId="5" headerRowBorderDxfId="3" tableBorderDxfId="4" totalsRowBorderDxfId="2">
  <autoFilter ref="K126:N129" xr:uid="{6F100573-32FC-7E4E-BC13-4C639F7894F7}"/>
  <tableColumns count="4">
    <tableColumn id="1" xr3:uid="{C02457B7-66AA-EA42-8451-1EFFF213F3DB}" name="Possible Split"/>
    <tableColumn id="2" xr3:uid="{B618B80B-0276-D249-9088-486929EA9DF1}" name="Entropy-LEFT" dataDxfId="1">
      <calculatedColumnFormula array="1">-SUM(L122:N122*O122:Q122)</calculatedColumnFormula>
    </tableColumn>
    <tableColumn id="3" xr3:uid="{E66A36CC-201B-2247-B720-5585DDDBF2F9}" name="Entropy-RIGHT"/>
    <tableColumn id="4" xr3:uid="{26CCF05E-437A-E545-98B2-A8CC4ECCC6A2}" name="Information Gain" dataDxfId="0">
      <calculatedColumnFormula>$L$119 - ((R122/$P$111) * L127 + (($P$111-R122)/$P$111) * M127)</calculatedColumnFormula>
    </tableColumn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85271F4-FBCE-B644-87ED-881EB4EEF53F}" name="Table2746" displayName="Table2746" ref="A148:B154" totalsRowShown="0">
  <autoFilter ref="A148:B154" xr:uid="{385271F4-FBCE-B644-87ED-881EB4EEF53F}"/>
  <tableColumns count="2">
    <tableColumn id="1" xr3:uid="{216BE0B6-311E-BC47-92B5-C2A655A4E306}" name="Features"/>
    <tableColumn id="2" xr3:uid="{D9A3A217-67A9-3B4A-912E-2E348883C580}" name="Predic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6DC-F462-584B-94C4-8AECFCC18FE7}">
  <dimension ref="A1:S154"/>
  <sheetViews>
    <sheetView tabSelected="1" topLeftCell="A123" zoomScaleNormal="70" workbookViewId="0">
      <selection activeCell="E155" sqref="E155"/>
    </sheetView>
  </sheetViews>
  <sheetFormatPr baseColWidth="10" defaultRowHeight="16" x14ac:dyDescent="0.2"/>
  <cols>
    <col min="1" max="1" width="15.83203125" customWidth="1"/>
    <col min="2" max="2" width="18.6640625" customWidth="1"/>
    <col min="3" max="3" width="19" customWidth="1"/>
    <col min="4" max="4" width="18" customWidth="1"/>
    <col min="5" max="5" width="23.5" customWidth="1"/>
    <col min="6" max="6" width="23.83203125" customWidth="1"/>
    <col min="7" max="7" width="22.83203125" customWidth="1"/>
    <col min="8" max="8" width="13.83203125" customWidth="1"/>
    <col min="9" max="9" width="44.33203125" customWidth="1"/>
    <col min="10" max="10" width="21" customWidth="1"/>
    <col min="11" max="11" width="28" customWidth="1"/>
    <col min="12" max="12" width="20.1640625" customWidth="1"/>
    <col min="13" max="13" width="20.83203125" customWidth="1"/>
    <col min="14" max="14" width="19.33203125" customWidth="1"/>
    <col min="15" max="15" width="28.6640625" customWidth="1"/>
    <col min="16" max="16" width="27.83203125" customWidth="1"/>
    <col min="17" max="17" width="32.33203125" customWidth="1"/>
    <col min="18" max="18" width="16.6640625" customWidth="1"/>
    <col min="19" max="19" width="17.6640625" customWidth="1"/>
    <col min="21" max="21" width="10.83203125" customWidth="1"/>
    <col min="22" max="22" width="13.33203125" customWidth="1"/>
    <col min="23" max="23" width="12.5" customWidth="1"/>
    <col min="28" max="28" width="14.1640625" bestFit="1" customWidth="1"/>
    <col min="29" max="29" width="11.6640625" customWidth="1"/>
  </cols>
  <sheetData>
    <row r="1" spans="1:14" ht="21" x14ac:dyDescent="0.25">
      <c r="A1" s="19" t="s">
        <v>15</v>
      </c>
      <c r="B1" s="27"/>
      <c r="C1" s="27"/>
      <c r="D1" s="27"/>
      <c r="M1" s="9"/>
      <c r="N1" s="8"/>
    </row>
    <row r="2" spans="1:14" ht="21" x14ac:dyDescent="0.25">
      <c r="A2" s="28" t="s">
        <v>45</v>
      </c>
      <c r="B2" s="27"/>
      <c r="C2" s="27"/>
      <c r="D2" s="27"/>
      <c r="M2" s="9"/>
    </row>
    <row r="3" spans="1:14" ht="21" x14ac:dyDescent="0.25">
      <c r="A3" s="19" t="s">
        <v>13</v>
      </c>
      <c r="B3" s="27"/>
      <c r="C3" s="27"/>
      <c r="D3" s="27"/>
      <c r="M3" s="9"/>
    </row>
    <row r="4" spans="1:14" ht="22" thickBot="1" x14ac:dyDescent="0.3">
      <c r="A4" s="19" t="s">
        <v>12</v>
      </c>
      <c r="B4" s="27"/>
      <c r="C4" s="27"/>
      <c r="D4" s="27"/>
      <c r="M4" s="9"/>
    </row>
    <row r="5" spans="1:14" ht="20" thickBot="1" x14ac:dyDescent="0.25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M5" s="9"/>
    </row>
    <row r="6" spans="1:14" ht="20" thickBot="1" x14ac:dyDescent="0.25">
      <c r="A6" s="4" t="s">
        <v>6</v>
      </c>
      <c r="B6" s="5" t="s">
        <v>7</v>
      </c>
      <c r="C6" s="6">
        <v>30</v>
      </c>
      <c r="D6" s="6">
        <v>48</v>
      </c>
      <c r="E6" s="6">
        <v>17</v>
      </c>
      <c r="F6" s="7">
        <f>SUM(C6:E6)</f>
        <v>95</v>
      </c>
      <c r="M6" s="9"/>
    </row>
    <row r="7" spans="1:14" ht="20" thickBot="1" x14ac:dyDescent="0.25">
      <c r="A7" s="4"/>
      <c r="B7" s="5" t="s">
        <v>8</v>
      </c>
      <c r="C7" s="6">
        <v>25</v>
      </c>
      <c r="D7" s="6">
        <v>72</v>
      </c>
      <c r="E7" s="6">
        <v>13</v>
      </c>
      <c r="F7" s="7">
        <f t="shared" ref="F7:F11" si="0">SUM(C7:E7)</f>
        <v>110</v>
      </c>
      <c r="M7" s="9"/>
    </row>
    <row r="8" spans="1:14" ht="20" thickBot="1" x14ac:dyDescent="0.25">
      <c r="A8" s="4" t="s">
        <v>9</v>
      </c>
      <c r="B8" s="5" t="s">
        <v>7</v>
      </c>
      <c r="C8" s="6">
        <v>7</v>
      </c>
      <c r="D8" s="6">
        <v>0</v>
      </c>
      <c r="E8" s="6">
        <v>5</v>
      </c>
      <c r="F8" s="7">
        <f t="shared" si="0"/>
        <v>12</v>
      </c>
      <c r="M8" s="9"/>
    </row>
    <row r="9" spans="1:14" ht="20" thickBot="1" x14ac:dyDescent="0.25">
      <c r="A9" s="4"/>
      <c r="B9" s="5" t="s">
        <v>8</v>
      </c>
      <c r="C9" s="6">
        <v>8</v>
      </c>
      <c r="D9" s="6">
        <v>7</v>
      </c>
      <c r="E9" s="6">
        <v>19</v>
      </c>
      <c r="F9" s="7">
        <f t="shared" si="0"/>
        <v>34</v>
      </c>
      <c r="M9" s="9"/>
    </row>
    <row r="10" spans="1:14" ht="20" thickBot="1" x14ac:dyDescent="0.25">
      <c r="A10" s="4" t="s">
        <v>10</v>
      </c>
      <c r="B10" s="5" t="s">
        <v>7</v>
      </c>
      <c r="C10" s="6">
        <v>60</v>
      </c>
      <c r="D10" s="6">
        <v>2</v>
      </c>
      <c r="E10" s="6">
        <v>17</v>
      </c>
      <c r="F10" s="7">
        <f t="shared" si="0"/>
        <v>79</v>
      </c>
      <c r="M10" s="9"/>
    </row>
    <row r="11" spans="1:14" ht="20" thickBot="1" x14ac:dyDescent="0.25">
      <c r="A11" s="4"/>
      <c r="B11" s="5" t="s">
        <v>8</v>
      </c>
      <c r="C11" s="6">
        <v>26</v>
      </c>
      <c r="D11" s="6">
        <v>10</v>
      </c>
      <c r="E11" s="6">
        <v>34</v>
      </c>
      <c r="F11" s="7">
        <f t="shared" si="0"/>
        <v>70</v>
      </c>
      <c r="M11" s="9"/>
    </row>
    <row r="12" spans="1:14" ht="20" thickBot="1" x14ac:dyDescent="0.25">
      <c r="A12" s="4" t="s">
        <v>11</v>
      </c>
      <c r="B12" s="5"/>
      <c r="C12" s="7">
        <f>SUM(C6:C11)</f>
        <v>156</v>
      </c>
      <c r="D12" s="7">
        <f t="shared" ref="D12:E12" si="1">SUM(D6:D11)</f>
        <v>139</v>
      </c>
      <c r="E12" s="7">
        <f t="shared" si="1"/>
        <v>105</v>
      </c>
      <c r="F12" s="7">
        <f>SUM(C6:E11)</f>
        <v>400</v>
      </c>
      <c r="M12" s="9"/>
    </row>
    <row r="13" spans="1:14" x14ac:dyDescent="0.2">
      <c r="M13" s="9"/>
    </row>
    <row r="14" spans="1:14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6" spans="1:14" ht="29" x14ac:dyDescent="0.35">
      <c r="A16" s="20" t="s">
        <v>14</v>
      </c>
    </row>
    <row r="18" spans="1:16" x14ac:dyDescent="0.2">
      <c r="A18" t="s">
        <v>26</v>
      </c>
      <c r="B18" t="s">
        <v>27</v>
      </c>
    </row>
    <row r="19" spans="1:16" x14ac:dyDescent="0.2">
      <c r="A19" t="s">
        <v>2</v>
      </c>
      <c r="B19">
        <f>C$12/$F$12</f>
        <v>0.39</v>
      </c>
    </row>
    <row r="20" spans="1:16" x14ac:dyDescent="0.2">
      <c r="A20" t="s">
        <v>3</v>
      </c>
      <c r="B20">
        <f>D$12/$F$12</f>
        <v>0.34749999999999998</v>
      </c>
    </row>
    <row r="21" spans="1:16" x14ac:dyDescent="0.2">
      <c r="A21" t="s">
        <v>4</v>
      </c>
      <c r="B21">
        <f>E$12/$F$12</f>
        <v>0.26250000000000001</v>
      </c>
    </row>
    <row r="23" spans="1:16" x14ac:dyDescent="0.2">
      <c r="A23" s="12" t="s">
        <v>23</v>
      </c>
      <c r="B23" s="13">
        <f>1 - (B19^2 + B20^2 + B21^2)</f>
        <v>0.65823750000000003</v>
      </c>
    </row>
    <row r="25" spans="1:16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24</v>
      </c>
    </row>
    <row r="26" spans="1:16" x14ac:dyDescent="0.2">
      <c r="A26" s="16" t="s">
        <v>6</v>
      </c>
      <c r="B26" s="16">
        <f>C6+C7</f>
        <v>55</v>
      </c>
      <c r="C26" s="16">
        <f>D6+D7</f>
        <v>120</v>
      </c>
      <c r="D26" s="16">
        <f>E6+E7</f>
        <v>30</v>
      </c>
      <c r="E26" s="17">
        <f>Table22[[#This Row],[Count-Alcohol]]/SUM(Table22[[#This Row],[Count-Alcohol]:[Count-Heroin]])</f>
        <v>0.26829268292682928</v>
      </c>
      <c r="F26" s="17">
        <f>Table22[[#This Row],[Count-Cocaine]]/SUM(Table22[[#This Row],[Count-Alcohol]:[Count-Heroin]])</f>
        <v>0.58536585365853655</v>
      </c>
      <c r="G26" s="17">
        <f>Table22[[#This Row],[Count-Heroin]]/SUM(Table22[[#This Row],[Count-Alcohol]:[Count-Heroin]])</f>
        <v>0.14634146341463414</v>
      </c>
      <c r="H26" s="18">
        <f>1 - SUMSQ(Table22[[#This Row],[P(Alcohol | Split)]:[P(Heroin | Split)]])</f>
        <v>0.56395002974419994</v>
      </c>
      <c r="I26" s="8" t="s">
        <v>35</v>
      </c>
    </row>
    <row r="27" spans="1:16" x14ac:dyDescent="0.2">
      <c r="A27" t="s">
        <v>9</v>
      </c>
      <c r="B27">
        <f>C8+C9</f>
        <v>15</v>
      </c>
      <c r="C27">
        <f>D8+D9</f>
        <v>7</v>
      </c>
      <c r="D27">
        <f>E8+E9</f>
        <v>24</v>
      </c>
      <c r="E27" s="15">
        <f>Table22[[#This Row],[Count-Alcohol]]/SUM(Table22[[#This Row],[Count-Alcohol]:[Count-Heroin]])</f>
        <v>0.32608695652173914</v>
      </c>
      <c r="F27" s="15">
        <f>Table22[[#This Row],[Count-Cocaine]]/SUM(Table22[[#This Row],[Count-Alcohol]:[Count-Heroin]])</f>
        <v>0.15217391304347827</v>
      </c>
      <c r="G27" s="15">
        <f>Table22[[#This Row],[Count-Heroin]]/SUM(Table22[[#This Row],[Count-Alcohol]:[Count-Heroin]])</f>
        <v>0.52173913043478259</v>
      </c>
      <c r="H27" s="14">
        <f>1 - SUMSQ(Table22[[#This Row],[P(Alcohol | Split)]:[P(Heroin | Split)]])</f>
        <v>0.59829867674858228</v>
      </c>
    </row>
    <row r="28" spans="1:16" x14ac:dyDescent="0.2">
      <c r="A28" t="s">
        <v>10</v>
      </c>
      <c r="B28">
        <f>C10+C11</f>
        <v>86</v>
      </c>
      <c r="C28">
        <f>D10+D11</f>
        <v>12</v>
      </c>
      <c r="D28">
        <f>E10+E11</f>
        <v>51</v>
      </c>
      <c r="E28" s="15">
        <f>Table22[[#This Row],[Count-Alcohol]]/SUM(Table22[[#This Row],[Count-Alcohol]:[Count-Heroin]])</f>
        <v>0.57718120805369133</v>
      </c>
      <c r="F28" s="15">
        <f>Table22[[#This Row],[Count-Cocaine]]/SUM(Table22[[#This Row],[Count-Alcohol]:[Count-Heroin]])</f>
        <v>8.0536912751677847E-2</v>
      </c>
      <c r="G28" s="15">
        <f>Table22[[#This Row],[Count-Heroin]]/SUM(Table22[[#This Row],[Count-Alcohol]:[Count-Heroin]])</f>
        <v>0.34228187919463088</v>
      </c>
      <c r="H28" s="14">
        <f>1 - SUMSQ(Table22[[#This Row],[P(Alcohol | Split)]:[P(Heroin | Split)]])</f>
        <v>0.54321877392910223</v>
      </c>
    </row>
    <row r="29" spans="1:16" x14ac:dyDescent="0.2">
      <c r="A29" t="s">
        <v>7</v>
      </c>
      <c r="B29">
        <f>C6+C8+C10</f>
        <v>97</v>
      </c>
      <c r="C29">
        <f>D6+D8+D10</f>
        <v>50</v>
      </c>
      <c r="D29">
        <f>E6+E8+E10</f>
        <v>39</v>
      </c>
      <c r="E29" s="15">
        <f>Table22[[#This Row],[Count-Alcohol]]/SUM(Table22[[#This Row],[Count-Alcohol]:[Count-Heroin]])</f>
        <v>0.521505376344086</v>
      </c>
      <c r="F29" s="15">
        <f>Table22[[#This Row],[Count-Cocaine]]/SUM(Table22[[#This Row],[Count-Alcohol]:[Count-Heroin]])</f>
        <v>0.26881720430107525</v>
      </c>
      <c r="G29" s="15">
        <f>Table22[[#This Row],[Count-Heroin]]/SUM(Table22[[#This Row],[Count-Alcohol]:[Count-Heroin]])</f>
        <v>0.20967741935483872</v>
      </c>
      <c r="H29" s="14">
        <f>1 - SUMSQ(Table22[[#This Row],[P(Alcohol | Split)]:[P(Heroin | Split)]])</f>
        <v>0.61180483292866228</v>
      </c>
    </row>
    <row r="30" spans="1:16" x14ac:dyDescent="0.2">
      <c r="A30" t="s">
        <v>8</v>
      </c>
      <c r="B30">
        <f>C7+C9+C11</f>
        <v>59</v>
      </c>
      <c r="C30">
        <f>D7+D9+D11</f>
        <v>89</v>
      </c>
      <c r="D30">
        <f>E7+E9+E11</f>
        <v>66</v>
      </c>
      <c r="E30" s="15">
        <f>Table22[[#This Row],[Count-Alcohol]]/SUM(Table22[[#This Row],[Count-Alcohol]:[Count-Heroin]])</f>
        <v>0.27570093457943923</v>
      </c>
      <c r="F30" s="15">
        <f>Table22[[#This Row],[Count-Cocaine]]/SUM(Table22[[#This Row],[Count-Alcohol]:[Count-Heroin]])</f>
        <v>0.41588785046728971</v>
      </c>
      <c r="G30" s="15">
        <f>Table22[[#This Row],[Count-Heroin]]/SUM(Table22[[#This Row],[Count-Alcohol]:[Count-Heroin]])</f>
        <v>0.30841121495327101</v>
      </c>
      <c r="H30" s="14">
        <f>1 - SUMSQ(Table22[[#This Row],[P(Alcohol | Split)]:[P(Heroin | Split)]])</f>
        <v>0.65590881299676829</v>
      </c>
    </row>
    <row r="31" spans="1:16" ht="17" thickBot="1" x14ac:dyDescent="0.25">
      <c r="E31" s="15"/>
      <c r="H31" s="15"/>
    </row>
    <row r="32" spans="1:16" ht="27" thickBot="1" x14ac:dyDescent="0.35">
      <c r="A32" s="32"/>
      <c r="B32" s="33"/>
      <c r="C32" s="33"/>
      <c r="D32" s="33"/>
      <c r="E32" s="33"/>
      <c r="F32" s="33"/>
      <c r="G32" s="33"/>
      <c r="H32" s="33"/>
      <c r="I32" s="35" t="s">
        <v>42</v>
      </c>
      <c r="J32" s="33"/>
      <c r="K32" s="33"/>
      <c r="L32" s="33"/>
      <c r="M32" s="33"/>
      <c r="N32" s="33"/>
      <c r="O32" s="33"/>
      <c r="P32" s="34"/>
    </row>
    <row r="33" spans="1:18" ht="27" thickBot="1" x14ac:dyDescent="0.35">
      <c r="A33" s="31" t="s">
        <v>36</v>
      </c>
      <c r="I33" s="23"/>
      <c r="K33" s="31" t="s">
        <v>37</v>
      </c>
      <c r="L33" s="10"/>
      <c r="M33" s="10"/>
      <c r="N33" s="10"/>
      <c r="O33" s="10"/>
      <c r="P33" s="10"/>
    </row>
    <row r="34" spans="1:18" ht="20" thickBot="1" x14ac:dyDescent="0.25">
      <c r="A34" s="4" t="s">
        <v>0</v>
      </c>
      <c r="B34" s="2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I34" s="23"/>
      <c r="K34" s="4" t="s">
        <v>0</v>
      </c>
      <c r="L34" s="2" t="s">
        <v>1</v>
      </c>
      <c r="M34" s="3" t="s">
        <v>2</v>
      </c>
      <c r="N34" s="3" t="s">
        <v>3</v>
      </c>
      <c r="O34" s="3" t="s">
        <v>4</v>
      </c>
      <c r="P34" s="3" t="s">
        <v>5</v>
      </c>
    </row>
    <row r="35" spans="1:18" ht="20" thickBot="1" x14ac:dyDescent="0.25">
      <c r="A35" s="4" t="s">
        <v>6</v>
      </c>
      <c r="B35" s="5" t="s">
        <v>7</v>
      </c>
      <c r="C35" s="6">
        <v>30</v>
      </c>
      <c r="D35" s="6">
        <v>48</v>
      </c>
      <c r="E35" s="6">
        <v>17</v>
      </c>
      <c r="F35" s="7">
        <f>SUM(C35:E35)</f>
        <v>95</v>
      </c>
      <c r="I35" s="23"/>
      <c r="K35" s="4" t="s">
        <v>9</v>
      </c>
      <c r="L35" s="5" t="s">
        <v>7</v>
      </c>
      <c r="M35" s="6">
        <v>7</v>
      </c>
      <c r="N35" s="6">
        <v>0</v>
      </c>
      <c r="O35" s="6">
        <v>5</v>
      </c>
      <c r="P35" s="7">
        <f t="shared" ref="P35:P38" si="2">SUM(M35:O35)</f>
        <v>12</v>
      </c>
    </row>
    <row r="36" spans="1:18" ht="20" thickBot="1" x14ac:dyDescent="0.25">
      <c r="A36" s="4"/>
      <c r="B36" s="5" t="s">
        <v>8</v>
      </c>
      <c r="C36" s="6">
        <v>25</v>
      </c>
      <c r="D36" s="6">
        <v>72</v>
      </c>
      <c r="E36" s="6">
        <v>13</v>
      </c>
      <c r="F36" s="7">
        <f t="shared" ref="F36" si="3">SUM(C36:E36)</f>
        <v>110</v>
      </c>
      <c r="I36" s="23"/>
      <c r="K36" s="4"/>
      <c r="L36" s="5" t="s">
        <v>8</v>
      </c>
      <c r="M36" s="6">
        <v>8</v>
      </c>
      <c r="N36" s="6">
        <v>7</v>
      </c>
      <c r="O36" s="6">
        <v>19</v>
      </c>
      <c r="P36" s="7">
        <f t="shared" si="2"/>
        <v>34</v>
      </c>
    </row>
    <row r="37" spans="1:18" ht="20" thickBot="1" x14ac:dyDescent="0.25">
      <c r="A37" s="4" t="s">
        <v>11</v>
      </c>
      <c r="B37" s="5"/>
      <c r="C37" s="7">
        <f>SUM(C35:C36)</f>
        <v>55</v>
      </c>
      <c r="D37" s="7">
        <f>SUM(D35:D36)</f>
        <v>120</v>
      </c>
      <c r="E37" s="7">
        <f>SUM(E35:E36)</f>
        <v>30</v>
      </c>
      <c r="F37" s="7">
        <f>SUM(C35:E36)</f>
        <v>205</v>
      </c>
      <c r="I37" s="23"/>
      <c r="K37" s="4" t="s">
        <v>10</v>
      </c>
      <c r="L37" s="5" t="s">
        <v>7</v>
      </c>
      <c r="M37" s="6">
        <v>60</v>
      </c>
      <c r="N37" s="6">
        <v>2</v>
      </c>
      <c r="O37" s="6">
        <v>17</v>
      </c>
      <c r="P37" s="7">
        <f t="shared" si="2"/>
        <v>79</v>
      </c>
    </row>
    <row r="38" spans="1:18" ht="20" thickBot="1" x14ac:dyDescent="0.25">
      <c r="I38" s="23"/>
      <c r="K38" s="4"/>
      <c r="L38" s="5" t="s">
        <v>8</v>
      </c>
      <c r="M38" s="6">
        <v>26</v>
      </c>
      <c r="N38" s="6">
        <v>10</v>
      </c>
      <c r="O38" s="6">
        <v>34</v>
      </c>
      <c r="P38" s="7">
        <f t="shared" si="2"/>
        <v>70</v>
      </c>
    </row>
    <row r="39" spans="1:18" ht="20" thickBot="1" x14ac:dyDescent="0.25">
      <c r="I39" s="23"/>
      <c r="K39" s="4" t="s">
        <v>11</v>
      </c>
      <c r="L39" s="5"/>
      <c r="M39" s="7">
        <f>SUM(M35:M38)</f>
        <v>101</v>
      </c>
      <c r="N39" s="7">
        <f>SUM(N35:N38)</f>
        <v>19</v>
      </c>
      <c r="O39" s="7">
        <f>SUM(O35:O38)</f>
        <v>75</v>
      </c>
      <c r="P39" s="7">
        <f>SUM(M35:O38)</f>
        <v>195</v>
      </c>
    </row>
    <row r="40" spans="1:18" x14ac:dyDescent="0.2">
      <c r="I40" s="23"/>
    </row>
    <row r="41" spans="1:18" x14ac:dyDescent="0.2">
      <c r="A41" t="s">
        <v>26</v>
      </c>
      <c r="B41" t="s">
        <v>27</v>
      </c>
      <c r="I41" s="23"/>
      <c r="K41" t="s">
        <v>26</v>
      </c>
      <c r="L41" t="s">
        <v>27</v>
      </c>
    </row>
    <row r="42" spans="1:18" x14ac:dyDescent="0.2">
      <c r="A42" t="s">
        <v>2</v>
      </c>
      <c r="B42">
        <f>$C$37/$F$37</f>
        <v>0.26829268292682928</v>
      </c>
      <c r="I42" s="23"/>
      <c r="K42" t="s">
        <v>2</v>
      </c>
      <c r="L42">
        <f>$M$39/$P$39</f>
        <v>0.517948717948718</v>
      </c>
    </row>
    <row r="43" spans="1:18" x14ac:dyDescent="0.2">
      <c r="A43" t="s">
        <v>3</v>
      </c>
      <c r="B43">
        <f>$D$37/$F$37</f>
        <v>0.58536585365853655</v>
      </c>
      <c r="I43" s="23"/>
      <c r="K43" t="s">
        <v>3</v>
      </c>
      <c r="L43">
        <f>$N$39/$P$39</f>
        <v>9.7435897435897437E-2</v>
      </c>
    </row>
    <row r="44" spans="1:18" x14ac:dyDescent="0.2">
      <c r="A44" t="s">
        <v>4</v>
      </c>
      <c r="B44">
        <f>$E$37/$F$37</f>
        <v>0.14634146341463414</v>
      </c>
      <c r="I44" s="23"/>
      <c r="K44" t="s">
        <v>4</v>
      </c>
      <c r="L44">
        <f>$O$39/$P$39</f>
        <v>0.38461538461538464</v>
      </c>
    </row>
    <row r="45" spans="1:18" x14ac:dyDescent="0.2">
      <c r="I45" s="23"/>
    </row>
    <row r="46" spans="1:18" x14ac:dyDescent="0.2">
      <c r="A46" s="12" t="s">
        <v>23</v>
      </c>
      <c r="B46" s="13">
        <f>1 - SUMSQ(Table212426[P(Class)])</f>
        <v>0.56395002974419994</v>
      </c>
      <c r="I46" s="23"/>
      <c r="K46" s="12" t="s">
        <v>23</v>
      </c>
      <c r="L46" s="13">
        <f>1 - SUMSQ(Table2124[P(Class)])</f>
        <v>0.57430637738330037</v>
      </c>
    </row>
    <row r="47" spans="1:18" x14ac:dyDescent="0.2">
      <c r="I47" s="30"/>
    </row>
    <row r="48" spans="1:1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24</v>
      </c>
      <c r="I48" s="23"/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24</v>
      </c>
    </row>
    <row r="49" spans="1:19" x14ac:dyDescent="0.2">
      <c r="A49" t="s">
        <v>7</v>
      </c>
      <c r="B49">
        <f>C35</f>
        <v>30</v>
      </c>
      <c r="C49">
        <f t="shared" ref="C49:D49" si="4">D35</f>
        <v>48</v>
      </c>
      <c r="D49">
        <f t="shared" si="4"/>
        <v>17</v>
      </c>
      <c r="E49" s="15">
        <f>Table222527[[#This Row],[Count-Alcohol]]/SUM(Table222527[[#This Row],[Count-Alcohol]:[Count-Heroin]])</f>
        <v>0.31578947368421051</v>
      </c>
      <c r="F49" s="15">
        <f>Table222527[[#This Row],[Count-Cocaine]]/SUM(Table222527[[#This Row],[Count-Alcohol]:[Count-Heroin]])</f>
        <v>0.50526315789473686</v>
      </c>
      <c r="G49" s="15">
        <f>Table222527[[#This Row],[Count-Heroin]]/SUM(Table222527[[#This Row],[Count-Alcohol]:[Count-Heroin]])</f>
        <v>0.17894736842105263</v>
      </c>
      <c r="H49" s="14">
        <f>1 - SUMSQ(Table222527[[#This Row],[P(Alcohol | Split)]:[P(Heroin | Split)]])</f>
        <v>0.61296398891966764</v>
      </c>
      <c r="I49" s="30"/>
      <c r="K49" t="s">
        <v>9</v>
      </c>
      <c r="L49">
        <f>M35+M36</f>
        <v>15</v>
      </c>
      <c r="M49">
        <f t="shared" ref="M49:N49" si="5">N35+N36</f>
        <v>7</v>
      </c>
      <c r="N49">
        <f t="shared" si="5"/>
        <v>24</v>
      </c>
      <c r="O49" s="15">
        <f>Table2225[[#This Row],[Count-Alcohol]]/SUM(Table2225[[#This Row],[Count-Alcohol]:[Count-Heroin]])</f>
        <v>0.32608695652173914</v>
      </c>
      <c r="P49" s="15">
        <f>Table2225[[#This Row],[Count-Cocaine]]/SUM(Table2225[[#This Row],[Count-Alcohol]:[Count-Heroin]])</f>
        <v>0.15217391304347827</v>
      </c>
      <c r="Q49" s="15">
        <f>Table2225[[#This Row],[Count-Heroin]]/SUM(Table2225[[#This Row],[Count-Alcohol]:[Count-Heroin]])</f>
        <v>0.52173913043478259</v>
      </c>
      <c r="R49" s="14">
        <f>1 - SUMSQ(Table2225[[#This Row],[P(Alcohol | Split)]:[P(Heroin | Split)]])</f>
        <v>0.59829867674858228</v>
      </c>
      <c r="S49" s="8"/>
    </row>
    <row r="50" spans="1:19" x14ac:dyDescent="0.2">
      <c r="A50" s="16" t="s">
        <v>8</v>
      </c>
      <c r="B50" s="16">
        <f>C36</f>
        <v>25</v>
      </c>
      <c r="C50" s="16">
        <f t="shared" ref="C50:D50" si="6">D36</f>
        <v>72</v>
      </c>
      <c r="D50" s="16">
        <f t="shared" si="6"/>
        <v>13</v>
      </c>
      <c r="E50" s="17">
        <f>Table222527[[#This Row],[Count-Alcohol]]/SUM(Table222527[[#This Row],[Count-Alcohol]:[Count-Heroin]])</f>
        <v>0.22727272727272727</v>
      </c>
      <c r="F50" s="17">
        <f>Table222527[[#This Row],[Count-Cocaine]]/SUM(Table222527[[#This Row],[Count-Alcohol]:[Count-Heroin]])</f>
        <v>0.65454545454545454</v>
      </c>
      <c r="G50" s="17">
        <f>Table222527[[#This Row],[Count-Heroin]]/SUM(Table222527[[#This Row],[Count-Alcohol]:[Count-Heroin]])</f>
        <v>0.11818181818181818</v>
      </c>
      <c r="H50" s="18">
        <f>1 - SUMSQ(Table222527[[#This Row],[P(Alcohol | Split)]:[P(Heroin | Split)]])</f>
        <v>0.50595041322314049</v>
      </c>
      <c r="I50" s="30" t="s">
        <v>39</v>
      </c>
      <c r="K50" t="s">
        <v>10</v>
      </c>
      <c r="L50">
        <f>M37+M38</f>
        <v>86</v>
      </c>
      <c r="M50">
        <f t="shared" ref="M50:N50" si="7">N37+N38</f>
        <v>12</v>
      </c>
      <c r="N50">
        <f t="shared" si="7"/>
        <v>51</v>
      </c>
      <c r="O50" s="15">
        <f>Table2225[[#This Row],[Count-Alcohol]]/SUM(Table2225[[#This Row],[Count-Alcohol]:[Count-Heroin]])</f>
        <v>0.57718120805369133</v>
      </c>
      <c r="P50" s="15">
        <f>Table2225[[#This Row],[Count-Cocaine]]/SUM(Table2225[[#This Row],[Count-Alcohol]:[Count-Heroin]])</f>
        <v>8.0536912751677847E-2</v>
      </c>
      <c r="Q50" s="15">
        <f>Table2225[[#This Row],[Count-Heroin]]/SUM(Table2225[[#This Row],[Count-Alcohol]:[Count-Heroin]])</f>
        <v>0.34228187919463088</v>
      </c>
      <c r="R50" s="14">
        <f>1 - SUMSQ(Table2225[[#This Row],[P(Alcohol | Split)]:[P(Heroin | Split)]])</f>
        <v>0.54321877392910223</v>
      </c>
    </row>
    <row r="51" spans="1:19" x14ac:dyDescent="0.2">
      <c r="I51" s="23"/>
      <c r="K51" s="16" t="s">
        <v>7</v>
      </c>
      <c r="L51" s="16">
        <f>M35+M37</f>
        <v>67</v>
      </c>
      <c r="M51" s="16">
        <f t="shared" ref="M51:N51" si="8">N35+N37</f>
        <v>2</v>
      </c>
      <c r="N51" s="16">
        <f t="shared" si="8"/>
        <v>22</v>
      </c>
      <c r="O51" s="17">
        <f>Table2225[[#This Row],[Count-Alcohol]]/SUM(Table2225[[#This Row],[Count-Alcohol]:[Count-Heroin]])</f>
        <v>0.73626373626373631</v>
      </c>
      <c r="P51" s="17">
        <f>Table2225[[#This Row],[Count-Cocaine]]/SUM(Table2225[[#This Row],[Count-Alcohol]:[Count-Heroin]])</f>
        <v>2.197802197802198E-2</v>
      </c>
      <c r="Q51" s="17">
        <f>Table2225[[#This Row],[Count-Heroin]]/SUM(Table2225[[#This Row],[Count-Alcohol]:[Count-Heroin]])</f>
        <v>0.24175824175824176</v>
      </c>
      <c r="R51" s="18">
        <f>1 - SUMSQ(Table2225[[#This Row],[P(Alcohol | Split)]:[P(Heroin | Split)]])</f>
        <v>0.3989856297548604</v>
      </c>
      <c r="S51" s="8" t="s">
        <v>38</v>
      </c>
    </row>
    <row r="52" spans="1:19" x14ac:dyDescent="0.2">
      <c r="I52" s="23"/>
      <c r="K52" t="s">
        <v>8</v>
      </c>
      <c r="L52">
        <f>M36+M38</f>
        <v>34</v>
      </c>
      <c r="M52">
        <f t="shared" ref="M52:N52" si="9">N36+N38</f>
        <v>17</v>
      </c>
      <c r="N52">
        <f t="shared" si="9"/>
        <v>53</v>
      </c>
      <c r="O52" s="15">
        <f>Table2225[[#This Row],[Count-Alcohol]]/SUM(Table2225[[#This Row],[Count-Alcohol]:[Count-Heroin]])</f>
        <v>0.32692307692307693</v>
      </c>
      <c r="P52" s="15">
        <f>Table2225[[#This Row],[Count-Cocaine]]/SUM(Table2225[[#This Row],[Count-Alcohol]:[Count-Heroin]])</f>
        <v>0.16346153846153846</v>
      </c>
      <c r="Q52" s="15">
        <f>Table2225[[#This Row],[Count-Heroin]]/SUM(Table2225[[#This Row],[Count-Alcohol]:[Count-Heroin]])</f>
        <v>0.50961538461538458</v>
      </c>
      <c r="R52" s="14">
        <f>1 - SUMSQ(Table2225[[#This Row],[P(Alcohol | Split)]:[P(Heroin | Split)]])</f>
        <v>0.60669378698224852</v>
      </c>
    </row>
    <row r="53" spans="1:19" ht="17" thickBot="1" x14ac:dyDescent="0.25">
      <c r="I53" s="23"/>
    </row>
    <row r="54" spans="1:19" ht="27" thickBot="1" x14ac:dyDescent="0.35">
      <c r="A54" s="32"/>
      <c r="B54" s="33"/>
      <c r="C54" s="33"/>
      <c r="D54" s="33"/>
      <c r="E54" s="33"/>
      <c r="F54" s="33"/>
      <c r="G54" s="33"/>
      <c r="H54" s="33"/>
      <c r="I54" s="36" t="s">
        <v>43</v>
      </c>
      <c r="J54" s="33"/>
      <c r="K54" s="33"/>
      <c r="L54" s="33"/>
      <c r="M54" s="33"/>
      <c r="N54" s="33"/>
      <c r="O54" s="33"/>
      <c r="P54" s="34"/>
    </row>
    <row r="55" spans="1:19" ht="27" thickBot="1" x14ac:dyDescent="0.35">
      <c r="A55" s="31" t="s">
        <v>36</v>
      </c>
      <c r="B55" s="10"/>
      <c r="C55" s="10"/>
      <c r="D55" s="10"/>
      <c r="E55" s="10"/>
      <c r="F55" s="10"/>
      <c r="G55" s="10"/>
      <c r="H55" s="10"/>
      <c r="I55" s="23"/>
      <c r="J55" s="10"/>
      <c r="K55" s="31" t="s">
        <v>36</v>
      </c>
      <c r="L55" s="10"/>
      <c r="M55" s="10"/>
      <c r="N55" s="10"/>
      <c r="O55" s="10"/>
      <c r="P55" s="10"/>
    </row>
    <row r="56" spans="1:19" ht="20" thickBot="1" x14ac:dyDescent="0.25">
      <c r="A56" s="4" t="s">
        <v>0</v>
      </c>
      <c r="B56" s="2" t="s">
        <v>1</v>
      </c>
      <c r="C56" s="3" t="s">
        <v>2</v>
      </c>
      <c r="D56" s="29" t="s">
        <v>3</v>
      </c>
      <c r="E56" s="3" t="s">
        <v>4</v>
      </c>
      <c r="F56" s="3" t="s">
        <v>5</v>
      </c>
      <c r="I56" s="23"/>
      <c r="K56" s="4" t="s">
        <v>0</v>
      </c>
      <c r="L56" s="2" t="s">
        <v>1</v>
      </c>
      <c r="M56" s="29" t="s">
        <v>2</v>
      </c>
      <c r="N56" s="3" t="s">
        <v>3</v>
      </c>
      <c r="O56" s="3" t="s">
        <v>4</v>
      </c>
      <c r="P56" s="3" t="s">
        <v>5</v>
      </c>
    </row>
    <row r="57" spans="1:19" ht="20" thickBot="1" x14ac:dyDescent="0.25">
      <c r="A57" s="4" t="s">
        <v>6</v>
      </c>
      <c r="B57" s="5" t="s">
        <v>8</v>
      </c>
      <c r="C57" s="6">
        <v>25</v>
      </c>
      <c r="D57" s="22">
        <v>72</v>
      </c>
      <c r="E57" s="6">
        <v>13</v>
      </c>
      <c r="F57" s="7">
        <f t="shared" ref="F57" si="10">SUM(C57:E57)</f>
        <v>110</v>
      </c>
      <c r="I57" s="23"/>
      <c r="K57" s="4" t="s">
        <v>9</v>
      </c>
      <c r="L57" s="5" t="s">
        <v>7</v>
      </c>
      <c r="M57" s="22">
        <v>7</v>
      </c>
      <c r="N57" s="6">
        <v>0</v>
      </c>
      <c r="O57" s="6">
        <v>5</v>
      </c>
      <c r="P57" s="7">
        <f t="shared" ref="P57:P58" si="11">SUM(M57:O57)</f>
        <v>12</v>
      </c>
    </row>
    <row r="58" spans="1:19" ht="20" thickBot="1" x14ac:dyDescent="0.25">
      <c r="A58" s="4" t="s">
        <v>11</v>
      </c>
      <c r="B58" s="5"/>
      <c r="C58" s="7">
        <f>SUM(C57:C57)</f>
        <v>25</v>
      </c>
      <c r="D58" s="22">
        <f>SUM(D57:D57)</f>
        <v>72</v>
      </c>
      <c r="E58" s="7">
        <f>SUM(E57:E57)</f>
        <v>13</v>
      </c>
      <c r="F58" s="7">
        <f>SUM(C57:E57)</f>
        <v>110</v>
      </c>
      <c r="I58" s="23"/>
      <c r="K58" s="4" t="s">
        <v>10</v>
      </c>
      <c r="L58" s="5" t="s">
        <v>7</v>
      </c>
      <c r="M58" s="22">
        <v>60</v>
      </c>
      <c r="N58" s="6">
        <v>2</v>
      </c>
      <c r="O58" s="6">
        <v>17</v>
      </c>
      <c r="P58" s="7">
        <f t="shared" si="11"/>
        <v>79</v>
      </c>
    </row>
    <row r="59" spans="1:19" ht="20" thickBot="1" x14ac:dyDescent="0.25">
      <c r="I59" s="23"/>
      <c r="K59" s="4" t="s">
        <v>11</v>
      </c>
      <c r="L59" s="5"/>
      <c r="M59" s="22">
        <f>SUM(M57:M58)</f>
        <v>67</v>
      </c>
      <c r="N59" s="7">
        <f>SUM(N57:N58)</f>
        <v>2</v>
      </c>
      <c r="O59" s="7">
        <f>SUM(O57:O58)</f>
        <v>22</v>
      </c>
      <c r="P59" s="7">
        <f>SUM(M57:O58)</f>
        <v>91</v>
      </c>
    </row>
    <row r="60" spans="1:19" ht="17" thickBot="1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9" ht="27" thickBot="1" x14ac:dyDescent="0.35">
      <c r="A61" s="26" t="s">
        <v>37</v>
      </c>
      <c r="I61" s="23"/>
      <c r="K61" s="25" t="s">
        <v>37</v>
      </c>
      <c r="L61" s="21"/>
      <c r="M61" s="21"/>
      <c r="N61" s="21"/>
      <c r="O61" s="21"/>
      <c r="P61" s="21"/>
    </row>
    <row r="62" spans="1:19" ht="20" thickBot="1" x14ac:dyDescent="0.25">
      <c r="A62" s="4" t="s">
        <v>0</v>
      </c>
      <c r="B62" s="2" t="s">
        <v>1</v>
      </c>
      <c r="C62" s="3" t="s">
        <v>2</v>
      </c>
      <c r="D62" s="29" t="s">
        <v>3</v>
      </c>
      <c r="E62" s="3" t="s">
        <v>4</v>
      </c>
      <c r="F62" s="3" t="s">
        <v>5</v>
      </c>
      <c r="I62" s="23"/>
      <c r="K62" s="4" t="s">
        <v>0</v>
      </c>
      <c r="L62" s="2" t="s">
        <v>1</v>
      </c>
      <c r="M62" s="3" t="s">
        <v>2</v>
      </c>
      <c r="N62" s="3" t="s">
        <v>3</v>
      </c>
      <c r="O62" s="29" t="s">
        <v>4</v>
      </c>
      <c r="P62" s="3" t="s">
        <v>5</v>
      </c>
    </row>
    <row r="63" spans="1:19" ht="20" thickBot="1" x14ac:dyDescent="0.25">
      <c r="A63" s="4" t="s">
        <v>6</v>
      </c>
      <c r="B63" s="5" t="s">
        <v>7</v>
      </c>
      <c r="C63" s="6">
        <v>30</v>
      </c>
      <c r="D63" s="22">
        <v>48</v>
      </c>
      <c r="E63" s="6">
        <v>17</v>
      </c>
      <c r="F63" s="7">
        <f>SUM(C63:E63)</f>
        <v>95</v>
      </c>
      <c r="I63" s="23"/>
      <c r="K63" s="4" t="s">
        <v>9</v>
      </c>
      <c r="L63" s="5" t="s">
        <v>8</v>
      </c>
      <c r="M63" s="6">
        <v>8</v>
      </c>
      <c r="N63" s="6">
        <v>7</v>
      </c>
      <c r="O63" s="22">
        <v>19</v>
      </c>
      <c r="P63" s="7">
        <f t="shared" ref="P63:P64" si="12">SUM(M63:O63)</f>
        <v>34</v>
      </c>
    </row>
    <row r="64" spans="1:19" ht="20" thickBot="1" x14ac:dyDescent="0.25">
      <c r="A64" s="4" t="s">
        <v>11</v>
      </c>
      <c r="B64" s="5"/>
      <c r="C64" s="7">
        <f>SUM(C63:C63)</f>
        <v>30</v>
      </c>
      <c r="D64" s="22">
        <f>SUM(D63:D63)</f>
        <v>48</v>
      </c>
      <c r="E64" s="7">
        <f>SUM(E63:E63)</f>
        <v>17</v>
      </c>
      <c r="F64" s="7">
        <f>SUM(C63:E63)</f>
        <v>95</v>
      </c>
      <c r="I64" s="23"/>
      <c r="K64" s="4" t="s">
        <v>10</v>
      </c>
      <c r="L64" s="5" t="s">
        <v>8</v>
      </c>
      <c r="M64" s="6">
        <v>26</v>
      </c>
      <c r="N64" s="6">
        <v>10</v>
      </c>
      <c r="O64" s="22">
        <v>34</v>
      </c>
      <c r="P64" s="7">
        <f t="shared" si="12"/>
        <v>70</v>
      </c>
    </row>
    <row r="65" spans="1:16" ht="20" thickBot="1" x14ac:dyDescent="0.25">
      <c r="I65" s="23"/>
      <c r="K65" s="4" t="s">
        <v>11</v>
      </c>
      <c r="L65" s="5"/>
      <c r="M65" s="7">
        <f>SUM(M63:M64)</f>
        <v>34</v>
      </c>
      <c r="N65" s="7">
        <f>SUM(N63:N64)</f>
        <v>17</v>
      </c>
      <c r="O65" s="22">
        <f>SUM(O63:O64)</f>
        <v>53</v>
      </c>
      <c r="P65" s="7">
        <f>SUM(M63:O64)</f>
        <v>104</v>
      </c>
    </row>
    <row r="66" spans="1:16" ht="17" thickBot="1" x14ac:dyDescent="0.25">
      <c r="I66" s="23"/>
    </row>
    <row r="67" spans="1:16" ht="17" thickBot="1" x14ac:dyDescent="0.25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4"/>
    </row>
    <row r="68" spans="1:16" ht="27" thickBot="1" x14ac:dyDescent="0.35">
      <c r="A68" s="31" t="s">
        <v>46</v>
      </c>
    </row>
    <row r="69" spans="1:16" x14ac:dyDescent="0.2">
      <c r="A69" t="s">
        <v>40</v>
      </c>
      <c r="B69" t="s">
        <v>41</v>
      </c>
    </row>
    <row r="70" spans="1:16" x14ac:dyDescent="0.2">
      <c r="A70" t="s">
        <v>17</v>
      </c>
      <c r="B70" t="s">
        <v>3</v>
      </c>
    </row>
    <row r="71" spans="1:16" x14ac:dyDescent="0.2">
      <c r="A71" t="s">
        <v>18</v>
      </c>
      <c r="B71" t="s">
        <v>3</v>
      </c>
    </row>
    <row r="72" spans="1:16" x14ac:dyDescent="0.2">
      <c r="A72" t="s">
        <v>19</v>
      </c>
      <c r="B72" t="s">
        <v>2</v>
      </c>
    </row>
    <row r="73" spans="1:16" x14ac:dyDescent="0.2">
      <c r="A73" t="s">
        <v>20</v>
      </c>
      <c r="B73" t="s">
        <v>4</v>
      </c>
    </row>
    <row r="74" spans="1:16" x14ac:dyDescent="0.2">
      <c r="A74" t="s">
        <v>21</v>
      </c>
      <c r="B74" t="s">
        <v>2</v>
      </c>
    </row>
    <row r="75" spans="1:16" x14ac:dyDescent="0.2">
      <c r="A75" t="s">
        <v>22</v>
      </c>
      <c r="B75" t="s">
        <v>4</v>
      </c>
    </row>
    <row r="78" spans="1:16" ht="29" x14ac:dyDescent="0.35">
      <c r="A78" s="20" t="s">
        <v>44</v>
      </c>
    </row>
    <row r="79" spans="1:16" ht="17" thickBot="1" x14ac:dyDescent="0.25"/>
    <row r="80" spans="1:16" ht="20" thickBot="1" x14ac:dyDescent="0.25">
      <c r="A80" s="1" t="s">
        <v>0</v>
      </c>
      <c r="B80" s="2" t="s">
        <v>1</v>
      </c>
      <c r="C80" s="3" t="s">
        <v>2</v>
      </c>
      <c r="D80" s="3" t="s">
        <v>3</v>
      </c>
      <c r="E80" s="3" t="s">
        <v>4</v>
      </c>
      <c r="F80" s="3" t="s">
        <v>5</v>
      </c>
    </row>
    <row r="81" spans="1:6" ht="20" thickBot="1" x14ac:dyDescent="0.25">
      <c r="A81" s="4" t="s">
        <v>6</v>
      </c>
      <c r="B81" s="5" t="s">
        <v>7</v>
      </c>
      <c r="C81" s="6">
        <v>30</v>
      </c>
      <c r="D81" s="6">
        <v>48</v>
      </c>
      <c r="E81" s="6">
        <v>17</v>
      </c>
      <c r="F81" s="7">
        <f>SUM(C81:E81)</f>
        <v>95</v>
      </c>
    </row>
    <row r="82" spans="1:6" ht="20" thickBot="1" x14ac:dyDescent="0.25">
      <c r="A82" s="4"/>
      <c r="B82" s="5" t="s">
        <v>8</v>
      </c>
      <c r="C82" s="6">
        <v>25</v>
      </c>
      <c r="D82" s="6">
        <v>72</v>
      </c>
      <c r="E82" s="6">
        <v>13</v>
      </c>
      <c r="F82" s="7">
        <f t="shared" ref="F82:F86" si="13">SUM(C82:E82)</f>
        <v>110</v>
      </c>
    </row>
    <row r="83" spans="1:6" ht="20" thickBot="1" x14ac:dyDescent="0.25">
      <c r="A83" s="4" t="s">
        <v>9</v>
      </c>
      <c r="B83" s="5" t="s">
        <v>7</v>
      </c>
      <c r="C83" s="6">
        <v>7</v>
      </c>
      <c r="D83" s="6">
        <v>0</v>
      </c>
      <c r="E83" s="6">
        <v>5</v>
      </c>
      <c r="F83" s="7">
        <f t="shared" si="13"/>
        <v>12</v>
      </c>
    </row>
    <row r="84" spans="1:6" ht="20" thickBot="1" x14ac:dyDescent="0.25">
      <c r="A84" s="4"/>
      <c r="B84" s="5" t="s">
        <v>8</v>
      </c>
      <c r="C84" s="6">
        <v>8</v>
      </c>
      <c r="D84" s="6">
        <v>7</v>
      </c>
      <c r="E84" s="6">
        <v>19</v>
      </c>
      <c r="F84" s="7">
        <f t="shared" si="13"/>
        <v>34</v>
      </c>
    </row>
    <row r="85" spans="1:6" ht="20" thickBot="1" x14ac:dyDescent="0.25">
      <c r="A85" s="4" t="s">
        <v>10</v>
      </c>
      <c r="B85" s="5" t="s">
        <v>7</v>
      </c>
      <c r="C85" s="6">
        <v>60</v>
      </c>
      <c r="D85" s="6">
        <v>2</v>
      </c>
      <c r="E85" s="6">
        <v>17</v>
      </c>
      <c r="F85" s="7">
        <f t="shared" si="13"/>
        <v>79</v>
      </c>
    </row>
    <row r="86" spans="1:6" ht="20" thickBot="1" x14ac:dyDescent="0.25">
      <c r="A86" s="4"/>
      <c r="B86" s="5" t="s">
        <v>8</v>
      </c>
      <c r="C86" s="6">
        <v>26</v>
      </c>
      <c r="D86" s="6">
        <v>10</v>
      </c>
      <c r="E86" s="6">
        <v>34</v>
      </c>
      <c r="F86" s="7">
        <f t="shared" si="13"/>
        <v>70</v>
      </c>
    </row>
    <row r="87" spans="1:6" ht="20" thickBot="1" x14ac:dyDescent="0.25">
      <c r="A87" s="4" t="s">
        <v>11</v>
      </c>
      <c r="B87" s="5"/>
      <c r="C87" s="7">
        <f>SUM(C81:C86)</f>
        <v>156</v>
      </c>
      <c r="D87" s="7">
        <f t="shared" ref="D87:E87" si="14">SUM(D81:D86)</f>
        <v>139</v>
      </c>
      <c r="E87" s="7">
        <f t="shared" si="14"/>
        <v>105</v>
      </c>
      <c r="F87" s="7">
        <f>SUM(C81:E86)</f>
        <v>400</v>
      </c>
    </row>
    <row r="90" spans="1:6" x14ac:dyDescent="0.2">
      <c r="A90" t="s">
        <v>26</v>
      </c>
      <c r="B90" t="s">
        <v>25</v>
      </c>
      <c r="C90" t="s">
        <v>16</v>
      </c>
      <c r="D90" t="s">
        <v>48</v>
      </c>
    </row>
    <row r="91" spans="1:6" x14ac:dyDescent="0.2">
      <c r="A91" t="s">
        <v>2</v>
      </c>
      <c r="B91">
        <f>C87</f>
        <v>156</v>
      </c>
      <c r="C91">
        <f>Table29[[#This Row],[Count]]/$F$87</f>
        <v>0.39</v>
      </c>
      <c r="D91">
        <f>LOG(Table29[[#This Row],[Proportion]], 2)</f>
        <v>-1.3584539709124763</v>
      </c>
    </row>
    <row r="92" spans="1:6" x14ac:dyDescent="0.2">
      <c r="A92" t="s">
        <v>3</v>
      </c>
      <c r="B92">
        <f>D87</f>
        <v>139</v>
      </c>
      <c r="C92">
        <f>Table29[[#This Row],[Count]]/$F$87</f>
        <v>0.34749999999999998</v>
      </c>
      <c r="D92">
        <f>LOG(Table29[[#This Row],[Proportion]], 2)</f>
        <v>-1.5249151170512174</v>
      </c>
    </row>
    <row r="93" spans="1:6" x14ac:dyDescent="0.2">
      <c r="A93" t="s">
        <v>4</v>
      </c>
      <c r="B93">
        <f>E87</f>
        <v>105</v>
      </c>
      <c r="C93">
        <f>Table29[[#This Row],[Count]]/$F$87</f>
        <v>0.26250000000000001</v>
      </c>
      <c r="D93">
        <f>LOG(Table29[[#This Row],[Proportion]], 2)</f>
        <v>-1.9296106721086022</v>
      </c>
    </row>
    <row r="95" spans="1:6" x14ac:dyDescent="0.2">
      <c r="A95" s="12" t="s">
        <v>47</v>
      </c>
      <c r="B95" s="13" cm="1">
        <f t="array" ref="B95">-SUM(Table29[Proportion] * Table29[log2(Proportion)])</f>
        <v>1.5662278532596718</v>
      </c>
    </row>
    <row r="97" spans="1:16" x14ac:dyDescent="0.2">
      <c r="A97" s="37" t="s">
        <v>28</v>
      </c>
      <c r="B97" t="s">
        <v>49</v>
      </c>
      <c r="C97" t="s">
        <v>50</v>
      </c>
      <c r="D97" t="s">
        <v>51</v>
      </c>
      <c r="E97" t="s">
        <v>52</v>
      </c>
      <c r="F97" t="s">
        <v>53</v>
      </c>
      <c r="G97" t="s">
        <v>54</v>
      </c>
      <c r="H97" t="s">
        <v>58</v>
      </c>
      <c r="I97" s="14" t="s">
        <v>56</v>
      </c>
      <c r="J97" t="s">
        <v>57</v>
      </c>
      <c r="K97" t="s">
        <v>55</v>
      </c>
    </row>
    <row r="98" spans="1:16" x14ac:dyDescent="0.2">
      <c r="A98" s="37" t="s">
        <v>6</v>
      </c>
      <c r="B98">
        <f>(C81+C82) / $F$87</f>
        <v>0.13750000000000001</v>
      </c>
      <c r="C98">
        <f>(D81+D82) / $F$87</f>
        <v>0.3</v>
      </c>
      <c r="D98">
        <f>(E81+E82) / $F$87</f>
        <v>7.4999999999999997E-2</v>
      </c>
      <c r="E98">
        <f>LOG(Table30[[#This Row],[Proportion-Alcohol]], 2)</f>
        <v>-2.8624964762500649</v>
      </c>
      <c r="F98">
        <f>LOG(Table30[[#This Row],[Proportion-Cocaine]], 2)</f>
        <v>-1.7369655941662063</v>
      </c>
      <c r="G98">
        <f>LOG(Table30[[#This Row],[Proportion-Heroin]], 2)</f>
        <v>-3.7369655941662066</v>
      </c>
      <c r="H98">
        <f>F81+F82</f>
        <v>205</v>
      </c>
      <c r="I98" s="14" cm="1">
        <f t="array" ref="I98">-SUM(Table30[[#This Row],[Proportion-Alcohol]:[Proportion-Heroin]]*Table30[[#This Row],[log2(Proportion-Alcohol)]:[log2(Proportion-Heroin)]])</f>
        <v>1.1949553632967114</v>
      </c>
      <c r="J98" s="14" cm="1">
        <f t="array" ref="J98">-SUM(B99:D100*E99:G100)</f>
        <v>1.5307150056166299</v>
      </c>
      <c r="K98">
        <f>$B$95 - ((Table30[[#This Row],[Split Count]]/$F$87) * Table30[[#This Row],[Entropy-LEFT]] + (($F$87-Table30[[#This Row],[Split Count]])/$F$87) * Table30[[#This Row],[Entropy-RIGHT]])</f>
        <v>0.2075896643320001</v>
      </c>
    </row>
    <row r="99" spans="1:16" x14ac:dyDescent="0.2">
      <c r="A99" s="37" t="s">
        <v>9</v>
      </c>
      <c r="B99">
        <f>(C83+C84) / $F$87</f>
        <v>3.7499999999999999E-2</v>
      </c>
      <c r="C99">
        <f t="shared" ref="C99:D99" si="15">(D83+D84) / $F$87</f>
        <v>1.7500000000000002E-2</v>
      </c>
      <c r="D99">
        <f t="shared" si="15"/>
        <v>0.06</v>
      </c>
      <c r="E99">
        <f>LOG(Table30[[#This Row],[Proportion-Alcohol]], 2)</f>
        <v>-4.7369655941662066</v>
      </c>
      <c r="F99">
        <f>LOG(Table30[[#This Row],[Proportion-Cocaine]], 2)</f>
        <v>-5.8365012677171197</v>
      </c>
      <c r="G99">
        <f>LOG(Table30[[#This Row],[Proportion-Heroin]], 2)</f>
        <v>-4.0588936890535683</v>
      </c>
      <c r="H99">
        <f>F83+F84</f>
        <v>46</v>
      </c>
      <c r="I99" s="14" cm="1">
        <f t="array" ref="I99">-SUM(Table30[[#This Row],[Proportion-Alcohol]:[Proportion-Heroin]]*Table30[[#This Row],[log2(Proportion-Alcohol)]:[log2(Proportion-Heroin)]])</f>
        <v>0.52330860330949647</v>
      </c>
      <c r="J99" s="14" cm="1">
        <f t="array" ref="J99">-SUM(B98:D98*E98:G98) -SUM(B100:D100*E100:G100)</f>
        <v>2.202361765603845</v>
      </c>
      <c r="K99">
        <f>$B$95 - ((Table30[[#This Row],[Split Count]]/$F$87) * Table30[[#This Row],[Entropy-LEFT]] + (($F$87-Table30[[#This Row],[Split Count]])/$F$87) * Table30[[#This Row],[Entropy-RIGHT]])</f>
        <v>-0.44304279868032292</v>
      </c>
    </row>
    <row r="100" spans="1:16" x14ac:dyDescent="0.2">
      <c r="A100" s="37" t="s">
        <v>10</v>
      </c>
      <c r="B100">
        <f>(C85+C86) / $F$87</f>
        <v>0.215</v>
      </c>
      <c r="C100">
        <f t="shared" ref="C100:D100" si="16">(D85+D86) / $F$87</f>
        <v>0.03</v>
      </c>
      <c r="D100">
        <f t="shared" si="16"/>
        <v>0.1275</v>
      </c>
      <c r="E100">
        <f>LOG(Table30[[#This Row],[Proportion-Alcohol]], 2)</f>
        <v>-2.2175914350726269</v>
      </c>
      <c r="F100">
        <f>LOG(Table30[[#This Row],[Proportion-Cocaine]], 2)</f>
        <v>-5.0588936890535692</v>
      </c>
      <c r="G100">
        <f>LOG(Table30[[#This Row],[Proportion-Heroin]], 2)</f>
        <v>-2.9714308478032287</v>
      </c>
      <c r="H100">
        <f>F85+F86</f>
        <v>149</v>
      </c>
      <c r="I100" s="14" cm="1">
        <f t="array" ref="I100">-SUM(Table30[[#This Row],[Proportion-Alcohol]:[Proportion-Heroin]]*Table30[[#This Row],[log2(Proportion-Alcohol)]:[log2(Proportion-Heroin)]])</f>
        <v>1.0074064023071336</v>
      </c>
      <c r="J100" s="14" cm="1">
        <f t="array" ref="J100">-SUM(B98:D99*E98:G99)</f>
        <v>1.7182639666062078</v>
      </c>
      <c r="K100">
        <f>$B$95 - ((Table30[[#This Row],[Split Count]]/$F$87) * Table30[[#This Row],[Entropy-LEFT]] + (($F$87-Table30[[#This Row],[Split Count]])/$F$87) * Table30[[#This Row],[Entropy-RIGHT]])</f>
        <v>0.11275832935486907</v>
      </c>
    </row>
    <row r="101" spans="1:16" x14ac:dyDescent="0.2">
      <c r="A101" s="38" t="s">
        <v>7</v>
      </c>
      <c r="B101" s="39">
        <f>(C81+C83+C85) / $F$87</f>
        <v>0.24249999999999999</v>
      </c>
      <c r="C101" s="39">
        <f t="shared" ref="C101:D101" si="17">(D81+D83+D85) / $F$87</f>
        <v>0.125</v>
      </c>
      <c r="D101" s="39">
        <f t="shared" si="17"/>
        <v>9.7500000000000003E-2</v>
      </c>
      <c r="E101" s="39">
        <f>LOG(Table30[[#This Row],[Proportion-Alcohol]], 2)</f>
        <v>-2.043943347587597</v>
      </c>
      <c r="F101" s="39">
        <f>LOG(Table30[[#This Row],[Proportion-Cocaine]], 2)</f>
        <v>-3</v>
      </c>
      <c r="G101" s="39">
        <f>LOG(Table30[[#This Row],[Proportion-Heroin]], 2)</f>
        <v>-3.3584539709124761</v>
      </c>
      <c r="H101" s="39">
        <f>F81+F83+F85</f>
        <v>186</v>
      </c>
      <c r="I101" s="40" cm="1">
        <f t="array" ref="I101">-SUM(Table30[[#This Row],[Proportion-Alcohol]:[Proportion-Heroin]]*Table30[[#This Row],[log2(Proportion-Alcohol)]:[log2(Proportion-Heroin)]])</f>
        <v>1.1981055239539586</v>
      </c>
      <c r="J101" s="40" cm="1">
        <f t="array" ref="J101">-SUM(B102:D102 * E102:G102)</f>
        <v>1.3185974936644378</v>
      </c>
      <c r="K101" s="39">
        <f>$B$95 - ((Table30[[#This Row],[Split Count]]/$F$87) * Table30[[#This Row],[Entropy-LEFT]] + (($F$87-Table30[[#This Row],[Split Count]])/$F$87) * Table30[[#This Row],[Entropy-RIGHT]])</f>
        <v>0.3036591255106067</v>
      </c>
      <c r="L101" s="8" t="s">
        <v>59</v>
      </c>
    </row>
    <row r="102" spans="1:16" x14ac:dyDescent="0.2">
      <c r="A102" s="37" t="s">
        <v>8</v>
      </c>
      <c r="B102">
        <f>(C82+C84+C86) / $F$87</f>
        <v>0.14749999999999999</v>
      </c>
      <c r="C102">
        <f t="shared" ref="C102:D102" si="18">(D82+D84+D86) / $F$87</f>
        <v>0.2225</v>
      </c>
      <c r="D102">
        <f t="shared" si="18"/>
        <v>0.16500000000000001</v>
      </c>
      <c r="E102">
        <f>LOG(Table30[[#This Row],[Proportion-Alcohol]], 2)</f>
        <v>-2.7612131404128837</v>
      </c>
      <c r="F102">
        <f>LOG(Table30[[#This Row],[Proportion-Cocaine]], 2)</f>
        <v>-2.1681227588083267</v>
      </c>
      <c r="G102">
        <f>LOG(Table30[[#This Row],[Proportion-Heroin]], 2)</f>
        <v>-2.599462070416271</v>
      </c>
      <c r="H102">
        <f>F82+F84+F86</f>
        <v>214</v>
      </c>
      <c r="I102" s="14" cm="1">
        <f t="array" ref="I102">-SUM(Table30[[#This Row],[Proportion-Alcohol]:[Proportion-Heroin]]*Table30[[#This Row],[log2(Proportion-Alcohol)]:[log2(Proportion-Heroin)]])</f>
        <v>1.3185974936644378</v>
      </c>
      <c r="J102" s="14" cm="1">
        <f t="array" ref="J102">-SUM(B101:D101 * E101:G101)</f>
        <v>1.1981055239539586</v>
      </c>
      <c r="K102">
        <f>$B$95 - ((Table30[[#This Row],[Split Count]]/$F$87) * Table30[[#This Row],[Entropy-LEFT]] + (($F$87-Table30[[#This Row],[Split Count]])/$F$87) * Table30[[#This Row],[Entropy-RIGHT]])</f>
        <v>0.3036591255106067</v>
      </c>
    </row>
    <row r="104" spans="1:16" ht="17" thickBot="1" x14ac:dyDescent="0.25"/>
    <row r="105" spans="1:16" ht="27" thickBot="1" x14ac:dyDescent="0.35">
      <c r="A105" s="32"/>
      <c r="B105" s="33"/>
      <c r="C105" s="33"/>
      <c r="D105" s="33"/>
      <c r="E105" s="33"/>
      <c r="F105" s="33"/>
      <c r="G105" s="33"/>
      <c r="H105" s="33"/>
      <c r="I105" s="35" t="s">
        <v>42</v>
      </c>
      <c r="J105" s="33"/>
      <c r="K105" s="33"/>
      <c r="L105" s="33"/>
      <c r="M105" s="33"/>
      <c r="N105" s="33"/>
      <c r="O105" s="33"/>
      <c r="P105" s="34"/>
    </row>
    <row r="106" spans="1:16" ht="27" thickBot="1" x14ac:dyDescent="0.35">
      <c r="A106" s="31" t="s">
        <v>36</v>
      </c>
      <c r="I106" s="23"/>
      <c r="K106" s="31" t="s">
        <v>37</v>
      </c>
      <c r="L106" s="10"/>
      <c r="M106" s="10"/>
      <c r="N106" s="10"/>
      <c r="O106" s="10"/>
      <c r="P106" s="10"/>
    </row>
    <row r="107" spans="1:16" ht="20" thickBot="1" x14ac:dyDescent="0.25">
      <c r="A107" s="1" t="s">
        <v>0</v>
      </c>
      <c r="B107" s="2" t="s">
        <v>1</v>
      </c>
      <c r="C107" s="3" t="s">
        <v>2</v>
      </c>
      <c r="D107" s="3" t="s">
        <v>3</v>
      </c>
      <c r="E107" s="3" t="s">
        <v>4</v>
      </c>
      <c r="F107" s="3" t="s">
        <v>5</v>
      </c>
      <c r="I107" s="23"/>
      <c r="K107" s="1" t="s">
        <v>0</v>
      </c>
      <c r="L107" s="2" t="s">
        <v>1</v>
      </c>
      <c r="M107" s="3" t="s">
        <v>2</v>
      </c>
      <c r="N107" s="3" t="s">
        <v>3</v>
      </c>
      <c r="O107" s="3" t="s">
        <v>4</v>
      </c>
      <c r="P107" s="3" t="s">
        <v>5</v>
      </c>
    </row>
    <row r="108" spans="1:16" ht="20" thickBot="1" x14ac:dyDescent="0.25">
      <c r="A108" s="4" t="s">
        <v>6</v>
      </c>
      <c r="B108" s="5" t="s">
        <v>7</v>
      </c>
      <c r="C108" s="6">
        <v>30</v>
      </c>
      <c r="D108" s="6">
        <v>48</v>
      </c>
      <c r="E108" s="6">
        <v>17</v>
      </c>
      <c r="F108" s="7">
        <f>SUM(C108:E108)</f>
        <v>95</v>
      </c>
      <c r="I108" s="23"/>
      <c r="K108" s="4" t="s">
        <v>6</v>
      </c>
      <c r="L108" s="5" t="s">
        <v>8</v>
      </c>
      <c r="M108" s="6">
        <v>25</v>
      </c>
      <c r="N108" s="6">
        <v>72</v>
      </c>
      <c r="O108" s="6">
        <v>13</v>
      </c>
      <c r="P108" s="7">
        <f t="shared" ref="P108:P110" si="19">SUM(M108:O108)</f>
        <v>110</v>
      </c>
    </row>
    <row r="109" spans="1:16" ht="20" thickBot="1" x14ac:dyDescent="0.25">
      <c r="A109" s="4" t="s">
        <v>9</v>
      </c>
      <c r="B109" s="5" t="s">
        <v>7</v>
      </c>
      <c r="C109" s="6">
        <v>7</v>
      </c>
      <c r="D109" s="6">
        <v>0</v>
      </c>
      <c r="E109" s="6">
        <v>5</v>
      </c>
      <c r="F109" s="7">
        <f t="shared" ref="F109:F110" si="20">SUM(C109:E109)</f>
        <v>12</v>
      </c>
      <c r="I109" s="23"/>
      <c r="K109" s="4" t="s">
        <v>9</v>
      </c>
      <c r="L109" s="5" t="s">
        <v>8</v>
      </c>
      <c r="M109" s="6">
        <v>8</v>
      </c>
      <c r="N109" s="6">
        <v>7</v>
      </c>
      <c r="O109" s="6">
        <v>19</v>
      </c>
      <c r="P109" s="7">
        <f t="shared" si="19"/>
        <v>34</v>
      </c>
    </row>
    <row r="110" spans="1:16" ht="20" thickBot="1" x14ac:dyDescent="0.25">
      <c r="A110" s="4" t="s">
        <v>10</v>
      </c>
      <c r="B110" s="5" t="s">
        <v>7</v>
      </c>
      <c r="C110" s="6">
        <v>60</v>
      </c>
      <c r="D110" s="6">
        <v>2</v>
      </c>
      <c r="E110" s="6">
        <v>17</v>
      </c>
      <c r="F110" s="7">
        <f t="shared" si="20"/>
        <v>79</v>
      </c>
      <c r="I110" s="23"/>
      <c r="K110" s="4" t="s">
        <v>10</v>
      </c>
      <c r="L110" s="5" t="s">
        <v>8</v>
      </c>
      <c r="M110" s="6">
        <v>26</v>
      </c>
      <c r="N110" s="6">
        <v>10</v>
      </c>
      <c r="O110" s="6">
        <v>34</v>
      </c>
      <c r="P110" s="7">
        <f t="shared" si="19"/>
        <v>70</v>
      </c>
    </row>
    <row r="111" spans="1:16" ht="20" thickBot="1" x14ac:dyDescent="0.25">
      <c r="A111" s="4" t="s">
        <v>11</v>
      </c>
      <c r="B111" s="5"/>
      <c r="C111" s="7">
        <f>SUM(C108:C110)</f>
        <v>97</v>
      </c>
      <c r="D111" s="7">
        <f>SUM(D108:D110)</f>
        <v>50</v>
      </c>
      <c r="E111" s="7">
        <f>SUM(E108:E110)</f>
        <v>39</v>
      </c>
      <c r="F111" s="7">
        <f>SUM(C108:E110)</f>
        <v>186</v>
      </c>
      <c r="I111" s="23"/>
      <c r="K111" s="4" t="s">
        <v>11</v>
      </c>
      <c r="L111" s="5"/>
      <c r="M111" s="7">
        <f>SUM(M108:M110)</f>
        <v>59</v>
      </c>
      <c r="N111" s="7">
        <f>SUM(N108:N110)</f>
        <v>89</v>
      </c>
      <c r="O111" s="7">
        <f>SUM(O108:O110)</f>
        <v>66</v>
      </c>
      <c r="P111" s="7">
        <f>SUM(M108:O110)</f>
        <v>214</v>
      </c>
    </row>
    <row r="112" spans="1:16" x14ac:dyDescent="0.2">
      <c r="I112" s="23"/>
    </row>
    <row r="113" spans="1:18" x14ac:dyDescent="0.2">
      <c r="I113" s="23"/>
    </row>
    <row r="114" spans="1:18" x14ac:dyDescent="0.2">
      <c r="A114" t="s">
        <v>26</v>
      </c>
      <c r="B114" t="s">
        <v>25</v>
      </c>
      <c r="C114" t="s">
        <v>16</v>
      </c>
      <c r="D114" t="s">
        <v>48</v>
      </c>
      <c r="I114" s="23"/>
      <c r="K114" t="s">
        <v>26</v>
      </c>
      <c r="L114" t="s">
        <v>25</v>
      </c>
      <c r="M114" t="s">
        <v>16</v>
      </c>
      <c r="N114" t="s">
        <v>48</v>
      </c>
    </row>
    <row r="115" spans="1:18" x14ac:dyDescent="0.2">
      <c r="A115" t="s">
        <v>2</v>
      </c>
      <c r="B115">
        <f>C111</f>
        <v>97</v>
      </c>
      <c r="C115">
        <f>Table2934[[#This Row],[Count]]/$F$111</f>
        <v>0.521505376344086</v>
      </c>
      <c r="D115">
        <f>LOG(Table2934[[#This Row],[Proportion]], 2)</f>
        <v>-0.93924596892090373</v>
      </c>
      <c r="I115" s="23"/>
      <c r="K115" t="s">
        <v>2</v>
      </c>
      <c r="L115">
        <f>M111</f>
        <v>59</v>
      </c>
      <c r="M115">
        <f>Table293437[[#This Row],[Count]]/$P$111</f>
        <v>0.27570093457943923</v>
      </c>
      <c r="N115">
        <f>LOG(Table293437[[#This Row],[Proportion]], 2)</f>
        <v>-1.8588239370393058</v>
      </c>
    </row>
    <row r="116" spans="1:18" x14ac:dyDescent="0.2">
      <c r="A116" t="s">
        <v>3</v>
      </c>
      <c r="B116">
        <f>D111</f>
        <v>50</v>
      </c>
      <c r="C116">
        <f>Table2934[[#This Row],[Count]]/$F$111</f>
        <v>0.26881720430107525</v>
      </c>
      <c r="D116">
        <f>LOG(Table2934[[#This Row],[Proportion]], 2)</f>
        <v>-1.8953026213333068</v>
      </c>
      <c r="I116" s="23"/>
      <c r="K116" t="s">
        <v>3</v>
      </c>
      <c r="L116">
        <f>N111</f>
        <v>89</v>
      </c>
      <c r="M116">
        <f>Table293437[[#This Row],[Count]]/$P$111</f>
        <v>0.41588785046728971</v>
      </c>
      <c r="N116">
        <f>LOG(Table293437[[#This Row],[Proportion]], 2)</f>
        <v>-1.2657335554347493</v>
      </c>
    </row>
    <row r="117" spans="1:18" x14ac:dyDescent="0.2">
      <c r="A117" t="s">
        <v>4</v>
      </c>
      <c r="B117">
        <f>E111</f>
        <v>39</v>
      </c>
      <c r="C117">
        <f>Table2934[[#This Row],[Count]]/$F$111</f>
        <v>0.20967741935483872</v>
      </c>
      <c r="D117">
        <f>LOG(Table2934[[#This Row],[Proportion]], 2)</f>
        <v>-2.2537565922457832</v>
      </c>
      <c r="I117" s="23"/>
      <c r="K117" t="s">
        <v>4</v>
      </c>
      <c r="L117">
        <f>O111</f>
        <v>66</v>
      </c>
      <c r="M117">
        <f>Table293437[[#This Row],[Count]]/$P$111</f>
        <v>0.30841121495327101</v>
      </c>
      <c r="N117">
        <f>LOG(Table293437[[#This Row],[Proportion]], 2)</f>
        <v>-1.6970728670426936</v>
      </c>
    </row>
    <row r="118" spans="1:18" x14ac:dyDescent="0.2">
      <c r="I118" s="23"/>
    </row>
    <row r="119" spans="1:18" x14ac:dyDescent="0.2">
      <c r="A119" s="12" t="s">
        <v>47</v>
      </c>
      <c r="B119" s="13" cm="1">
        <f t="array" ref="B119">-SUM(Table2934[Proportion] * Table2934[log2(Proportion)])</f>
        <v>1.4718736405891319</v>
      </c>
      <c r="I119" s="23"/>
      <c r="K119" s="12" t="s">
        <v>47</v>
      </c>
      <c r="L119" s="13" cm="1">
        <f t="array" ref="L119">-SUM(Table293437[Proportion] * Table293437[log2(Proportion)])</f>
        <v>1.5622790090833154</v>
      </c>
    </row>
    <row r="120" spans="1:18" x14ac:dyDescent="0.2">
      <c r="I120" s="23"/>
    </row>
    <row r="121" spans="1:18" x14ac:dyDescent="0.2">
      <c r="A121" s="37" t="s">
        <v>28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  <c r="G121" t="s">
        <v>54</v>
      </c>
      <c r="H121" t="s">
        <v>58</v>
      </c>
      <c r="I121" s="23"/>
      <c r="K121" s="37" t="s">
        <v>28</v>
      </c>
      <c r="L121" t="s">
        <v>49</v>
      </c>
      <c r="M121" t="s">
        <v>50</v>
      </c>
      <c r="N121" t="s">
        <v>51</v>
      </c>
      <c r="O121" t="s">
        <v>52</v>
      </c>
      <c r="P121" t="s">
        <v>53</v>
      </c>
      <c r="Q121" t="s">
        <v>54</v>
      </c>
      <c r="R121" t="s">
        <v>58</v>
      </c>
    </row>
    <row r="122" spans="1:18" x14ac:dyDescent="0.2">
      <c r="A122" s="37" t="s">
        <v>6</v>
      </c>
      <c r="B122">
        <f>C108/$F$111</f>
        <v>0.16129032258064516</v>
      </c>
      <c r="C122">
        <f t="shared" ref="C122:D122" si="21">D108/$F$111</f>
        <v>0.25806451612903225</v>
      </c>
      <c r="D122">
        <f t="shared" si="21"/>
        <v>9.1397849462365593E-2</v>
      </c>
      <c r="E122">
        <f>LOG(Table3035[[#This Row],[Proportion-Alcohol]], 2)</f>
        <v>-2.6322682154995132</v>
      </c>
      <c r="F122">
        <f>LOG(Table3035[[#This Row],[Proportion-Cocaine]], 2)</f>
        <v>-1.9541963103868754</v>
      </c>
      <c r="G122">
        <f>LOG(Table3035[[#This Row],[Proportion-Heroin]], 2)</f>
        <v>-3.4516959698576919</v>
      </c>
      <c r="H122">
        <f>F108</f>
        <v>95</v>
      </c>
      <c r="I122" s="23"/>
      <c r="K122" s="37" t="s">
        <v>6</v>
      </c>
      <c r="L122">
        <f>M108/$P$111</f>
        <v>0.11682242990654206</v>
      </c>
      <c r="M122">
        <f t="shared" ref="M122:N122" si="22">N108/$P$111</f>
        <v>0.3364485981308411</v>
      </c>
      <c r="N122">
        <f t="shared" si="22"/>
        <v>6.0747663551401869E-2</v>
      </c>
      <c r="O122">
        <f>LOG(Table303538[[#This Row],[Proportion-Alcohol]], 2)</f>
        <v>-3.0976107966264221</v>
      </c>
      <c r="P122">
        <f>LOG(Table303538[[#This Row],[Proportion-Cocaine]], 2)</f>
        <v>-1.5715419849588348</v>
      </c>
      <c r="Q122">
        <f>LOG(Table303538[[#This Row],[Proportion-Heroin]], 2)</f>
        <v>-4.0410272682600548</v>
      </c>
      <c r="R122">
        <f>P108</f>
        <v>110</v>
      </c>
    </row>
    <row r="123" spans="1:18" x14ac:dyDescent="0.2">
      <c r="A123" s="37" t="s">
        <v>9</v>
      </c>
      <c r="B123">
        <f>C109/$F$111</f>
        <v>3.7634408602150539E-2</v>
      </c>
      <c r="C123">
        <f t="shared" ref="C123:D123" si="23">D109/$F$111</f>
        <v>0</v>
      </c>
      <c r="D123">
        <f t="shared" si="23"/>
        <v>2.6881720430107527E-2</v>
      </c>
      <c r="E123">
        <f>LOG(Table3035[[#This Row],[Proportion-Alcohol]], 2)</f>
        <v>-4.7318038890504273</v>
      </c>
      <c r="F123">
        <v>0</v>
      </c>
      <c r="G123">
        <f>LOG(Table3035[[#This Row],[Proportion-Heroin]], 2)</f>
        <v>-5.2172307162206693</v>
      </c>
      <c r="H123">
        <f t="shared" ref="H123:H124" si="24">F109</f>
        <v>12</v>
      </c>
      <c r="I123" s="23"/>
      <c r="K123" s="37" t="s">
        <v>9</v>
      </c>
      <c r="L123">
        <f t="shared" ref="L123:N123" si="25">M109/$P$111</f>
        <v>3.7383177570093455E-2</v>
      </c>
      <c r="M123">
        <f t="shared" si="25"/>
        <v>3.2710280373831772E-2</v>
      </c>
      <c r="N123">
        <f t="shared" si="25"/>
        <v>8.8785046728971959E-2</v>
      </c>
      <c r="O123">
        <f>LOG(Table303538[[#This Row],[Proportion-Alcohol]], 2)</f>
        <v>-4.7414669864011465</v>
      </c>
      <c r="P123">
        <v>0</v>
      </c>
      <c r="Q123">
        <f>LOG(Table303538[[#This Row],[Proportion-Heroin]], 2)</f>
        <v>-3.4935394729575613</v>
      </c>
      <c r="R123">
        <f t="shared" ref="R123:R124" si="26">P109</f>
        <v>34</v>
      </c>
    </row>
    <row r="124" spans="1:18" x14ac:dyDescent="0.2">
      <c r="A124" s="37" t="s">
        <v>10</v>
      </c>
      <c r="B124">
        <f>C110/$F$111</f>
        <v>0.32258064516129031</v>
      </c>
      <c r="C124">
        <f t="shared" ref="C124:D124" si="27">D110/$F$111</f>
        <v>1.0752688172043012E-2</v>
      </c>
      <c r="D124">
        <f t="shared" si="27"/>
        <v>9.1397849462365593E-2</v>
      </c>
      <c r="E124">
        <f>LOG(Table3035[[#This Row],[Proportion-Alcohol]], 2)</f>
        <v>-1.632268215499513</v>
      </c>
      <c r="F124">
        <f>LOG(Table3035[[#This Row],[Proportion-Cocaine]], 2)</f>
        <v>-6.5391588111080319</v>
      </c>
      <c r="G124">
        <f>LOG(Table3035[[#This Row],[Proportion-Heroin]], 2)</f>
        <v>-3.4516959698576919</v>
      </c>
      <c r="H124">
        <f t="shared" si="24"/>
        <v>79</v>
      </c>
      <c r="I124" s="23"/>
      <c r="K124" s="37" t="s">
        <v>10</v>
      </c>
      <c r="L124">
        <f t="shared" ref="L124:N124" si="28">M110/$P$111</f>
        <v>0.12149532710280374</v>
      </c>
      <c r="M124">
        <f t="shared" si="28"/>
        <v>4.6728971962616821E-2</v>
      </c>
      <c r="N124">
        <f t="shared" si="28"/>
        <v>0.15887850467289719</v>
      </c>
      <c r="O124">
        <f>LOG(Table303538[[#This Row],[Proportion-Alcohol]], 2)</f>
        <v>-3.0410272682600548</v>
      </c>
      <c r="P124">
        <f>LOG(Table303538[[#This Row],[Proportion-Cocaine]], 2)</f>
        <v>-4.4195388915137848</v>
      </c>
      <c r="Q124">
        <f>LOG(Table303538[[#This Row],[Proportion-Heroin]], 2)</f>
        <v>-2.6540041451508074</v>
      </c>
      <c r="R124">
        <f t="shared" si="26"/>
        <v>70</v>
      </c>
    </row>
    <row r="125" spans="1:18" x14ac:dyDescent="0.2">
      <c r="I125" s="23"/>
    </row>
    <row r="126" spans="1:18" x14ac:dyDescent="0.2">
      <c r="A126" s="41" t="s">
        <v>28</v>
      </c>
      <c r="B126" s="42" t="s">
        <v>56</v>
      </c>
      <c r="C126" s="43" t="s">
        <v>57</v>
      </c>
      <c r="D126" s="43" t="s">
        <v>55</v>
      </c>
      <c r="I126" s="23"/>
      <c r="K126" s="41" t="s">
        <v>28</v>
      </c>
      <c r="L126" s="42" t="s">
        <v>56</v>
      </c>
      <c r="M126" s="43" t="s">
        <v>57</v>
      </c>
      <c r="N126" s="43" t="s">
        <v>55</v>
      </c>
    </row>
    <row r="127" spans="1:18" x14ac:dyDescent="0.2">
      <c r="A127" s="49" t="s">
        <v>6</v>
      </c>
      <c r="B127" s="50" cm="1">
        <f t="array" ref="B127">-SUM(B122:D122*E122:G122)</f>
        <v>1.2443457035007321</v>
      </c>
      <c r="C127" s="50" cm="1">
        <f t="array" ref="C127">-SUM(B123:D124*E123:G124)</f>
        <v>1.2306560367969031</v>
      </c>
      <c r="D127" s="51">
        <f>$B$119 - ((H122/$F$111) * B127 + (($F$111-H122)/$F$111) * C127)</f>
        <v>0.23422556972306885</v>
      </c>
      <c r="E127" s="8" t="s">
        <v>60</v>
      </c>
      <c r="I127" s="23"/>
      <c r="K127" s="52" t="s">
        <v>6</v>
      </c>
      <c r="L127" s="53" cm="1">
        <f t="array" ref="L127">-SUM(L122:N122*O122:Q122)</f>
        <v>1.1360964828040998</v>
      </c>
      <c r="M127" s="53" cm="1">
        <f t="array" ref="M127">-SUM(L123:N124*O123:Q124)</f>
        <v>1.4850804892636895</v>
      </c>
      <c r="N127" s="54">
        <f>$L$119 - ((R122/$P$111) * L127 + (($P$111-R122)/$P$111) * M127)</f>
        <v>0.2565828222053963</v>
      </c>
      <c r="O127" s="8" t="s">
        <v>60</v>
      </c>
    </row>
    <row r="128" spans="1:18" x14ac:dyDescent="0.2">
      <c r="A128" s="46" t="s">
        <v>9</v>
      </c>
      <c r="B128" s="47" cm="1">
        <f t="array" ref="B128">-SUM(B123:D123*E123:G123)</f>
        <v>0.31832677851858249</v>
      </c>
      <c r="C128" s="47" cm="1">
        <f t="array" ref="C128">-SUM(B122:D122*E122:G122) -SUM(B124:D124*E124:G124)</f>
        <v>2.1566749617790526</v>
      </c>
      <c r="D128" s="48">
        <f t="shared" ref="D128:D129" si="29">$B$119 - ((H123/$F$111) * B128 + (($F$111-H123)/$F$111) * C128)</f>
        <v>-0.56619821259247116</v>
      </c>
      <c r="I128" s="23"/>
      <c r="K128" s="46" t="s">
        <v>9</v>
      </c>
      <c r="L128" s="47" cm="1">
        <f t="array" ref="L128">-SUM(L123:N123*O123:Q123)</f>
        <v>0.48742516765141508</v>
      </c>
      <c r="M128" s="47" cm="1">
        <f t="array" ref="M128">-SUM(L122:N122*O122:Q122) -SUM(L124:N124*O124:Q124)</f>
        <v>2.1337518044163741</v>
      </c>
      <c r="N128" s="48">
        <f>$L$119 - ((R123/$P$111) * L128 + (($P$111-R123)/$P$111) * M128)</f>
        <v>-0.30990688108068198</v>
      </c>
    </row>
    <row r="129" spans="1:18" x14ac:dyDescent="0.2">
      <c r="A129" s="44" t="s">
        <v>10</v>
      </c>
      <c r="B129" s="45" cm="1">
        <f t="array" ref="B129">-SUM(B124:D124*E124:G124)</f>
        <v>0.91232925827832045</v>
      </c>
      <c r="C129" s="45" cm="1">
        <f t="array" ref="C129">-SUM(B122:D123*E122:G123)</f>
        <v>1.5626724820193147</v>
      </c>
      <c r="D129" s="48">
        <f t="shared" si="29"/>
        <v>0.18542220521249742</v>
      </c>
      <c r="I129" s="23"/>
      <c r="K129" s="44" t="s">
        <v>10</v>
      </c>
      <c r="L129" s="45" cm="1">
        <f t="array" ref="L129">-SUM(L124:N124*O124:Q124)</f>
        <v>0.99765532161227433</v>
      </c>
      <c r="M129" s="45" cm="1">
        <f t="array" ref="M129">-SUM(L122:N123*O122:Q123)</f>
        <v>1.623521650455515</v>
      </c>
      <c r="N129" s="11">
        <f t="shared" ref="N129" si="30">$L$119 - ((R124/$P$111) * L129 + (($P$111-R124)/$P$111) * M129)</f>
        <v>0.14347998955783248</v>
      </c>
    </row>
    <row r="130" spans="1:18" x14ac:dyDescent="0.2">
      <c r="I130" s="23"/>
    </row>
    <row r="131" spans="1:18" ht="17" thickBot="1" x14ac:dyDescent="0.25">
      <c r="I131" s="23"/>
    </row>
    <row r="132" spans="1:18" ht="27" thickBot="1" x14ac:dyDescent="0.35">
      <c r="A132" s="23"/>
      <c r="B132" s="23"/>
      <c r="C132" s="23"/>
      <c r="D132" s="23"/>
      <c r="E132" s="23"/>
      <c r="F132" s="23"/>
      <c r="G132" s="23"/>
      <c r="H132" s="23"/>
      <c r="I132" s="36" t="s">
        <v>43</v>
      </c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1:18" ht="17" thickBot="1" x14ac:dyDescent="0.25">
      <c r="I133" s="23"/>
    </row>
    <row r="134" spans="1:18" ht="27" thickBot="1" x14ac:dyDescent="0.35">
      <c r="A134" s="24" t="s">
        <v>36</v>
      </c>
      <c r="I134" s="23"/>
      <c r="K134" s="24" t="s">
        <v>36</v>
      </c>
      <c r="L134" s="10"/>
      <c r="M134" s="10"/>
      <c r="N134" s="10"/>
      <c r="O134" s="10"/>
      <c r="P134" s="10"/>
    </row>
    <row r="135" spans="1:18" ht="20" thickBot="1" x14ac:dyDescent="0.25">
      <c r="A135" s="1" t="s">
        <v>0</v>
      </c>
      <c r="B135" s="2" t="s">
        <v>1</v>
      </c>
      <c r="C135" s="3" t="s">
        <v>2</v>
      </c>
      <c r="D135" s="29" t="s">
        <v>3</v>
      </c>
      <c r="E135" s="3" t="s">
        <v>4</v>
      </c>
      <c r="F135" s="3" t="s">
        <v>5</v>
      </c>
      <c r="I135" s="23"/>
      <c r="K135" s="1" t="s">
        <v>0</v>
      </c>
      <c r="L135" s="2" t="s">
        <v>1</v>
      </c>
      <c r="M135" s="3" t="s">
        <v>2</v>
      </c>
      <c r="N135" s="29" t="s">
        <v>3</v>
      </c>
      <c r="O135" s="3" t="s">
        <v>4</v>
      </c>
      <c r="P135" s="3" t="s">
        <v>5</v>
      </c>
    </row>
    <row r="136" spans="1:18" ht="20" thickBot="1" x14ac:dyDescent="0.25">
      <c r="A136" s="4" t="s">
        <v>6</v>
      </c>
      <c r="B136" s="5" t="s">
        <v>7</v>
      </c>
      <c r="C136" s="6">
        <v>30</v>
      </c>
      <c r="D136" s="22">
        <v>48</v>
      </c>
      <c r="E136" s="6">
        <v>17</v>
      </c>
      <c r="F136" s="7">
        <f>SUM(C136:E136)</f>
        <v>95</v>
      </c>
      <c r="I136" s="23"/>
      <c r="K136" s="4" t="s">
        <v>6</v>
      </c>
      <c r="L136" s="5" t="s">
        <v>8</v>
      </c>
      <c r="M136" s="6">
        <v>25</v>
      </c>
      <c r="N136" s="22">
        <v>72</v>
      </c>
      <c r="O136" s="6">
        <v>13</v>
      </c>
      <c r="P136" s="7">
        <f t="shared" ref="P136" si="31">SUM(M136:O136)</f>
        <v>110</v>
      </c>
    </row>
    <row r="137" spans="1:18" ht="20" thickBot="1" x14ac:dyDescent="0.25">
      <c r="A137" s="4" t="s">
        <v>11</v>
      </c>
      <c r="B137" s="5"/>
      <c r="C137" s="7">
        <f>SUM(C136:C136)</f>
        <v>30</v>
      </c>
      <c r="D137" s="22">
        <f>SUM(D136:D136)</f>
        <v>48</v>
      </c>
      <c r="E137" s="7">
        <f>SUM(E136:E136)</f>
        <v>17</v>
      </c>
      <c r="F137" s="7">
        <f>SUM(C136:E136)</f>
        <v>95</v>
      </c>
      <c r="I137" s="23"/>
      <c r="K137" s="4" t="s">
        <v>11</v>
      </c>
      <c r="L137" s="5"/>
      <c r="M137" s="7">
        <f>SUM(M136:M136)</f>
        <v>25</v>
      </c>
      <c r="N137" s="22">
        <f>SUM(N136:N136)</f>
        <v>72</v>
      </c>
      <c r="O137" s="7">
        <f>SUM(O136:O136)</f>
        <v>13</v>
      </c>
      <c r="P137" s="7">
        <f>SUM(M136:O136)</f>
        <v>110</v>
      </c>
    </row>
    <row r="138" spans="1:18" ht="17" thickBot="1" x14ac:dyDescent="0.25">
      <c r="I138" s="23"/>
    </row>
    <row r="139" spans="1:18" ht="27" thickBot="1" x14ac:dyDescent="0.35">
      <c r="A139" s="24" t="s">
        <v>37</v>
      </c>
      <c r="I139" s="23"/>
      <c r="K139" s="24" t="s">
        <v>37</v>
      </c>
      <c r="L139" s="10"/>
      <c r="M139" s="10"/>
      <c r="N139" s="10"/>
      <c r="O139" s="10"/>
      <c r="P139" s="10"/>
    </row>
    <row r="140" spans="1:18" ht="20" thickBot="1" x14ac:dyDescent="0.25">
      <c r="A140" s="1" t="s">
        <v>0</v>
      </c>
      <c r="B140" s="2" t="s">
        <v>1</v>
      </c>
      <c r="C140" s="29" t="s">
        <v>2</v>
      </c>
      <c r="D140" s="3" t="s">
        <v>3</v>
      </c>
      <c r="E140" s="3" t="s">
        <v>4</v>
      </c>
      <c r="F140" s="3" t="s">
        <v>5</v>
      </c>
      <c r="I140" s="23"/>
      <c r="K140" s="1" t="s">
        <v>0</v>
      </c>
      <c r="L140" s="2" t="s">
        <v>1</v>
      </c>
      <c r="M140" s="3" t="s">
        <v>2</v>
      </c>
      <c r="N140" s="3" t="s">
        <v>3</v>
      </c>
      <c r="O140" s="29" t="s">
        <v>4</v>
      </c>
      <c r="P140" s="3" t="s">
        <v>5</v>
      </c>
    </row>
    <row r="141" spans="1:18" ht="20" thickBot="1" x14ac:dyDescent="0.25">
      <c r="A141" s="4" t="s">
        <v>9</v>
      </c>
      <c r="B141" s="5" t="s">
        <v>7</v>
      </c>
      <c r="C141" s="22">
        <v>7</v>
      </c>
      <c r="D141" s="6">
        <v>0</v>
      </c>
      <c r="E141" s="6">
        <v>5</v>
      </c>
      <c r="F141" s="7">
        <f t="shared" ref="F141:F142" si="32">SUM(C141:E141)</f>
        <v>12</v>
      </c>
      <c r="I141" s="23"/>
      <c r="K141" s="4" t="s">
        <v>9</v>
      </c>
      <c r="L141" s="5" t="s">
        <v>8</v>
      </c>
      <c r="M141" s="6">
        <v>8</v>
      </c>
      <c r="N141" s="6">
        <v>7</v>
      </c>
      <c r="O141" s="22">
        <v>19</v>
      </c>
      <c r="P141" s="7">
        <f t="shared" ref="P141:P142" si="33">SUM(M141:O141)</f>
        <v>34</v>
      </c>
    </row>
    <row r="142" spans="1:18" ht="20" thickBot="1" x14ac:dyDescent="0.25">
      <c r="A142" s="4" t="s">
        <v>10</v>
      </c>
      <c r="B142" s="5" t="s">
        <v>7</v>
      </c>
      <c r="C142" s="22">
        <v>60</v>
      </c>
      <c r="D142" s="6">
        <v>2</v>
      </c>
      <c r="E142" s="6">
        <v>17</v>
      </c>
      <c r="F142" s="7">
        <f t="shared" si="32"/>
        <v>79</v>
      </c>
      <c r="I142" s="23"/>
      <c r="K142" s="4" t="s">
        <v>10</v>
      </c>
      <c r="L142" s="5" t="s">
        <v>8</v>
      </c>
      <c r="M142" s="6">
        <v>26</v>
      </c>
      <c r="N142" s="6">
        <v>10</v>
      </c>
      <c r="O142" s="22">
        <v>34</v>
      </c>
      <c r="P142" s="7">
        <f t="shared" si="33"/>
        <v>70</v>
      </c>
    </row>
    <row r="143" spans="1:18" ht="20" thickBot="1" x14ac:dyDescent="0.25">
      <c r="A143" s="4" t="s">
        <v>11</v>
      </c>
      <c r="B143" s="5"/>
      <c r="C143" s="22">
        <f>SUM(C141:C142)</f>
        <v>67</v>
      </c>
      <c r="D143" s="7">
        <f>SUM(D141:D142)</f>
        <v>2</v>
      </c>
      <c r="E143" s="7">
        <f>SUM(E141:E142)</f>
        <v>22</v>
      </c>
      <c r="F143" s="7">
        <f>SUM(C141:E142)</f>
        <v>91</v>
      </c>
      <c r="I143" s="23"/>
      <c r="K143" s="4" t="s">
        <v>11</v>
      </c>
      <c r="L143" s="5"/>
      <c r="M143" s="7">
        <f>SUM(M141:M142)</f>
        <v>34</v>
      </c>
      <c r="N143" s="7">
        <f>SUM(N141:N142)</f>
        <v>17</v>
      </c>
      <c r="O143" s="22">
        <f>SUM(O141:O142)</f>
        <v>53</v>
      </c>
      <c r="P143" s="7">
        <f>SUM(M141:O142)</f>
        <v>104</v>
      </c>
    </row>
    <row r="144" spans="1:18" x14ac:dyDescent="0.2">
      <c r="I144" s="23"/>
    </row>
    <row r="145" spans="1:16" ht="17" thickBot="1" x14ac:dyDescent="0.25">
      <c r="I145" s="23"/>
    </row>
    <row r="146" spans="1:16" ht="17" thickBot="1" x14ac:dyDescent="0.25">
      <c r="A146" s="32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4"/>
    </row>
    <row r="147" spans="1:16" ht="27" thickBot="1" x14ac:dyDescent="0.35">
      <c r="A147" s="31" t="s">
        <v>46</v>
      </c>
    </row>
    <row r="148" spans="1:16" x14ac:dyDescent="0.2">
      <c r="A148" t="s">
        <v>40</v>
      </c>
      <c r="B148" t="s">
        <v>41</v>
      </c>
    </row>
    <row r="149" spans="1:16" x14ac:dyDescent="0.2">
      <c r="A149" t="s">
        <v>17</v>
      </c>
      <c r="B149" t="s">
        <v>3</v>
      </c>
    </row>
    <row r="150" spans="1:16" x14ac:dyDescent="0.2">
      <c r="A150" t="s">
        <v>18</v>
      </c>
      <c r="B150" t="s">
        <v>3</v>
      </c>
    </row>
    <row r="151" spans="1:16" x14ac:dyDescent="0.2">
      <c r="A151" t="s">
        <v>19</v>
      </c>
      <c r="B151" t="s">
        <v>2</v>
      </c>
      <c r="C151" s="55" t="s">
        <v>61</v>
      </c>
    </row>
    <row r="152" spans="1:16" x14ac:dyDescent="0.2">
      <c r="A152" t="s">
        <v>20</v>
      </c>
      <c r="B152" t="s">
        <v>4</v>
      </c>
    </row>
    <row r="153" spans="1:16" x14ac:dyDescent="0.2">
      <c r="A153" t="s">
        <v>21</v>
      </c>
      <c r="B153" t="s">
        <v>2</v>
      </c>
    </row>
    <row r="154" spans="1:16" x14ac:dyDescent="0.2">
      <c r="A154" t="s">
        <v>22</v>
      </c>
      <c r="B154" t="s">
        <v>4</v>
      </c>
    </row>
  </sheetData>
  <phoneticPr fontId="5" type="noConversion"/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Blair</dc:creator>
  <cp:lastModifiedBy>Wyatt Blair</cp:lastModifiedBy>
  <dcterms:created xsi:type="dcterms:W3CDTF">2024-05-05T18:54:41Z</dcterms:created>
  <dcterms:modified xsi:type="dcterms:W3CDTF">2024-05-06T15:34:20Z</dcterms:modified>
</cp:coreProperties>
</file>