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yatthenryblair/Desktop/Projects/Stevens/CS-513/FinalExam/"/>
    </mc:Choice>
  </mc:AlternateContent>
  <xr:revisionPtr revIDLastSave="0" documentId="13_ncr:1_{EDAE797F-9330-BF4D-BDC8-77CFF132866F}" xr6:coauthVersionLast="47" xr6:coauthVersionMax="47" xr10:uidLastSave="{00000000-0000-0000-0000-000000000000}"/>
  <bookViews>
    <workbookView xWindow="1100" yWindow="820" windowWidth="28040" windowHeight="17440" xr2:uid="{5CD4EC78-82A5-1D4F-B2C7-988FE79837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4" i="1" l="1"/>
  <c r="E64" i="1"/>
  <c r="D64" i="1"/>
  <c r="C64" i="1"/>
  <c r="F63" i="1"/>
  <c r="F58" i="1"/>
  <c r="E58" i="1"/>
  <c r="D58" i="1"/>
  <c r="C58" i="1"/>
  <c r="F57" i="1"/>
  <c r="C50" i="1"/>
  <c r="D50" i="1"/>
  <c r="B50" i="1"/>
  <c r="C49" i="1"/>
  <c r="D49" i="1"/>
  <c r="B49" i="1"/>
  <c r="P65" i="1"/>
  <c r="O65" i="1"/>
  <c r="N65" i="1"/>
  <c r="M65" i="1"/>
  <c r="P64" i="1"/>
  <c r="P63" i="1"/>
  <c r="P59" i="1"/>
  <c r="P39" i="1"/>
  <c r="O59" i="1"/>
  <c r="N59" i="1"/>
  <c r="M59" i="1"/>
  <c r="P58" i="1"/>
  <c r="P57" i="1"/>
  <c r="M52" i="1"/>
  <c r="N52" i="1"/>
  <c r="M51" i="1"/>
  <c r="N51" i="1"/>
  <c r="L52" i="1"/>
  <c r="L51" i="1"/>
  <c r="M50" i="1"/>
  <c r="N50" i="1"/>
  <c r="L50" i="1"/>
  <c r="L49" i="1"/>
  <c r="M49" i="1"/>
  <c r="N49" i="1"/>
  <c r="M39" i="1"/>
  <c r="F37" i="1"/>
  <c r="E37" i="1"/>
  <c r="B44" i="1" s="1"/>
  <c r="D37" i="1"/>
  <c r="C37" i="1"/>
  <c r="O39" i="1"/>
  <c r="N39" i="1"/>
  <c r="P38" i="1"/>
  <c r="P37" i="1"/>
  <c r="P36" i="1"/>
  <c r="P35" i="1"/>
  <c r="F36" i="1"/>
  <c r="F35" i="1"/>
  <c r="C30" i="1"/>
  <c r="D30" i="1"/>
  <c r="B30" i="1"/>
  <c r="C29" i="1"/>
  <c r="D29" i="1"/>
  <c r="B29" i="1"/>
  <c r="C28" i="1"/>
  <c r="D28" i="1"/>
  <c r="B28" i="1"/>
  <c r="C27" i="1"/>
  <c r="D27" i="1"/>
  <c r="B27" i="1"/>
  <c r="D26" i="1"/>
  <c r="C26" i="1"/>
  <c r="B26" i="1"/>
  <c r="F12" i="1"/>
  <c r="F7" i="1"/>
  <c r="F8" i="1"/>
  <c r="F9" i="1"/>
  <c r="F10" i="1"/>
  <c r="F11" i="1"/>
  <c r="F6" i="1"/>
  <c r="D12" i="1"/>
  <c r="E12" i="1"/>
  <c r="C12" i="1"/>
  <c r="E49" i="1" l="1"/>
  <c r="B42" i="1"/>
  <c r="P50" i="1"/>
  <c r="B43" i="1"/>
  <c r="B46" i="1" s="1"/>
  <c r="G49" i="1"/>
  <c r="G50" i="1"/>
  <c r="F49" i="1"/>
  <c r="F50" i="1"/>
  <c r="E50" i="1"/>
  <c r="Q51" i="1"/>
  <c r="O50" i="1"/>
  <c r="O49" i="1"/>
  <c r="L43" i="1"/>
  <c r="L44" i="1"/>
  <c r="P51" i="1"/>
  <c r="P49" i="1"/>
  <c r="Q49" i="1"/>
  <c r="O52" i="1"/>
  <c r="O51" i="1"/>
  <c r="L42" i="1"/>
  <c r="P52" i="1"/>
  <c r="Q50" i="1"/>
  <c r="E30" i="1"/>
  <c r="Q52" i="1"/>
  <c r="F28" i="1"/>
  <c r="B21" i="1"/>
  <c r="F26" i="1"/>
  <c r="E27" i="1"/>
  <c r="F29" i="1"/>
  <c r="B20" i="1"/>
  <c r="E26" i="1"/>
  <c r="G29" i="1"/>
  <c r="G26" i="1"/>
  <c r="G30" i="1"/>
  <c r="G27" i="1"/>
  <c r="F30" i="1"/>
  <c r="F27" i="1"/>
  <c r="E28" i="1"/>
  <c r="G28" i="1"/>
  <c r="E29" i="1"/>
  <c r="B19" i="1"/>
  <c r="H49" i="1" l="1"/>
  <c r="R50" i="1"/>
  <c r="H29" i="1"/>
  <c r="H50" i="1"/>
  <c r="R49" i="1"/>
  <c r="L46" i="1"/>
  <c r="R51" i="1"/>
  <c r="R52" i="1"/>
  <c r="H27" i="1"/>
  <c r="H30" i="1"/>
  <c r="B23" i="1"/>
  <c r="H28" i="1"/>
  <c r="H26" i="1"/>
</calcChain>
</file>

<file path=xl/sharedStrings.xml><?xml version="1.0" encoding="utf-8"?>
<sst xmlns="http://schemas.openxmlformats.org/spreadsheetml/2006/main" count="164" uniqueCount="45">
  <si>
    <t>Ethnicity</t>
  </si>
  <si>
    <t>Age Category</t>
  </si>
  <si>
    <t>Alcohol</t>
  </si>
  <si>
    <t>Cocaine</t>
  </si>
  <si>
    <t>Heroin</t>
  </si>
  <si>
    <t>Row Total</t>
  </si>
  <si>
    <t>Black</t>
  </si>
  <si>
    <t>Old</t>
  </si>
  <si>
    <t>Young</t>
  </si>
  <si>
    <t>Hispanic</t>
  </si>
  <si>
    <t>White</t>
  </si>
  <si>
    <t>Column Total</t>
  </si>
  <si>
    <t>1.b) Construct a C4.5 decision tree (two levels only).  (15 Points)</t>
  </si>
  <si>
    <t>1.a) Construct a classification and regression tree (CART) (two levels only). (15 Points)</t>
  </si>
  <si>
    <t>1.a)</t>
  </si>
  <si>
    <t>PROBLEM 1)</t>
  </si>
  <si>
    <t>Black-Old</t>
  </si>
  <si>
    <t>Black-Young</t>
  </si>
  <si>
    <t>Hispanic-Old</t>
  </si>
  <si>
    <t>Hispanic-Young</t>
  </si>
  <si>
    <t>White-Old</t>
  </si>
  <si>
    <t>White-Young</t>
  </si>
  <si>
    <t>Total Gini</t>
  </si>
  <si>
    <t>Gini</t>
  </si>
  <si>
    <t>Class</t>
  </si>
  <si>
    <t>P(Class)</t>
  </si>
  <si>
    <t>Possible Split</t>
  </si>
  <si>
    <t>Count-Alcohol</t>
  </si>
  <si>
    <t>Count-Cocaine</t>
  </si>
  <si>
    <t>Count-Heroin</t>
  </si>
  <si>
    <t>P(Alcohol | Split)</t>
  </si>
  <si>
    <t>P(Cocaine | Split)</t>
  </si>
  <si>
    <t>P(Heroin | Split)</t>
  </si>
  <si>
    <t>&lt;-- Minimum Gini so split on Ethnicity=Black</t>
  </si>
  <si>
    <t>LEFT</t>
  </si>
  <si>
    <t>RIGHT</t>
  </si>
  <si>
    <t>&lt;-- Minimum Gini so split on Age=Old</t>
  </si>
  <si>
    <t>&lt;-- Minimum Gini so split on Age=Young</t>
  </si>
  <si>
    <t>Features</t>
  </si>
  <si>
    <t>Prediction</t>
  </si>
  <si>
    <t>SPLIT # 1</t>
  </si>
  <si>
    <t>SPLIT # 2</t>
  </si>
  <si>
    <t>1.b)</t>
  </si>
  <si>
    <t>Use the table below and Excel to classify patient addiction type (alcohol, cocaine, heroin) using Ethnicity and Age Category: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</si>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</sst>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548DD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2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C6EFCE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6" fillId="5" borderId="0" applyNumberFormat="0" applyBorder="0" applyAlignment="0" applyProtection="0"/>
  </cellStyleXfs>
  <cellXfs count="3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0" borderId="4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1" fillId="0" borderId="0" xfId="0" applyFont="1"/>
    <xf numFmtId="0" fontId="0" fillId="2" borderId="0" xfId="0" applyFill="1"/>
    <xf numFmtId="0" fontId="0" fillId="0" borderId="0" xfId="0" applyFill="1"/>
    <xf numFmtId="0" fontId="8" fillId="4" borderId="5" xfId="2" applyBorder="1"/>
    <xf numFmtId="0" fontId="6" fillId="5" borderId="5" xfId="3" applyBorder="1"/>
    <xf numFmtId="0" fontId="0" fillId="0" borderId="6" xfId="0" applyBorder="1"/>
    <xf numFmtId="0" fontId="0" fillId="0" borderId="0" xfId="0" applyBorder="1"/>
    <xf numFmtId="0" fontId="0" fillId="6" borderId="0" xfId="0" applyFill="1"/>
    <xf numFmtId="0" fontId="0" fillId="6" borderId="0" xfId="0" applyFill="1" applyBorder="1"/>
    <xf numFmtId="0" fontId="0" fillId="6" borderId="6" xfId="0" applyFill="1" applyBorder="1"/>
    <xf numFmtId="0" fontId="10" fillId="0" borderId="0" xfId="0" applyFont="1"/>
    <xf numFmtId="0" fontId="11" fillId="0" borderId="0" xfId="0" applyFont="1"/>
    <xf numFmtId="0" fontId="13" fillId="0" borderId="0" xfId="0" applyFont="1"/>
    <xf numFmtId="0" fontId="7" fillId="3" borderId="4" xfId="1" applyBorder="1" applyAlignment="1">
      <alignment horizontal="right" vertical="center"/>
    </xf>
    <xf numFmtId="0" fontId="0" fillId="7" borderId="0" xfId="0" applyFill="1"/>
    <xf numFmtId="0" fontId="12" fillId="0" borderId="1" xfId="0" applyFont="1" applyBorder="1"/>
    <xf numFmtId="0" fontId="9" fillId="0" borderId="1" xfId="0" applyFont="1" applyBorder="1"/>
    <xf numFmtId="0" fontId="14" fillId="0" borderId="0" xfId="0" applyFont="1"/>
    <xf numFmtId="0" fontId="15" fillId="0" borderId="0" xfId="0" applyFont="1"/>
    <xf numFmtId="0" fontId="16" fillId="3" borderId="2" xfId="1" applyFont="1" applyBorder="1" applyAlignment="1">
      <alignment horizontal="right" vertical="center"/>
    </xf>
    <xf numFmtId="0" fontId="1" fillId="7" borderId="0" xfId="0" applyFont="1" applyFill="1"/>
    <xf numFmtId="0" fontId="9" fillId="0" borderId="3" xfId="0" applyFont="1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2" xfId="0" applyFill="1" applyBorder="1"/>
    <xf numFmtId="0" fontId="9" fillId="7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</cellXfs>
  <cellStyles count="4">
    <cellStyle name="20% - Accent3" xfId="3" builtinId="38"/>
    <cellStyle name="Accent3" xfId="2" builtinId="37"/>
    <cellStyle name="Good" xfId="1" builtinId="26"/>
    <cellStyle name="Normal" xfId="0" builtinId="0"/>
  </cellStyles>
  <dxfs count="3"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881875C-46F7-054D-B809-3D61472C6347}" name="Table21" displayName="Table21" ref="A18:B21" totalsRowShown="0">
  <autoFilter ref="A18:B21" xr:uid="{C881875C-46F7-054D-B809-3D61472C6347}"/>
  <tableColumns count="2">
    <tableColumn id="1" xr3:uid="{C07AD42D-8E91-024B-A24E-24D0505679D1}" name="Class"/>
    <tableColumn id="2" xr3:uid="{36A19CF7-450B-EB46-BA98-539F8E7AC1B0}" name="P(Class)">
      <calculatedColumnFormula>C$12/$F$12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B3216BD-1045-FD42-B080-141593B8DFD2}" name="Table22" displayName="Table22" ref="A25:H30" totalsRowShown="0">
  <autoFilter ref="A25:H30" xr:uid="{1B3216BD-1045-FD42-B080-141593B8DFD2}"/>
  <tableColumns count="8">
    <tableColumn id="1" xr3:uid="{F1DE1A53-BEE4-2A45-9443-6BADEF3ABC32}" name="Possible Split"/>
    <tableColumn id="2" xr3:uid="{03AFAA14-6539-8947-92EF-023406425EEF}" name="Count-Alcohol"/>
    <tableColumn id="3" xr3:uid="{288387CE-BE37-274F-96F3-B64E6C00689E}" name="Count-Cocaine"/>
    <tableColumn id="4" xr3:uid="{4400D1B6-6398-664E-9F6D-F07485E0E3AA}" name="Count-Heroin"/>
    <tableColumn id="5" xr3:uid="{293256EA-B5FD-FF48-AD92-86279200D36B}" name="P(Alcohol | Split)">
      <calculatedColumnFormula>Table22[[#This Row],[Count-Alcohol]]/SUM(Table22[[#This Row],[Count-Alcohol]:[Count-Heroin]])</calculatedColumnFormula>
    </tableColumn>
    <tableColumn id="6" xr3:uid="{840F5396-CB66-864C-A247-DEFD740BC754}" name="P(Cocaine | Split)">
      <calculatedColumnFormula>Table22[[#This Row],[Count-Cocaine]]/SUM(Table22[[#This Row],[Count-Alcohol]:[Count-Heroin]])</calculatedColumnFormula>
    </tableColumn>
    <tableColumn id="7" xr3:uid="{0F3398B9-6D8B-7441-A481-451F38EB45EF}" name="P(Heroin | Split)">
      <calculatedColumnFormula>Table22[[#This Row],[Count-Heroin]]/SUM(Table22[[#This Row],[Count-Alcohol]:[Count-Heroin]])</calculatedColumnFormula>
    </tableColumn>
    <tableColumn id="8" xr3:uid="{B764E740-4892-DF48-8B12-44BC35B38363}" name="Gini" dataDxfId="2">
      <calculatedColumnFormula>1 - SUMSQ(Table22[[#This Row],[P(Alcohol | Split)]:[P(Heroin | Split)]])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FFD1472-07D4-344A-83A7-3C250EF25BAF}" name="Table2124" displayName="Table2124" ref="K41:L44" totalsRowShown="0">
  <autoFilter ref="K41:L44" xr:uid="{AFFD1472-07D4-344A-83A7-3C250EF25BAF}"/>
  <tableColumns count="2">
    <tableColumn id="1" xr3:uid="{278899EA-9E2D-9745-877F-37619673645E}" name="Class"/>
    <tableColumn id="2" xr3:uid="{D08AF0C6-6A6C-AE4D-80B5-D4351118BEAF}" name="P(Class)">
      <calculatedColumnFormula>$M$39/$P$39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6EF9A13-5E5F-2C4B-852B-CC78B083F274}" name="Table2225" displayName="Table2225" ref="K48:R52" totalsRowShown="0">
  <autoFilter ref="K48:R52" xr:uid="{E6EF9A13-5E5F-2C4B-852B-CC78B083F274}"/>
  <tableColumns count="8">
    <tableColumn id="1" xr3:uid="{212BA59C-0751-1E48-A19D-A1509AC7ED03}" name="Possible Split"/>
    <tableColumn id="2" xr3:uid="{14954B35-C104-9246-8C57-BE0841F5D32B}" name="Count-Alcohol"/>
    <tableColumn id="3" xr3:uid="{C9C7E34B-964B-B346-B2C0-04D8ACC0B19E}" name="Count-Cocaine"/>
    <tableColumn id="4" xr3:uid="{2D2C8D5F-7ACB-6A4B-AC73-7A11FF115174}" name="Count-Heroin"/>
    <tableColumn id="5" xr3:uid="{4DFF6E6F-8268-0544-A67B-29BA44EDF73A}" name="P(Alcohol | Split)">
      <calculatedColumnFormula>Table2225[[#This Row],[Count-Alcohol]]/SUM(Table2225[[#This Row],[Count-Alcohol]:[Count-Heroin]])</calculatedColumnFormula>
    </tableColumn>
    <tableColumn id="6" xr3:uid="{A71B197C-AEE9-8447-B384-1C78FFF6EE27}" name="P(Cocaine | Split)">
      <calculatedColumnFormula>Table2225[[#This Row],[Count-Cocaine]]/SUM(Table2225[[#This Row],[Count-Alcohol]:[Count-Heroin]])</calculatedColumnFormula>
    </tableColumn>
    <tableColumn id="7" xr3:uid="{AC286A11-D77B-E340-BA31-B4D6E9643321}" name="P(Heroin | Split)">
      <calculatedColumnFormula>Table2225[[#This Row],[Count-Heroin]]/SUM(Table2225[[#This Row],[Count-Alcohol]:[Count-Heroin]])</calculatedColumnFormula>
    </tableColumn>
    <tableColumn id="8" xr3:uid="{C900C692-5705-1A40-9E9E-1F7DA2253954}" name="Gini" dataDxfId="1">
      <calculatedColumnFormula>1 - SUMSQ(Table2225[[#This Row],[P(Alcohol | Split)]:[P(Heroin | Split)]])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95F6874-3030-3243-AC37-F235BA5C6B0F}" name="Table212426" displayName="Table212426" ref="A41:B44" totalsRowShown="0">
  <autoFilter ref="A41:B44" xr:uid="{F95F6874-3030-3243-AC37-F235BA5C6B0F}"/>
  <tableColumns count="2">
    <tableColumn id="1" xr3:uid="{D9023E3F-3867-3747-B0DF-670E93423048}" name="Class"/>
    <tableColumn id="2" xr3:uid="{CF249AA7-71F2-B747-801C-A62FF7C660A1}" name="P(Class)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B644197-5947-9649-8CAB-83E2F4AA291C}" name="Table222527" displayName="Table222527" ref="A48:H50" totalsRowShown="0">
  <autoFilter ref="A48:H50" xr:uid="{BB644197-5947-9649-8CAB-83E2F4AA291C}"/>
  <tableColumns count="8">
    <tableColumn id="1" xr3:uid="{C356F3A4-D8F5-E740-8552-21C25C4804DA}" name="Possible Split"/>
    <tableColumn id="2" xr3:uid="{4C301399-66F6-E645-B573-288A61393350}" name="Count-Alcohol">
      <calculatedColumnFormula>C35</calculatedColumnFormula>
    </tableColumn>
    <tableColumn id="3" xr3:uid="{14430E85-1389-A94B-9D33-365889A5F87D}" name="Count-Cocaine">
      <calculatedColumnFormula>D35</calculatedColumnFormula>
    </tableColumn>
    <tableColumn id="4" xr3:uid="{8D87BDB2-5EF9-7F4D-BA2E-37FFD73DFBAC}" name="Count-Heroin">
      <calculatedColumnFormula>E35</calculatedColumnFormula>
    </tableColumn>
    <tableColumn id="5" xr3:uid="{4A954EBD-E603-A44A-AA85-ABBB46EF694E}" name="P(Alcohol | Split)">
      <calculatedColumnFormula>Table222527[[#This Row],[Count-Alcohol]]/SUM(Table222527[[#This Row],[Count-Alcohol]:[Count-Heroin]])</calculatedColumnFormula>
    </tableColumn>
    <tableColumn id="6" xr3:uid="{0C01B86C-0614-F34A-A373-AD6105389455}" name="P(Cocaine | Split)">
      <calculatedColumnFormula>Table222527[[#This Row],[Count-Cocaine]]/SUM(Table222527[[#This Row],[Count-Alcohol]:[Count-Heroin]])</calculatedColumnFormula>
    </tableColumn>
    <tableColumn id="7" xr3:uid="{8CA111E9-A28F-6F4A-8FBC-E75109C64BC0}" name="P(Heroin | Split)">
      <calculatedColumnFormula>Table222527[[#This Row],[Count-Heroin]]/SUM(Table222527[[#This Row],[Count-Alcohol]:[Count-Heroin]])</calculatedColumnFormula>
    </tableColumn>
    <tableColumn id="8" xr3:uid="{F10DBE61-3A1C-5F45-82BE-7606E7A3A046}" name="Gini" dataDxfId="0">
      <calculatedColumnFormula>1 - SUMSQ(Table222527[[#This Row],[P(Alcohol | Split)]:[P(Heroin | Split)]])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99E9DAED-4C61-8643-883B-03A06E6FF5F5}" name="Table27" displayName="Table27" ref="A69:B75" totalsRowShown="0">
  <autoFilter ref="A69:B75" xr:uid="{99E9DAED-4C61-8643-883B-03A06E6FF5F5}"/>
  <tableColumns count="2">
    <tableColumn id="1" xr3:uid="{686375EA-BFF0-FB4B-8961-23387DECD21C}" name="Features"/>
    <tableColumn id="2" xr3:uid="{33858CC2-51B2-D148-B483-44C4BED68B74}" name="Prediction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6DC-F462-584B-94C4-8AECFCC18FE7}">
  <dimension ref="A1:S78"/>
  <sheetViews>
    <sheetView tabSelected="1" topLeftCell="A22" zoomScaleNormal="70" workbookViewId="0">
      <selection activeCell="A79" sqref="A79"/>
    </sheetView>
  </sheetViews>
  <sheetFormatPr baseColWidth="10" defaultRowHeight="16" x14ac:dyDescent="0.2"/>
  <cols>
    <col min="1" max="1" width="15.83203125" customWidth="1"/>
    <col min="2" max="2" width="14.1640625" bestFit="1" customWidth="1"/>
    <col min="3" max="3" width="15.6640625" customWidth="1"/>
    <col min="4" max="4" width="13.33203125" customWidth="1"/>
    <col min="5" max="5" width="17.33203125" customWidth="1"/>
    <col min="6" max="6" width="20" customWidth="1"/>
    <col min="7" max="7" width="18.33203125" customWidth="1"/>
    <col min="8" max="8" width="12.33203125" customWidth="1"/>
    <col min="9" max="9" width="44.33203125" customWidth="1"/>
    <col min="16" max="16" width="19.5" customWidth="1"/>
    <col min="17" max="17" width="15.33203125" customWidth="1"/>
    <col min="18" max="18" width="16.6640625" customWidth="1"/>
    <col min="19" max="19" width="17.6640625" customWidth="1"/>
    <col min="21" max="21" width="10.83203125" customWidth="1"/>
    <col min="22" max="22" width="13.33203125" customWidth="1"/>
    <col min="23" max="23" width="12.5" customWidth="1"/>
    <col min="28" max="28" width="14.1640625" bestFit="1" customWidth="1"/>
    <col min="29" max="29" width="11.6640625" customWidth="1"/>
  </cols>
  <sheetData>
    <row r="1" spans="1:14" ht="21" x14ac:dyDescent="0.25">
      <c r="A1" s="18" t="s">
        <v>15</v>
      </c>
      <c r="B1" s="25"/>
      <c r="C1" s="25"/>
      <c r="D1" s="25"/>
      <c r="M1" s="9"/>
      <c r="N1" s="8"/>
    </row>
    <row r="2" spans="1:14" ht="21" x14ac:dyDescent="0.25">
      <c r="A2" s="26" t="s">
        <v>43</v>
      </c>
      <c r="B2" s="25"/>
      <c r="C2" s="25"/>
      <c r="D2" s="25"/>
      <c r="M2" s="9"/>
    </row>
    <row r="3" spans="1:14" ht="21" x14ac:dyDescent="0.25">
      <c r="A3" s="18" t="s">
        <v>13</v>
      </c>
      <c r="B3" s="25"/>
      <c r="C3" s="25"/>
      <c r="D3" s="25"/>
      <c r="M3" s="9"/>
    </row>
    <row r="4" spans="1:14" ht="22" thickBot="1" x14ac:dyDescent="0.3">
      <c r="A4" s="18" t="s">
        <v>12</v>
      </c>
      <c r="B4" s="25"/>
      <c r="C4" s="25"/>
      <c r="D4" s="25"/>
      <c r="M4" s="9"/>
    </row>
    <row r="5" spans="1:14" ht="20" thickBot="1" x14ac:dyDescent="0.25">
      <c r="A5" s="1" t="s">
        <v>0</v>
      </c>
      <c r="B5" s="2" t="s">
        <v>1</v>
      </c>
      <c r="C5" s="3" t="s">
        <v>2</v>
      </c>
      <c r="D5" s="3" t="s">
        <v>3</v>
      </c>
      <c r="E5" s="3" t="s">
        <v>4</v>
      </c>
      <c r="F5" s="3" t="s">
        <v>5</v>
      </c>
      <c r="M5" s="9"/>
    </row>
    <row r="6" spans="1:14" ht="20" thickBot="1" x14ac:dyDescent="0.25">
      <c r="A6" s="4" t="s">
        <v>6</v>
      </c>
      <c r="B6" s="5" t="s">
        <v>7</v>
      </c>
      <c r="C6" s="6">
        <v>30</v>
      </c>
      <c r="D6" s="6">
        <v>48</v>
      </c>
      <c r="E6" s="6">
        <v>17</v>
      </c>
      <c r="F6" s="7">
        <f>SUM(C6:E6)</f>
        <v>95</v>
      </c>
      <c r="M6" s="9"/>
    </row>
    <row r="7" spans="1:14" ht="20" thickBot="1" x14ac:dyDescent="0.25">
      <c r="A7" s="4"/>
      <c r="B7" s="5" t="s">
        <v>8</v>
      </c>
      <c r="C7" s="6">
        <v>25</v>
      </c>
      <c r="D7" s="6">
        <v>72</v>
      </c>
      <c r="E7" s="6">
        <v>13</v>
      </c>
      <c r="F7" s="7">
        <f t="shared" ref="F7:F11" si="0">SUM(C7:E7)</f>
        <v>110</v>
      </c>
      <c r="M7" s="9"/>
    </row>
    <row r="8" spans="1:14" ht="20" thickBot="1" x14ac:dyDescent="0.25">
      <c r="A8" s="4" t="s">
        <v>9</v>
      </c>
      <c r="B8" s="5" t="s">
        <v>7</v>
      </c>
      <c r="C8" s="6">
        <v>7</v>
      </c>
      <c r="D8" s="6">
        <v>0</v>
      </c>
      <c r="E8" s="6">
        <v>5</v>
      </c>
      <c r="F8" s="7">
        <f t="shared" si="0"/>
        <v>12</v>
      </c>
      <c r="M8" s="9"/>
    </row>
    <row r="9" spans="1:14" ht="20" thickBot="1" x14ac:dyDescent="0.25">
      <c r="A9" s="4"/>
      <c r="B9" s="5" t="s">
        <v>8</v>
      </c>
      <c r="C9" s="6">
        <v>8</v>
      </c>
      <c r="D9" s="6">
        <v>7</v>
      </c>
      <c r="E9" s="6">
        <v>19</v>
      </c>
      <c r="F9" s="7">
        <f t="shared" si="0"/>
        <v>34</v>
      </c>
      <c r="M9" s="9"/>
    </row>
    <row r="10" spans="1:14" ht="20" thickBot="1" x14ac:dyDescent="0.25">
      <c r="A10" s="4" t="s">
        <v>10</v>
      </c>
      <c r="B10" s="5" t="s">
        <v>7</v>
      </c>
      <c r="C10" s="6">
        <v>60</v>
      </c>
      <c r="D10" s="6">
        <v>2</v>
      </c>
      <c r="E10" s="6">
        <v>17</v>
      </c>
      <c r="F10" s="7">
        <f t="shared" si="0"/>
        <v>79</v>
      </c>
      <c r="M10" s="9"/>
    </row>
    <row r="11" spans="1:14" ht="20" thickBot="1" x14ac:dyDescent="0.25">
      <c r="A11" s="4"/>
      <c r="B11" s="5" t="s">
        <v>8</v>
      </c>
      <c r="C11" s="6">
        <v>26</v>
      </c>
      <c r="D11" s="6">
        <v>10</v>
      </c>
      <c r="E11" s="6">
        <v>34</v>
      </c>
      <c r="F11" s="7">
        <f t="shared" si="0"/>
        <v>70</v>
      </c>
      <c r="M11" s="9"/>
    </row>
    <row r="12" spans="1:14" ht="20" thickBot="1" x14ac:dyDescent="0.25">
      <c r="A12" s="4" t="s">
        <v>11</v>
      </c>
      <c r="B12" s="5"/>
      <c r="C12" s="7">
        <f>SUM(C6:C11)</f>
        <v>156</v>
      </c>
      <c r="D12" s="7">
        <f t="shared" ref="D12:E12" si="1">SUM(D6:D11)</f>
        <v>139</v>
      </c>
      <c r="E12" s="7">
        <f t="shared" si="1"/>
        <v>105</v>
      </c>
      <c r="F12" s="7">
        <f>SUM(C6:E11)</f>
        <v>400</v>
      </c>
      <c r="M12" s="9"/>
    </row>
    <row r="13" spans="1:14" x14ac:dyDescent="0.2">
      <c r="M13" s="9"/>
    </row>
    <row r="14" spans="1:14" x14ac:dyDescent="0.2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6" spans="1:14" ht="29" x14ac:dyDescent="0.35">
      <c r="A16" s="19" t="s">
        <v>14</v>
      </c>
    </row>
    <row r="18" spans="1:16" x14ac:dyDescent="0.2">
      <c r="A18" t="s">
        <v>24</v>
      </c>
      <c r="B18" t="s">
        <v>25</v>
      </c>
    </row>
    <row r="19" spans="1:16" x14ac:dyDescent="0.2">
      <c r="A19" t="s">
        <v>2</v>
      </c>
      <c r="B19">
        <f>C$12/$F$12</f>
        <v>0.39</v>
      </c>
    </row>
    <row r="20" spans="1:16" x14ac:dyDescent="0.2">
      <c r="A20" t="s">
        <v>3</v>
      </c>
      <c r="B20">
        <f>D$12/$F$12</f>
        <v>0.34749999999999998</v>
      </c>
    </row>
    <row r="21" spans="1:16" x14ac:dyDescent="0.2">
      <c r="A21" t="s">
        <v>4</v>
      </c>
      <c r="B21">
        <f>E$12/$F$12</f>
        <v>0.26250000000000001</v>
      </c>
    </row>
    <row r="23" spans="1:16" x14ac:dyDescent="0.2">
      <c r="A23" s="11" t="s">
        <v>22</v>
      </c>
      <c r="B23" s="12">
        <f>1 - (B19^2 + B20^2 + B21^2)</f>
        <v>0.65823750000000003</v>
      </c>
    </row>
    <row r="25" spans="1:16" x14ac:dyDescent="0.2">
      <c r="A25" t="s">
        <v>26</v>
      </c>
      <c r="B25" t="s">
        <v>27</v>
      </c>
      <c r="C25" t="s">
        <v>28</v>
      </c>
      <c r="D25" t="s">
        <v>29</v>
      </c>
      <c r="E25" t="s">
        <v>30</v>
      </c>
      <c r="F25" t="s">
        <v>31</v>
      </c>
      <c r="G25" t="s">
        <v>32</v>
      </c>
      <c r="H25" t="s">
        <v>23</v>
      </c>
    </row>
    <row r="26" spans="1:16" x14ac:dyDescent="0.2">
      <c r="A26" s="15" t="s">
        <v>6</v>
      </c>
      <c r="B26" s="15">
        <f>C6+C7</f>
        <v>55</v>
      </c>
      <c r="C26" s="15">
        <f>D6+D7</f>
        <v>120</v>
      </c>
      <c r="D26" s="15">
        <f>E6+E7</f>
        <v>30</v>
      </c>
      <c r="E26" s="16">
        <f>Table22[[#This Row],[Count-Alcohol]]/SUM(Table22[[#This Row],[Count-Alcohol]:[Count-Heroin]])</f>
        <v>0.26829268292682928</v>
      </c>
      <c r="F26" s="16">
        <f>Table22[[#This Row],[Count-Cocaine]]/SUM(Table22[[#This Row],[Count-Alcohol]:[Count-Heroin]])</f>
        <v>0.58536585365853655</v>
      </c>
      <c r="G26" s="16">
        <f>Table22[[#This Row],[Count-Heroin]]/SUM(Table22[[#This Row],[Count-Alcohol]:[Count-Heroin]])</f>
        <v>0.14634146341463414</v>
      </c>
      <c r="H26" s="17">
        <f>1 - SUMSQ(Table22[[#This Row],[P(Alcohol | Split)]:[P(Heroin | Split)]])</f>
        <v>0.56395002974419994</v>
      </c>
      <c r="I26" s="8" t="s">
        <v>33</v>
      </c>
    </row>
    <row r="27" spans="1:16" x14ac:dyDescent="0.2">
      <c r="A27" t="s">
        <v>9</v>
      </c>
      <c r="B27">
        <f>C8+C9</f>
        <v>15</v>
      </c>
      <c r="C27">
        <f>D8+D9</f>
        <v>7</v>
      </c>
      <c r="D27">
        <f>E8+E9</f>
        <v>24</v>
      </c>
      <c r="E27" s="14">
        <f>Table22[[#This Row],[Count-Alcohol]]/SUM(Table22[[#This Row],[Count-Alcohol]:[Count-Heroin]])</f>
        <v>0.32608695652173914</v>
      </c>
      <c r="F27" s="14">
        <f>Table22[[#This Row],[Count-Cocaine]]/SUM(Table22[[#This Row],[Count-Alcohol]:[Count-Heroin]])</f>
        <v>0.15217391304347827</v>
      </c>
      <c r="G27" s="14">
        <f>Table22[[#This Row],[Count-Heroin]]/SUM(Table22[[#This Row],[Count-Alcohol]:[Count-Heroin]])</f>
        <v>0.52173913043478259</v>
      </c>
      <c r="H27" s="13">
        <f>1 - SUMSQ(Table22[[#This Row],[P(Alcohol | Split)]:[P(Heroin | Split)]])</f>
        <v>0.59829867674858228</v>
      </c>
    </row>
    <row r="28" spans="1:16" x14ac:dyDescent="0.2">
      <c r="A28" t="s">
        <v>10</v>
      </c>
      <c r="B28">
        <f>C10+C11</f>
        <v>86</v>
      </c>
      <c r="C28">
        <f>D10+D11</f>
        <v>12</v>
      </c>
      <c r="D28">
        <f>E10+E11</f>
        <v>51</v>
      </c>
      <c r="E28" s="14">
        <f>Table22[[#This Row],[Count-Alcohol]]/SUM(Table22[[#This Row],[Count-Alcohol]:[Count-Heroin]])</f>
        <v>0.57718120805369133</v>
      </c>
      <c r="F28" s="14">
        <f>Table22[[#This Row],[Count-Cocaine]]/SUM(Table22[[#This Row],[Count-Alcohol]:[Count-Heroin]])</f>
        <v>8.0536912751677847E-2</v>
      </c>
      <c r="G28" s="14">
        <f>Table22[[#This Row],[Count-Heroin]]/SUM(Table22[[#This Row],[Count-Alcohol]:[Count-Heroin]])</f>
        <v>0.34228187919463088</v>
      </c>
      <c r="H28" s="13">
        <f>1 - SUMSQ(Table22[[#This Row],[P(Alcohol | Split)]:[P(Heroin | Split)]])</f>
        <v>0.54321877392910223</v>
      </c>
    </row>
    <row r="29" spans="1:16" x14ac:dyDescent="0.2">
      <c r="A29" t="s">
        <v>7</v>
      </c>
      <c r="B29">
        <f>C6+C8+C10</f>
        <v>97</v>
      </c>
      <c r="C29">
        <f>D6+D8+D10</f>
        <v>50</v>
      </c>
      <c r="D29">
        <f>E6+E8+E10</f>
        <v>39</v>
      </c>
      <c r="E29" s="14">
        <f>Table22[[#This Row],[Count-Alcohol]]/SUM(Table22[[#This Row],[Count-Alcohol]:[Count-Heroin]])</f>
        <v>0.521505376344086</v>
      </c>
      <c r="F29" s="14">
        <f>Table22[[#This Row],[Count-Cocaine]]/SUM(Table22[[#This Row],[Count-Alcohol]:[Count-Heroin]])</f>
        <v>0.26881720430107525</v>
      </c>
      <c r="G29" s="14">
        <f>Table22[[#This Row],[Count-Heroin]]/SUM(Table22[[#This Row],[Count-Alcohol]:[Count-Heroin]])</f>
        <v>0.20967741935483872</v>
      </c>
      <c r="H29" s="13">
        <f>1 - SUMSQ(Table22[[#This Row],[P(Alcohol | Split)]:[P(Heroin | Split)]])</f>
        <v>0.61180483292866228</v>
      </c>
    </row>
    <row r="30" spans="1:16" x14ac:dyDescent="0.2">
      <c r="A30" t="s">
        <v>8</v>
      </c>
      <c r="B30">
        <f>C7+C9+C11</f>
        <v>59</v>
      </c>
      <c r="C30">
        <f>D7+D9+D11</f>
        <v>89</v>
      </c>
      <c r="D30">
        <f>E7+E9+E11</f>
        <v>66</v>
      </c>
      <c r="E30" s="14">
        <f>Table22[[#This Row],[Count-Alcohol]]/SUM(Table22[[#This Row],[Count-Alcohol]:[Count-Heroin]])</f>
        <v>0.27570093457943923</v>
      </c>
      <c r="F30" s="14">
        <f>Table22[[#This Row],[Count-Cocaine]]/SUM(Table22[[#This Row],[Count-Alcohol]:[Count-Heroin]])</f>
        <v>0.41588785046728971</v>
      </c>
      <c r="G30" s="14">
        <f>Table22[[#This Row],[Count-Heroin]]/SUM(Table22[[#This Row],[Count-Alcohol]:[Count-Heroin]])</f>
        <v>0.30841121495327101</v>
      </c>
      <c r="H30" s="13">
        <f>1 - SUMSQ(Table22[[#This Row],[P(Alcohol | Split)]:[P(Heroin | Split)]])</f>
        <v>0.65590881299676829</v>
      </c>
    </row>
    <row r="31" spans="1:16" ht="17" thickBot="1" x14ac:dyDescent="0.25">
      <c r="E31" s="14"/>
      <c r="H31" s="14"/>
    </row>
    <row r="32" spans="1:16" ht="27" thickBot="1" x14ac:dyDescent="0.35">
      <c r="A32" s="30"/>
      <c r="B32" s="31"/>
      <c r="C32" s="31"/>
      <c r="D32" s="31"/>
      <c r="E32" s="31"/>
      <c r="F32" s="31"/>
      <c r="G32" s="31"/>
      <c r="H32" s="31"/>
      <c r="I32" s="33" t="s">
        <v>40</v>
      </c>
      <c r="J32" s="31"/>
      <c r="K32" s="31"/>
      <c r="L32" s="31"/>
      <c r="M32" s="31"/>
      <c r="N32" s="31"/>
      <c r="O32" s="31"/>
      <c r="P32" s="32"/>
    </row>
    <row r="33" spans="1:18" ht="27" thickBot="1" x14ac:dyDescent="0.35">
      <c r="A33" s="29" t="s">
        <v>34</v>
      </c>
      <c r="I33" s="22"/>
      <c r="K33" s="29" t="s">
        <v>35</v>
      </c>
      <c r="L33" s="10"/>
      <c r="M33" s="10"/>
      <c r="N33" s="10"/>
      <c r="O33" s="10"/>
      <c r="P33" s="10"/>
    </row>
    <row r="34" spans="1:18" ht="20" thickBot="1" x14ac:dyDescent="0.25">
      <c r="A34" s="4" t="s">
        <v>0</v>
      </c>
      <c r="B34" s="2" t="s">
        <v>1</v>
      </c>
      <c r="C34" s="3" t="s">
        <v>2</v>
      </c>
      <c r="D34" s="3" t="s">
        <v>3</v>
      </c>
      <c r="E34" s="3" t="s">
        <v>4</v>
      </c>
      <c r="F34" s="3" t="s">
        <v>5</v>
      </c>
      <c r="I34" s="22"/>
      <c r="K34" s="4" t="s">
        <v>0</v>
      </c>
      <c r="L34" s="2" t="s">
        <v>1</v>
      </c>
      <c r="M34" s="3" t="s">
        <v>2</v>
      </c>
      <c r="N34" s="3" t="s">
        <v>3</v>
      </c>
      <c r="O34" s="3" t="s">
        <v>4</v>
      </c>
      <c r="P34" s="3" t="s">
        <v>5</v>
      </c>
    </row>
    <row r="35" spans="1:18" ht="20" thickBot="1" x14ac:dyDescent="0.25">
      <c r="A35" s="4" t="s">
        <v>6</v>
      </c>
      <c r="B35" s="5" t="s">
        <v>7</v>
      </c>
      <c r="C35" s="6">
        <v>30</v>
      </c>
      <c r="D35" s="6">
        <v>48</v>
      </c>
      <c r="E35" s="6">
        <v>17</v>
      </c>
      <c r="F35" s="7">
        <f>SUM(C35:E35)</f>
        <v>95</v>
      </c>
      <c r="I35" s="22"/>
      <c r="K35" s="4" t="s">
        <v>9</v>
      </c>
      <c r="L35" s="5" t="s">
        <v>7</v>
      </c>
      <c r="M35" s="6">
        <v>7</v>
      </c>
      <c r="N35" s="6">
        <v>0</v>
      </c>
      <c r="O35" s="6">
        <v>5</v>
      </c>
      <c r="P35" s="7">
        <f t="shared" ref="P35:P38" si="2">SUM(M35:O35)</f>
        <v>12</v>
      </c>
    </row>
    <row r="36" spans="1:18" ht="20" thickBot="1" x14ac:dyDescent="0.25">
      <c r="A36" s="4"/>
      <c r="B36" s="5" t="s">
        <v>8</v>
      </c>
      <c r="C36" s="6">
        <v>25</v>
      </c>
      <c r="D36" s="6">
        <v>72</v>
      </c>
      <c r="E36" s="6">
        <v>13</v>
      </c>
      <c r="F36" s="7">
        <f t="shared" ref="F36" si="3">SUM(C36:E36)</f>
        <v>110</v>
      </c>
      <c r="I36" s="22"/>
      <c r="K36" s="4"/>
      <c r="L36" s="5" t="s">
        <v>8</v>
      </c>
      <c r="M36" s="6">
        <v>8</v>
      </c>
      <c r="N36" s="6">
        <v>7</v>
      </c>
      <c r="O36" s="6">
        <v>19</v>
      </c>
      <c r="P36" s="7">
        <f t="shared" si="2"/>
        <v>34</v>
      </c>
    </row>
    <row r="37" spans="1:18" ht="20" thickBot="1" x14ac:dyDescent="0.25">
      <c r="A37" s="4" t="s">
        <v>11</v>
      </c>
      <c r="B37" s="5"/>
      <c r="C37" s="7">
        <f>SUM(C35:C36)</f>
        <v>55</v>
      </c>
      <c r="D37" s="7">
        <f>SUM(D35:D36)</f>
        <v>120</v>
      </c>
      <c r="E37" s="7">
        <f>SUM(E35:E36)</f>
        <v>30</v>
      </c>
      <c r="F37" s="7">
        <f>SUM(C35:E36)</f>
        <v>205</v>
      </c>
      <c r="I37" s="22"/>
      <c r="K37" s="4" t="s">
        <v>10</v>
      </c>
      <c r="L37" s="5" t="s">
        <v>7</v>
      </c>
      <c r="M37" s="6">
        <v>60</v>
      </c>
      <c r="N37" s="6">
        <v>2</v>
      </c>
      <c r="O37" s="6">
        <v>17</v>
      </c>
      <c r="P37" s="7">
        <f t="shared" si="2"/>
        <v>79</v>
      </c>
    </row>
    <row r="38" spans="1:18" ht="20" thickBot="1" x14ac:dyDescent="0.25">
      <c r="I38" s="22"/>
      <c r="K38" s="4"/>
      <c r="L38" s="5" t="s">
        <v>8</v>
      </c>
      <c r="M38" s="6">
        <v>26</v>
      </c>
      <c r="N38" s="6">
        <v>10</v>
      </c>
      <c r="O38" s="6">
        <v>34</v>
      </c>
      <c r="P38" s="7">
        <f t="shared" si="2"/>
        <v>70</v>
      </c>
    </row>
    <row r="39" spans="1:18" ht="20" thickBot="1" x14ac:dyDescent="0.25">
      <c r="I39" s="22"/>
      <c r="K39" s="4" t="s">
        <v>11</v>
      </c>
      <c r="L39" s="5"/>
      <c r="M39" s="7">
        <f>SUM(M35:M38)</f>
        <v>101</v>
      </c>
      <c r="N39" s="7">
        <f>SUM(N35:N38)</f>
        <v>19</v>
      </c>
      <c r="O39" s="7">
        <f>SUM(O35:O38)</f>
        <v>75</v>
      </c>
      <c r="P39" s="7">
        <f>SUM(M35:O38)</f>
        <v>195</v>
      </c>
    </row>
    <row r="40" spans="1:18" x14ac:dyDescent="0.2">
      <c r="I40" s="22"/>
    </row>
    <row r="41" spans="1:18" x14ac:dyDescent="0.2">
      <c r="A41" t="s">
        <v>24</v>
      </c>
      <c r="B41" t="s">
        <v>25</v>
      </c>
      <c r="I41" s="22"/>
      <c r="K41" t="s">
        <v>24</v>
      </c>
      <c r="L41" t="s">
        <v>25</v>
      </c>
    </row>
    <row r="42" spans="1:18" x14ac:dyDescent="0.2">
      <c r="A42" t="s">
        <v>2</v>
      </c>
      <c r="B42">
        <f>$C$37/$F$37</f>
        <v>0.26829268292682928</v>
      </c>
      <c r="I42" s="22"/>
      <c r="K42" t="s">
        <v>2</v>
      </c>
      <c r="L42">
        <f>$M$39/$P$39</f>
        <v>0.517948717948718</v>
      </c>
    </row>
    <row r="43" spans="1:18" x14ac:dyDescent="0.2">
      <c r="A43" t="s">
        <v>3</v>
      </c>
      <c r="B43">
        <f>$D$37/$F$37</f>
        <v>0.58536585365853655</v>
      </c>
      <c r="I43" s="22"/>
      <c r="K43" t="s">
        <v>3</v>
      </c>
      <c r="L43">
        <f>$N$39/$P$39</f>
        <v>9.7435897435897437E-2</v>
      </c>
    </row>
    <row r="44" spans="1:18" x14ac:dyDescent="0.2">
      <c r="A44" t="s">
        <v>4</v>
      </c>
      <c r="B44">
        <f>$E$37/$F$37</f>
        <v>0.14634146341463414</v>
      </c>
      <c r="I44" s="22"/>
      <c r="K44" t="s">
        <v>4</v>
      </c>
      <c r="L44">
        <f>$O$39/$P$39</f>
        <v>0.38461538461538464</v>
      </c>
    </row>
    <row r="45" spans="1:18" x14ac:dyDescent="0.2">
      <c r="I45" s="22"/>
    </row>
    <row r="46" spans="1:18" x14ac:dyDescent="0.2">
      <c r="A46" s="11" t="s">
        <v>22</v>
      </c>
      <c r="B46" s="12">
        <f>1 - SUMSQ(Table212426[P(Class)])</f>
        <v>0.56395002974419994</v>
      </c>
      <c r="I46" s="22"/>
      <c r="K46" s="11" t="s">
        <v>22</v>
      </c>
      <c r="L46" s="12">
        <f>1 - SUMSQ(Table2124[P(Class)])</f>
        <v>0.57430637738330037</v>
      </c>
    </row>
    <row r="47" spans="1:18" x14ac:dyDescent="0.2">
      <c r="I47" s="28"/>
    </row>
    <row r="48" spans="1:18" x14ac:dyDescent="0.2">
      <c r="A48" t="s">
        <v>26</v>
      </c>
      <c r="B48" t="s">
        <v>27</v>
      </c>
      <c r="C48" t="s">
        <v>28</v>
      </c>
      <c r="D48" t="s">
        <v>29</v>
      </c>
      <c r="E48" t="s">
        <v>30</v>
      </c>
      <c r="F48" t="s">
        <v>31</v>
      </c>
      <c r="G48" t="s">
        <v>32</v>
      </c>
      <c r="H48" t="s">
        <v>23</v>
      </c>
      <c r="I48" s="22"/>
      <c r="K48" t="s">
        <v>26</v>
      </c>
      <c r="L48" t="s">
        <v>27</v>
      </c>
      <c r="M48" t="s">
        <v>28</v>
      </c>
      <c r="N48" t="s">
        <v>29</v>
      </c>
      <c r="O48" t="s">
        <v>30</v>
      </c>
      <c r="P48" t="s">
        <v>31</v>
      </c>
      <c r="Q48" t="s">
        <v>32</v>
      </c>
      <c r="R48" t="s">
        <v>23</v>
      </c>
    </row>
    <row r="49" spans="1:19" x14ac:dyDescent="0.2">
      <c r="A49" t="s">
        <v>7</v>
      </c>
      <c r="B49">
        <f>C35</f>
        <v>30</v>
      </c>
      <c r="C49">
        <f t="shared" ref="C49:D49" si="4">D35</f>
        <v>48</v>
      </c>
      <c r="D49">
        <f t="shared" si="4"/>
        <v>17</v>
      </c>
      <c r="E49" s="14">
        <f>Table222527[[#This Row],[Count-Alcohol]]/SUM(Table222527[[#This Row],[Count-Alcohol]:[Count-Heroin]])</f>
        <v>0.31578947368421051</v>
      </c>
      <c r="F49" s="14">
        <f>Table222527[[#This Row],[Count-Cocaine]]/SUM(Table222527[[#This Row],[Count-Alcohol]:[Count-Heroin]])</f>
        <v>0.50526315789473686</v>
      </c>
      <c r="G49" s="14">
        <f>Table222527[[#This Row],[Count-Heroin]]/SUM(Table222527[[#This Row],[Count-Alcohol]:[Count-Heroin]])</f>
        <v>0.17894736842105263</v>
      </c>
      <c r="H49" s="13">
        <f>1 - SUMSQ(Table222527[[#This Row],[P(Alcohol | Split)]:[P(Heroin | Split)]])</f>
        <v>0.61296398891966764</v>
      </c>
      <c r="I49" s="28"/>
      <c r="K49" t="s">
        <v>9</v>
      </c>
      <c r="L49">
        <f>M35+M36</f>
        <v>15</v>
      </c>
      <c r="M49">
        <f t="shared" ref="M49:N49" si="5">N35+N36</f>
        <v>7</v>
      </c>
      <c r="N49">
        <f t="shared" si="5"/>
        <v>24</v>
      </c>
      <c r="O49" s="14">
        <f>Table2225[[#This Row],[Count-Alcohol]]/SUM(Table2225[[#This Row],[Count-Alcohol]:[Count-Heroin]])</f>
        <v>0.32608695652173914</v>
      </c>
      <c r="P49" s="14">
        <f>Table2225[[#This Row],[Count-Cocaine]]/SUM(Table2225[[#This Row],[Count-Alcohol]:[Count-Heroin]])</f>
        <v>0.15217391304347827</v>
      </c>
      <c r="Q49" s="14">
        <f>Table2225[[#This Row],[Count-Heroin]]/SUM(Table2225[[#This Row],[Count-Alcohol]:[Count-Heroin]])</f>
        <v>0.52173913043478259</v>
      </c>
      <c r="R49" s="13">
        <f>1 - SUMSQ(Table2225[[#This Row],[P(Alcohol | Split)]:[P(Heroin | Split)]])</f>
        <v>0.59829867674858228</v>
      </c>
      <c r="S49" s="8"/>
    </row>
    <row r="50" spans="1:19" x14ac:dyDescent="0.2">
      <c r="A50" s="15" t="s">
        <v>8</v>
      </c>
      <c r="B50" s="15">
        <f>C36</f>
        <v>25</v>
      </c>
      <c r="C50" s="15">
        <f t="shared" ref="C50:D50" si="6">D36</f>
        <v>72</v>
      </c>
      <c r="D50" s="15">
        <f t="shared" si="6"/>
        <v>13</v>
      </c>
      <c r="E50" s="16">
        <f>Table222527[[#This Row],[Count-Alcohol]]/SUM(Table222527[[#This Row],[Count-Alcohol]:[Count-Heroin]])</f>
        <v>0.22727272727272727</v>
      </c>
      <c r="F50" s="16">
        <f>Table222527[[#This Row],[Count-Cocaine]]/SUM(Table222527[[#This Row],[Count-Alcohol]:[Count-Heroin]])</f>
        <v>0.65454545454545454</v>
      </c>
      <c r="G50" s="16">
        <f>Table222527[[#This Row],[Count-Heroin]]/SUM(Table222527[[#This Row],[Count-Alcohol]:[Count-Heroin]])</f>
        <v>0.11818181818181818</v>
      </c>
      <c r="H50" s="17">
        <f>1 - SUMSQ(Table222527[[#This Row],[P(Alcohol | Split)]:[P(Heroin | Split)]])</f>
        <v>0.50595041322314049</v>
      </c>
      <c r="I50" s="28" t="s">
        <v>37</v>
      </c>
      <c r="K50" t="s">
        <v>10</v>
      </c>
      <c r="L50">
        <f>M37+M38</f>
        <v>86</v>
      </c>
      <c r="M50">
        <f t="shared" ref="M50:N50" si="7">N37+N38</f>
        <v>12</v>
      </c>
      <c r="N50">
        <f t="shared" si="7"/>
        <v>51</v>
      </c>
      <c r="O50" s="14">
        <f>Table2225[[#This Row],[Count-Alcohol]]/SUM(Table2225[[#This Row],[Count-Alcohol]:[Count-Heroin]])</f>
        <v>0.57718120805369133</v>
      </c>
      <c r="P50" s="14">
        <f>Table2225[[#This Row],[Count-Cocaine]]/SUM(Table2225[[#This Row],[Count-Alcohol]:[Count-Heroin]])</f>
        <v>8.0536912751677847E-2</v>
      </c>
      <c r="Q50" s="14">
        <f>Table2225[[#This Row],[Count-Heroin]]/SUM(Table2225[[#This Row],[Count-Alcohol]:[Count-Heroin]])</f>
        <v>0.34228187919463088</v>
      </c>
      <c r="R50" s="13">
        <f>1 - SUMSQ(Table2225[[#This Row],[P(Alcohol | Split)]:[P(Heroin | Split)]])</f>
        <v>0.54321877392910223</v>
      </c>
    </row>
    <row r="51" spans="1:19" x14ac:dyDescent="0.2">
      <c r="I51" s="22"/>
      <c r="K51" s="15" t="s">
        <v>7</v>
      </c>
      <c r="L51" s="15">
        <f>M35+M37</f>
        <v>67</v>
      </c>
      <c r="M51" s="15">
        <f t="shared" ref="M51:N51" si="8">N35+N37</f>
        <v>2</v>
      </c>
      <c r="N51" s="15">
        <f t="shared" si="8"/>
        <v>22</v>
      </c>
      <c r="O51" s="16">
        <f>Table2225[[#This Row],[Count-Alcohol]]/SUM(Table2225[[#This Row],[Count-Alcohol]:[Count-Heroin]])</f>
        <v>0.73626373626373631</v>
      </c>
      <c r="P51" s="16">
        <f>Table2225[[#This Row],[Count-Cocaine]]/SUM(Table2225[[#This Row],[Count-Alcohol]:[Count-Heroin]])</f>
        <v>2.197802197802198E-2</v>
      </c>
      <c r="Q51" s="16">
        <f>Table2225[[#This Row],[Count-Heroin]]/SUM(Table2225[[#This Row],[Count-Alcohol]:[Count-Heroin]])</f>
        <v>0.24175824175824176</v>
      </c>
      <c r="R51" s="17">
        <f>1 - SUMSQ(Table2225[[#This Row],[P(Alcohol | Split)]:[P(Heroin | Split)]])</f>
        <v>0.3989856297548604</v>
      </c>
      <c r="S51" s="8" t="s">
        <v>36</v>
      </c>
    </row>
    <row r="52" spans="1:19" x14ac:dyDescent="0.2">
      <c r="I52" s="22"/>
      <c r="K52" t="s">
        <v>8</v>
      </c>
      <c r="L52">
        <f>M36+M38</f>
        <v>34</v>
      </c>
      <c r="M52">
        <f t="shared" ref="M52:N52" si="9">N36+N38</f>
        <v>17</v>
      </c>
      <c r="N52">
        <f t="shared" si="9"/>
        <v>53</v>
      </c>
      <c r="O52" s="14">
        <f>Table2225[[#This Row],[Count-Alcohol]]/SUM(Table2225[[#This Row],[Count-Alcohol]:[Count-Heroin]])</f>
        <v>0.32692307692307693</v>
      </c>
      <c r="P52" s="14">
        <f>Table2225[[#This Row],[Count-Cocaine]]/SUM(Table2225[[#This Row],[Count-Alcohol]:[Count-Heroin]])</f>
        <v>0.16346153846153846</v>
      </c>
      <c r="Q52" s="14">
        <f>Table2225[[#This Row],[Count-Heroin]]/SUM(Table2225[[#This Row],[Count-Alcohol]:[Count-Heroin]])</f>
        <v>0.50961538461538458</v>
      </c>
      <c r="R52" s="13">
        <f>1 - SUMSQ(Table2225[[#This Row],[P(Alcohol | Split)]:[P(Heroin | Split)]])</f>
        <v>0.60669378698224852</v>
      </c>
    </row>
    <row r="53" spans="1:19" ht="17" thickBot="1" x14ac:dyDescent="0.25">
      <c r="I53" s="22"/>
    </row>
    <row r="54" spans="1:19" ht="27" thickBot="1" x14ac:dyDescent="0.35">
      <c r="A54" s="30"/>
      <c r="B54" s="31"/>
      <c r="C54" s="31"/>
      <c r="D54" s="31"/>
      <c r="E54" s="31"/>
      <c r="F54" s="31"/>
      <c r="G54" s="31"/>
      <c r="H54" s="31"/>
      <c r="I54" s="34" t="s">
        <v>41</v>
      </c>
      <c r="J54" s="31"/>
      <c r="K54" s="31"/>
      <c r="L54" s="31"/>
      <c r="M54" s="31"/>
      <c r="N54" s="31"/>
      <c r="O54" s="31"/>
      <c r="P54" s="32"/>
    </row>
    <row r="55" spans="1:19" ht="27" thickBot="1" x14ac:dyDescent="0.35">
      <c r="A55" s="29" t="s">
        <v>34</v>
      </c>
      <c r="B55" s="10"/>
      <c r="C55" s="10"/>
      <c r="D55" s="10"/>
      <c r="E55" s="10"/>
      <c r="F55" s="10"/>
      <c r="G55" s="10"/>
      <c r="H55" s="10"/>
      <c r="I55" s="22"/>
      <c r="J55" s="10"/>
      <c r="K55" s="29" t="s">
        <v>34</v>
      </c>
      <c r="L55" s="10"/>
      <c r="M55" s="10"/>
      <c r="N55" s="10"/>
      <c r="O55" s="10"/>
      <c r="P55" s="10"/>
    </row>
    <row r="56" spans="1:19" ht="20" thickBot="1" x14ac:dyDescent="0.25">
      <c r="A56" s="4" t="s">
        <v>0</v>
      </c>
      <c r="B56" s="2" t="s">
        <v>1</v>
      </c>
      <c r="C56" s="3" t="s">
        <v>2</v>
      </c>
      <c r="D56" s="27" t="s">
        <v>3</v>
      </c>
      <c r="E56" s="3" t="s">
        <v>4</v>
      </c>
      <c r="F56" s="3" t="s">
        <v>5</v>
      </c>
      <c r="I56" s="22"/>
      <c r="K56" s="4" t="s">
        <v>0</v>
      </c>
      <c r="L56" s="2" t="s">
        <v>1</v>
      </c>
      <c r="M56" s="27" t="s">
        <v>2</v>
      </c>
      <c r="N56" s="3" t="s">
        <v>3</v>
      </c>
      <c r="O56" s="3" t="s">
        <v>4</v>
      </c>
      <c r="P56" s="3" t="s">
        <v>5</v>
      </c>
    </row>
    <row r="57" spans="1:19" ht="20" thickBot="1" x14ac:dyDescent="0.25">
      <c r="A57" s="4" t="s">
        <v>6</v>
      </c>
      <c r="B57" s="5" t="s">
        <v>8</v>
      </c>
      <c r="C57" s="6">
        <v>25</v>
      </c>
      <c r="D57" s="21">
        <v>72</v>
      </c>
      <c r="E57" s="6">
        <v>13</v>
      </c>
      <c r="F57" s="7">
        <f t="shared" ref="F57" si="10">SUM(C57:E57)</f>
        <v>110</v>
      </c>
      <c r="I57" s="22"/>
      <c r="K57" s="4" t="s">
        <v>9</v>
      </c>
      <c r="L57" s="5" t="s">
        <v>7</v>
      </c>
      <c r="M57" s="21">
        <v>7</v>
      </c>
      <c r="N57" s="6">
        <v>0</v>
      </c>
      <c r="O57" s="6">
        <v>5</v>
      </c>
      <c r="P57" s="7">
        <f t="shared" ref="P57:P58" si="11">SUM(M57:O57)</f>
        <v>12</v>
      </c>
    </row>
    <row r="58" spans="1:19" ht="20" thickBot="1" x14ac:dyDescent="0.25">
      <c r="A58" s="4" t="s">
        <v>11</v>
      </c>
      <c r="B58" s="5"/>
      <c r="C58" s="7">
        <f>SUM(C57:C57)</f>
        <v>25</v>
      </c>
      <c r="D58" s="21">
        <f>SUM(D57:D57)</f>
        <v>72</v>
      </c>
      <c r="E58" s="7">
        <f>SUM(E57:E57)</f>
        <v>13</v>
      </c>
      <c r="F58" s="7">
        <f>SUM(C57:E57)</f>
        <v>110</v>
      </c>
      <c r="I58" s="22"/>
      <c r="K58" s="4" t="s">
        <v>10</v>
      </c>
      <c r="L58" s="5" t="s">
        <v>7</v>
      </c>
      <c r="M58" s="21">
        <v>60</v>
      </c>
      <c r="N58" s="6">
        <v>2</v>
      </c>
      <c r="O58" s="6">
        <v>17</v>
      </c>
      <c r="P58" s="7">
        <f t="shared" si="11"/>
        <v>79</v>
      </c>
    </row>
    <row r="59" spans="1:19" ht="20" thickBot="1" x14ac:dyDescent="0.25">
      <c r="I59" s="22"/>
      <c r="K59" s="4" t="s">
        <v>11</v>
      </c>
      <c r="L59" s="5"/>
      <c r="M59" s="21">
        <f>SUM(M57:M58)</f>
        <v>67</v>
      </c>
      <c r="N59" s="7">
        <f>SUM(N57:N58)</f>
        <v>2</v>
      </c>
      <c r="O59" s="7">
        <f>SUM(O57:O58)</f>
        <v>22</v>
      </c>
      <c r="P59" s="7">
        <f>SUM(M57:O58)</f>
        <v>91</v>
      </c>
    </row>
    <row r="60" spans="1:19" ht="17" thickBot="1" x14ac:dyDescent="0.2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</row>
    <row r="61" spans="1:19" ht="27" thickBot="1" x14ac:dyDescent="0.35">
      <c r="A61" s="24" t="s">
        <v>35</v>
      </c>
      <c r="I61" s="22"/>
      <c r="K61" s="23" t="s">
        <v>35</v>
      </c>
      <c r="L61" s="20"/>
      <c r="M61" s="20"/>
      <c r="N61" s="20"/>
      <c r="O61" s="20"/>
      <c r="P61" s="20"/>
    </row>
    <row r="62" spans="1:19" ht="20" thickBot="1" x14ac:dyDescent="0.25">
      <c r="A62" s="4" t="s">
        <v>0</v>
      </c>
      <c r="B62" s="2" t="s">
        <v>1</v>
      </c>
      <c r="C62" s="3" t="s">
        <v>2</v>
      </c>
      <c r="D62" s="27" t="s">
        <v>3</v>
      </c>
      <c r="E62" s="3" t="s">
        <v>4</v>
      </c>
      <c r="F62" s="3" t="s">
        <v>5</v>
      </c>
      <c r="I62" s="22"/>
      <c r="K62" s="4" t="s">
        <v>0</v>
      </c>
      <c r="L62" s="2" t="s">
        <v>1</v>
      </c>
      <c r="M62" s="3" t="s">
        <v>2</v>
      </c>
      <c r="N62" s="3" t="s">
        <v>3</v>
      </c>
      <c r="O62" s="27" t="s">
        <v>4</v>
      </c>
      <c r="P62" s="3" t="s">
        <v>5</v>
      </c>
    </row>
    <row r="63" spans="1:19" ht="20" thickBot="1" x14ac:dyDescent="0.25">
      <c r="A63" s="4" t="s">
        <v>6</v>
      </c>
      <c r="B63" s="5" t="s">
        <v>7</v>
      </c>
      <c r="C63" s="6">
        <v>30</v>
      </c>
      <c r="D63" s="21">
        <v>48</v>
      </c>
      <c r="E63" s="6">
        <v>17</v>
      </c>
      <c r="F63" s="7">
        <f>SUM(C63:E63)</f>
        <v>95</v>
      </c>
      <c r="I63" s="22"/>
      <c r="K63" s="4" t="s">
        <v>9</v>
      </c>
      <c r="L63" s="5" t="s">
        <v>8</v>
      </c>
      <c r="M63" s="6">
        <v>8</v>
      </c>
      <c r="N63" s="6">
        <v>7</v>
      </c>
      <c r="O63" s="21">
        <v>19</v>
      </c>
      <c r="P63" s="7">
        <f t="shared" ref="P63:P64" si="12">SUM(M63:O63)</f>
        <v>34</v>
      </c>
    </row>
    <row r="64" spans="1:19" ht="20" thickBot="1" x14ac:dyDescent="0.25">
      <c r="A64" s="4" t="s">
        <v>11</v>
      </c>
      <c r="B64" s="5"/>
      <c r="C64" s="7">
        <f>SUM(C63:C63)</f>
        <v>30</v>
      </c>
      <c r="D64" s="21">
        <f>SUM(D63:D63)</f>
        <v>48</v>
      </c>
      <c r="E64" s="7">
        <f>SUM(E63:E63)</f>
        <v>17</v>
      </c>
      <c r="F64" s="7">
        <f>SUM(C63:E63)</f>
        <v>95</v>
      </c>
      <c r="I64" s="22"/>
      <c r="K64" s="4" t="s">
        <v>10</v>
      </c>
      <c r="L64" s="5" t="s">
        <v>8</v>
      </c>
      <c r="M64" s="6">
        <v>26</v>
      </c>
      <c r="N64" s="6">
        <v>10</v>
      </c>
      <c r="O64" s="21">
        <v>34</v>
      </c>
      <c r="P64" s="7">
        <f t="shared" si="12"/>
        <v>70</v>
      </c>
    </row>
    <row r="65" spans="1:16" ht="20" thickBot="1" x14ac:dyDescent="0.25">
      <c r="I65" s="22"/>
      <c r="K65" s="4" t="s">
        <v>11</v>
      </c>
      <c r="L65" s="5"/>
      <c r="M65" s="7">
        <f>SUM(M63:M64)</f>
        <v>34</v>
      </c>
      <c r="N65" s="7">
        <f>SUM(N63:N64)</f>
        <v>17</v>
      </c>
      <c r="O65" s="21">
        <f>SUM(O63:O64)</f>
        <v>53</v>
      </c>
      <c r="P65" s="7">
        <f>SUM(M63:O64)</f>
        <v>104</v>
      </c>
    </row>
    <row r="66" spans="1:16" ht="17" thickBot="1" x14ac:dyDescent="0.25">
      <c r="I66" s="22"/>
    </row>
    <row r="67" spans="1:16" ht="17" thickBot="1" x14ac:dyDescent="0.25">
      <c r="A67" s="30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2"/>
    </row>
    <row r="68" spans="1:16" ht="27" thickBot="1" x14ac:dyDescent="0.35">
      <c r="A68" s="29" t="s">
        <v>44</v>
      </c>
    </row>
    <row r="69" spans="1:16" x14ac:dyDescent="0.2">
      <c r="A69" t="s">
        <v>38</v>
      </c>
      <c r="B69" t="s">
        <v>39</v>
      </c>
    </row>
    <row r="70" spans="1:16" x14ac:dyDescent="0.2">
      <c r="A70" t="s">
        <v>16</v>
      </c>
      <c r="B70" t="s">
        <v>3</v>
      </c>
    </row>
    <row r="71" spans="1:16" x14ac:dyDescent="0.2">
      <c r="A71" t="s">
        <v>17</v>
      </c>
      <c r="B71" t="s">
        <v>3</v>
      </c>
    </row>
    <row r="72" spans="1:16" x14ac:dyDescent="0.2">
      <c r="A72" t="s">
        <v>18</v>
      </c>
      <c r="B72" t="s">
        <v>2</v>
      </c>
    </row>
    <row r="73" spans="1:16" x14ac:dyDescent="0.2">
      <c r="A73" t="s">
        <v>19</v>
      </c>
      <c r="B73" t="s">
        <v>4</v>
      </c>
    </row>
    <row r="74" spans="1:16" x14ac:dyDescent="0.2">
      <c r="A74" t="s">
        <v>20</v>
      </c>
      <c r="B74" t="s">
        <v>2</v>
      </c>
    </row>
    <row r="75" spans="1:16" x14ac:dyDescent="0.2">
      <c r="A75" t="s">
        <v>21</v>
      </c>
      <c r="B75" t="s">
        <v>4</v>
      </c>
    </row>
    <row r="78" spans="1:16" ht="29" x14ac:dyDescent="0.35">
      <c r="A78" s="19" t="s">
        <v>42</v>
      </c>
    </row>
  </sheetData>
  <phoneticPr fontId="5" type="noConversion"/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Wyatt Blair</dc:creator>
  <cp:lastModifiedBy>Wyatt Blair</cp:lastModifiedBy>
  <dcterms:created xsi:type="dcterms:W3CDTF">2024-05-05T18:54:41Z</dcterms:created>
  <dcterms:modified xsi:type="dcterms:W3CDTF">2024-05-06T14:33:25Z</dcterms:modified>
</cp:coreProperties>
</file>