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b6a9f0be765fac/Pulpit/inwestycje/modele/"/>
    </mc:Choice>
  </mc:AlternateContent>
  <xr:revisionPtr revIDLastSave="230" documentId="13_ncr:1_{8FAA2EC1-D52E-4049-A97E-B6A124077D99}" xr6:coauthVersionLast="47" xr6:coauthVersionMax="47" xr10:uidLastSave="{EBD2743A-0C71-4DAA-ADE8-5B14FA1FD046}"/>
  <bookViews>
    <workbookView xWindow="16245" yWindow="1215" windowWidth="17280" windowHeight="9795" activeTab="1" xr2:uid="{B6F3B1E3-62A6-41E2-953C-3DEF4B9ACA9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85" i="2" l="1"/>
  <c r="D6" i="1"/>
  <c r="AA11" i="2"/>
  <c r="AA12" i="2" s="1"/>
  <c r="AC12" i="2"/>
  <c r="AB12" i="2"/>
  <c r="AD31" i="2"/>
  <c r="AD8" i="2"/>
  <c r="AD7" i="2"/>
  <c r="AD6" i="2"/>
  <c r="AD5" i="2"/>
  <c r="AD4" i="2"/>
  <c r="AD16" i="2"/>
  <c r="AD15" i="2"/>
  <c r="AD14" i="2"/>
  <c r="AD60" i="2"/>
  <c r="AD63" i="2" s="1"/>
  <c r="AD48" i="2"/>
  <c r="AD55" i="2" s="1"/>
  <c r="AD21" i="2"/>
  <c r="AD29" i="2"/>
  <c r="AD26" i="2"/>
  <c r="AD25" i="2"/>
  <c r="AD22" i="2"/>
  <c r="AD19" i="2"/>
  <c r="AD18" i="2"/>
  <c r="AC10" i="2"/>
  <c r="AC37" i="2" s="1"/>
  <c r="AC60" i="2"/>
  <c r="AC63" i="2" s="1"/>
  <c r="AC48" i="2"/>
  <c r="AC55" i="2" s="1"/>
  <c r="AC41" i="2"/>
  <c r="AC40" i="2"/>
  <c r="AC38" i="2"/>
  <c r="AC20" i="2"/>
  <c r="AC2" i="2"/>
  <c r="AD2" i="2" s="1"/>
  <c r="AE2" i="2" s="1"/>
  <c r="AF2" i="2" s="1"/>
  <c r="AG2" i="2" s="1"/>
  <c r="AH2" i="2" s="1"/>
  <c r="BL11" i="2"/>
  <c r="BM11" i="2" s="1"/>
  <c r="AB37" i="2"/>
  <c r="AB82" i="2"/>
  <c r="AC82" i="2" s="1"/>
  <c r="AD82" i="2" s="1"/>
  <c r="AB80" i="2"/>
  <c r="AC80" i="2" s="1"/>
  <c r="AD80" i="2" s="1"/>
  <c r="AB79" i="2"/>
  <c r="AC79" i="2" s="1"/>
  <c r="AD79" i="2" s="1"/>
  <c r="AB78" i="2"/>
  <c r="AC78" i="2" s="1"/>
  <c r="AB75" i="2"/>
  <c r="AC75" i="2" s="1"/>
  <c r="AD75" i="2" s="1"/>
  <c r="AB74" i="2"/>
  <c r="AC74" i="2" s="1"/>
  <c r="AD74" i="2" s="1"/>
  <c r="AB69" i="2"/>
  <c r="AB68" i="2"/>
  <c r="AC68" i="2" s="1"/>
  <c r="AD68" i="2" s="1"/>
  <c r="AB67" i="2"/>
  <c r="AC67" i="2" s="1"/>
  <c r="AD67" i="2" s="1"/>
  <c r="AB66" i="2"/>
  <c r="AC66" i="2" s="1"/>
  <c r="AB60" i="2"/>
  <c r="AB63" i="2" s="1"/>
  <c r="AB48" i="2"/>
  <c r="AB55" i="2" s="1"/>
  <c r="AB38" i="2"/>
  <c r="AA81" i="2"/>
  <c r="AA83" i="2" s="1"/>
  <c r="AA73" i="2"/>
  <c r="AB73" i="2" s="1"/>
  <c r="AA70" i="2"/>
  <c r="AA71" i="2" s="1"/>
  <c r="AA60" i="2"/>
  <c r="AA63" i="2" s="1"/>
  <c r="AA48" i="2"/>
  <c r="AA41" i="2"/>
  <c r="AA40" i="2"/>
  <c r="AA38" i="2"/>
  <c r="AA37" i="2"/>
  <c r="AA27" i="2"/>
  <c r="AA23" i="2"/>
  <c r="AA20" i="2"/>
  <c r="AD47" i="2" l="1"/>
  <c r="AD20" i="2"/>
  <c r="AA76" i="2"/>
  <c r="AB70" i="2"/>
  <c r="AC70" i="2" s="1"/>
  <c r="AD70" i="2" s="1"/>
  <c r="AD40" i="2"/>
  <c r="AA47" i="2"/>
  <c r="AD27" i="2"/>
  <c r="AB76" i="2"/>
  <c r="AC73" i="2"/>
  <c r="AC76" i="2" s="1"/>
  <c r="AB71" i="2"/>
  <c r="AA24" i="2"/>
  <c r="AA28" i="2" s="1"/>
  <c r="AD23" i="2"/>
  <c r="AD24" i="2" s="1"/>
  <c r="AD66" i="2"/>
  <c r="AD78" i="2"/>
  <c r="AA85" i="2"/>
  <c r="AC69" i="2"/>
  <c r="AD69" i="2" s="1"/>
  <c r="AB47" i="2"/>
  <c r="AB81" i="2"/>
  <c r="AA55" i="2"/>
  <c r="AD41" i="2"/>
  <c r="AD10" i="2"/>
  <c r="AC47" i="2"/>
  <c r="AC23" i="2"/>
  <c r="AC24" i="2" s="1"/>
  <c r="AC39" i="2" s="1"/>
  <c r="AC27" i="2"/>
  <c r="AB40" i="2"/>
  <c r="AB20" i="2"/>
  <c r="AB27" i="2"/>
  <c r="Y60" i="2"/>
  <c r="Y63" i="2" s="1"/>
  <c r="Z60" i="2"/>
  <c r="Z63" i="2" s="1"/>
  <c r="Z48" i="2"/>
  <c r="Z55" i="2" s="1"/>
  <c r="Z16" i="2"/>
  <c r="Z15" i="2"/>
  <c r="Z14" i="2"/>
  <c r="Z10" i="2"/>
  <c r="Y38" i="2"/>
  <c r="Y37" i="2"/>
  <c r="Z8" i="2"/>
  <c r="Z7" i="2"/>
  <c r="Z6" i="2"/>
  <c r="Z5" i="2"/>
  <c r="Z4" i="2"/>
  <c r="Z31" i="2"/>
  <c r="Z29" i="2"/>
  <c r="Z26" i="2"/>
  <c r="Z25" i="2"/>
  <c r="Z22" i="2"/>
  <c r="Z21" i="2"/>
  <c r="Z19" i="2"/>
  <c r="Z18" i="2"/>
  <c r="BL18" i="2" s="1"/>
  <c r="Y48" i="2"/>
  <c r="Y12" i="2"/>
  <c r="X12" i="2"/>
  <c r="W12" i="2"/>
  <c r="V12" i="2"/>
  <c r="U12" i="2"/>
  <c r="AA39" i="2" l="1"/>
  <c r="AD73" i="2"/>
  <c r="AD76" i="2" s="1"/>
  <c r="Z38" i="2"/>
  <c r="AD38" i="2"/>
  <c r="Z37" i="2"/>
  <c r="Z12" i="2"/>
  <c r="BL10" i="2"/>
  <c r="BL12" i="2" s="1"/>
  <c r="BM12" i="2" s="1"/>
  <c r="AD37" i="2"/>
  <c r="AA42" i="2"/>
  <c r="AA30" i="2"/>
  <c r="AD71" i="2"/>
  <c r="AC81" i="2"/>
  <c r="AB83" i="2"/>
  <c r="AB85" i="2" s="1"/>
  <c r="Y47" i="2"/>
  <c r="AC71" i="2"/>
  <c r="AD28" i="2"/>
  <c r="AD39" i="2"/>
  <c r="AC28" i="2"/>
  <c r="AC42" i="2" s="1"/>
  <c r="AB23" i="2"/>
  <c r="AB24" i="2" s="1"/>
  <c r="AB39" i="2" s="1"/>
  <c r="AB41" i="2"/>
  <c r="AB28" i="2"/>
  <c r="Y55" i="2"/>
  <c r="Z47" i="2"/>
  <c r="X82" i="2"/>
  <c r="Y82" i="2" s="1"/>
  <c r="X80" i="2"/>
  <c r="Y80" i="2" s="1"/>
  <c r="Z80" i="2" s="1"/>
  <c r="X79" i="2"/>
  <c r="Y79" i="2" s="1"/>
  <c r="Z79" i="2" s="1"/>
  <c r="X78" i="2"/>
  <c r="Y78" i="2" s="1"/>
  <c r="W81" i="2"/>
  <c r="W83" i="2" s="1"/>
  <c r="X75" i="2"/>
  <c r="X74" i="2"/>
  <c r="Y74" i="2" s="1"/>
  <c r="Z74" i="2" s="1"/>
  <c r="W73" i="2"/>
  <c r="X73" i="2" s="1"/>
  <c r="Y73" i="2" s="1"/>
  <c r="X69" i="2"/>
  <c r="Y69" i="2" s="1"/>
  <c r="Z69" i="2" s="1"/>
  <c r="X68" i="2"/>
  <c r="X67" i="2"/>
  <c r="Y67" i="2" s="1"/>
  <c r="X66" i="2"/>
  <c r="Z66" i="2" s="1"/>
  <c r="W70" i="2"/>
  <c r="W71" i="2" s="1"/>
  <c r="W60" i="2"/>
  <c r="W63" i="2" s="1"/>
  <c r="W48" i="2"/>
  <c r="BL19" i="2"/>
  <c r="BM19" i="2" s="1"/>
  <c r="BM22" i="2" s="1"/>
  <c r="BL2" i="2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Z40" i="2"/>
  <c r="Y40" i="2"/>
  <c r="Z27" i="2"/>
  <c r="Y27" i="2"/>
  <c r="Z23" i="2"/>
  <c r="Y23" i="2"/>
  <c r="X60" i="2"/>
  <c r="X63" i="2" s="1"/>
  <c r="X48" i="2"/>
  <c r="X55" i="2" s="1"/>
  <c r="X37" i="2"/>
  <c r="X27" i="2"/>
  <c r="X41" i="2"/>
  <c r="X40" i="2"/>
  <c r="X38" i="2"/>
  <c r="X23" i="2"/>
  <c r="AO40" i="2"/>
  <c r="AO27" i="2"/>
  <c r="AO14" i="2"/>
  <c r="AO18" i="2" s="1"/>
  <c r="AP27" i="2"/>
  <c r="AP18" i="2"/>
  <c r="AP19" i="2"/>
  <c r="AP40" i="2" s="1"/>
  <c r="AQ27" i="2"/>
  <c r="AQ19" i="2"/>
  <c r="AQ40" i="2" s="1"/>
  <c r="AQ16" i="2"/>
  <c r="AQ18" i="2" s="1"/>
  <c r="AQ41" i="2" s="1"/>
  <c r="AR27" i="2"/>
  <c r="AS27" i="2"/>
  <c r="AT27" i="2"/>
  <c r="AS19" i="2"/>
  <c r="AS40" i="2" s="1"/>
  <c r="AR19" i="2"/>
  <c r="AR40" i="2" s="1"/>
  <c r="AR16" i="2"/>
  <c r="AR18" i="2" s="1"/>
  <c r="AR41" i="2" s="1"/>
  <c r="AS16" i="2"/>
  <c r="AS18" i="2" s="1"/>
  <c r="AS41" i="2" s="1"/>
  <c r="AT16" i="2"/>
  <c r="AT18" i="2" s="1"/>
  <c r="AT41" i="2" s="1"/>
  <c r="AT19" i="2"/>
  <c r="AT40" i="2" s="1"/>
  <c r="AW16" i="2"/>
  <c r="AW18" i="2" s="1"/>
  <c r="AW41" i="2" s="1"/>
  <c r="AV16" i="2"/>
  <c r="AV18" i="2" s="1"/>
  <c r="AV41" i="2" s="1"/>
  <c r="AU16" i="2"/>
  <c r="AU18" i="2" s="1"/>
  <c r="AV19" i="2"/>
  <c r="AV40" i="2" s="1"/>
  <c r="AU19" i="2"/>
  <c r="AU40" i="2" s="1"/>
  <c r="AW37" i="2"/>
  <c r="AU27" i="2"/>
  <c r="AV27" i="2"/>
  <c r="AX37" i="2"/>
  <c r="AW27" i="2"/>
  <c r="AW19" i="2"/>
  <c r="AW40" i="2" s="1"/>
  <c r="AY37" i="2"/>
  <c r="AX27" i="2"/>
  <c r="AX19" i="2"/>
  <c r="AX40" i="2" s="1"/>
  <c r="AX12" i="2"/>
  <c r="AX16" i="2"/>
  <c r="AX18" i="2" s="1"/>
  <c r="AZ37" i="2"/>
  <c r="AY27" i="2"/>
  <c r="AY16" i="2"/>
  <c r="AY18" i="2" s="1"/>
  <c r="AY19" i="2"/>
  <c r="AY40" i="2" s="1"/>
  <c r="AY12" i="2"/>
  <c r="BF40" i="2"/>
  <c r="BF27" i="2"/>
  <c r="BF12" i="2"/>
  <c r="BE40" i="2"/>
  <c r="BE37" i="2"/>
  <c r="BE27" i="2"/>
  <c r="BE12" i="2"/>
  <c r="BD40" i="2"/>
  <c r="BD37" i="2"/>
  <c r="BD27" i="2"/>
  <c r="BI19" i="2"/>
  <c r="BD18" i="2"/>
  <c r="BD41" i="2" s="1"/>
  <c r="BD12" i="2"/>
  <c r="BC37" i="2"/>
  <c r="BB37" i="2"/>
  <c r="BA37" i="2"/>
  <c r="BC40" i="2"/>
  <c r="BB40" i="2"/>
  <c r="BA40" i="2"/>
  <c r="AZ40" i="2"/>
  <c r="AZ27" i="2"/>
  <c r="AZ12" i="2"/>
  <c r="AZ16" i="2"/>
  <c r="AZ18" i="2" s="1"/>
  <c r="AZ41" i="2" s="1"/>
  <c r="BA27" i="2"/>
  <c r="BB27" i="2"/>
  <c r="BC27" i="2"/>
  <c r="BC16" i="2"/>
  <c r="BC18" i="2" s="1"/>
  <c r="BC41" i="2" s="1"/>
  <c r="BB16" i="2"/>
  <c r="BB18" i="2" s="1"/>
  <c r="BB20" i="2" s="1"/>
  <c r="BA16" i="2"/>
  <c r="BA18" i="2" s="1"/>
  <c r="BC12" i="2"/>
  <c r="BB12" i="2"/>
  <c r="BA12" i="2"/>
  <c r="V18" i="2"/>
  <c r="V20" i="2" s="1"/>
  <c r="U18" i="2"/>
  <c r="BK19" i="2"/>
  <c r="BK16" i="2"/>
  <c r="BL16" i="2" s="1"/>
  <c r="BM16" i="2" s="1"/>
  <c r="BK15" i="2"/>
  <c r="BL15" i="2" s="1"/>
  <c r="BM15" i="2" s="1"/>
  <c r="BK14" i="2"/>
  <c r="BL14" i="2" s="1"/>
  <c r="BM14" i="2" s="1"/>
  <c r="BK10" i="2"/>
  <c r="T18" i="2"/>
  <c r="T20" i="2" s="1"/>
  <c r="S18" i="2"/>
  <c r="S20" i="2" s="1"/>
  <c r="W20" i="2"/>
  <c r="AA36" i="2" s="1"/>
  <c r="BJ10" i="2"/>
  <c r="X20" i="2"/>
  <c r="AB36" i="2" s="1"/>
  <c r="BH37" i="2"/>
  <c r="W41" i="2"/>
  <c r="W40" i="2"/>
  <c r="W38" i="2"/>
  <c r="W37" i="2"/>
  <c r="W27" i="2"/>
  <c r="W23" i="2"/>
  <c r="BJ11" i="2"/>
  <c r="BI11" i="2"/>
  <c r="BH11" i="2"/>
  <c r="BH12" i="2" s="1"/>
  <c r="T12" i="2"/>
  <c r="S12" i="2"/>
  <c r="R12" i="2"/>
  <c r="Q12" i="2"/>
  <c r="P12" i="2"/>
  <c r="O12" i="2"/>
  <c r="N12" i="2"/>
  <c r="M12" i="2"/>
  <c r="L12" i="2"/>
  <c r="K12" i="2"/>
  <c r="F34" i="2"/>
  <c r="F31" i="2"/>
  <c r="F29" i="2"/>
  <c r="F26" i="2"/>
  <c r="F25" i="2"/>
  <c r="F23" i="2"/>
  <c r="F19" i="2"/>
  <c r="F16" i="2"/>
  <c r="F15" i="2"/>
  <c r="F14" i="2"/>
  <c r="F11" i="2"/>
  <c r="BG11" i="2" s="1"/>
  <c r="BG12" i="2" s="1"/>
  <c r="BE18" i="2"/>
  <c r="BE41" i="2" s="1"/>
  <c r="BF18" i="2"/>
  <c r="BF41" i="2" s="1"/>
  <c r="BF37" i="2"/>
  <c r="BG37" i="2"/>
  <c r="F10" i="2"/>
  <c r="C34" i="2"/>
  <c r="C27" i="2"/>
  <c r="C18" i="2"/>
  <c r="C20" i="2" s="1"/>
  <c r="C24" i="2" s="1"/>
  <c r="C12" i="2"/>
  <c r="D12" i="2"/>
  <c r="D34" i="2"/>
  <c r="D27" i="2"/>
  <c r="D18" i="2"/>
  <c r="D20" i="2" s="1"/>
  <c r="D24" i="2" s="1"/>
  <c r="E34" i="2"/>
  <c r="E12" i="2"/>
  <c r="BH18" i="2"/>
  <c r="BH20" i="2" s="1"/>
  <c r="BG18" i="2"/>
  <c r="BG20" i="2" s="1"/>
  <c r="R18" i="2"/>
  <c r="R20" i="2" s="1"/>
  <c r="Q18" i="2"/>
  <c r="Q20" i="2" s="1"/>
  <c r="P18" i="2"/>
  <c r="P20" i="2" s="1"/>
  <c r="O18" i="2"/>
  <c r="O20" i="2" s="1"/>
  <c r="N18" i="2"/>
  <c r="N20" i="2" s="1"/>
  <c r="M18" i="2"/>
  <c r="M20" i="2" s="1"/>
  <c r="L18" i="2"/>
  <c r="L20" i="2" s="1"/>
  <c r="K18" i="2"/>
  <c r="K20" i="2" s="1"/>
  <c r="E18" i="2"/>
  <c r="E20" i="2" s="1"/>
  <c r="E27" i="2"/>
  <c r="J2" i="2"/>
  <c r="I2" i="2" s="1"/>
  <c r="H2" i="2" s="1"/>
  <c r="G2" i="2" s="1"/>
  <c r="F2" i="2" s="1"/>
  <c r="BH40" i="2"/>
  <c r="BG40" i="2"/>
  <c r="BH38" i="2"/>
  <c r="BG34" i="2"/>
  <c r="BG27" i="2"/>
  <c r="BG23" i="2"/>
  <c r="U40" i="2"/>
  <c r="T40" i="2"/>
  <c r="S40" i="2"/>
  <c r="R40" i="2"/>
  <c r="Q40" i="2"/>
  <c r="P40" i="2"/>
  <c r="O40" i="2"/>
  <c r="N40" i="2"/>
  <c r="M40" i="2"/>
  <c r="L40" i="2"/>
  <c r="K40" i="2"/>
  <c r="BK26" i="2"/>
  <c r="BL26" i="2" s="1"/>
  <c r="BM26" i="2" s="1"/>
  <c r="BK34" i="2"/>
  <c r="BL34" i="2" s="1"/>
  <c r="BM34" i="2" s="1"/>
  <c r="U38" i="2"/>
  <c r="T38" i="2"/>
  <c r="S38" i="2"/>
  <c r="R38" i="2"/>
  <c r="Q38" i="2"/>
  <c r="P38" i="2"/>
  <c r="O38" i="2"/>
  <c r="V38" i="2"/>
  <c r="BH27" i="2"/>
  <c r="BH23" i="2"/>
  <c r="K27" i="2"/>
  <c r="K23" i="2"/>
  <c r="P37" i="2"/>
  <c r="O37" i="2"/>
  <c r="S37" i="2"/>
  <c r="R37" i="2"/>
  <c r="Q37" i="2"/>
  <c r="L27" i="2"/>
  <c r="L23" i="2"/>
  <c r="M27" i="2"/>
  <c r="M23" i="2"/>
  <c r="BJ34" i="2"/>
  <c r="BI34" i="2"/>
  <c r="BJ31" i="2"/>
  <c r="BI31" i="2"/>
  <c r="BK29" i="2"/>
  <c r="BJ29" i="2"/>
  <c r="BI29" i="2"/>
  <c r="BJ26" i="2"/>
  <c r="BI26" i="2"/>
  <c r="BJ25" i="2"/>
  <c r="BI25" i="2"/>
  <c r="BJ22" i="2"/>
  <c r="BI22" i="2"/>
  <c r="BJ21" i="2"/>
  <c r="BI21" i="2"/>
  <c r="BJ19" i="2"/>
  <c r="BJ16" i="2"/>
  <c r="BI16" i="2"/>
  <c r="BJ15" i="2"/>
  <c r="BI15" i="2"/>
  <c r="BJ14" i="2"/>
  <c r="BI14" i="2"/>
  <c r="BI10" i="2"/>
  <c r="BI37" i="2" s="1"/>
  <c r="V2" i="2"/>
  <c r="N27" i="2"/>
  <c r="N23" i="2"/>
  <c r="R27" i="2"/>
  <c r="R23" i="2"/>
  <c r="O27" i="2"/>
  <c r="O23" i="2"/>
  <c r="S27" i="2"/>
  <c r="S23" i="2"/>
  <c r="U37" i="2"/>
  <c r="Q27" i="2"/>
  <c r="Q23" i="2"/>
  <c r="U27" i="2"/>
  <c r="U23" i="2"/>
  <c r="T37" i="2"/>
  <c r="P27" i="2"/>
  <c r="P23" i="2"/>
  <c r="T27" i="2"/>
  <c r="T23" i="2"/>
  <c r="D4" i="1"/>
  <c r="AA43" i="2" l="1"/>
  <c r="AA32" i="2"/>
  <c r="AD81" i="2"/>
  <c r="AD83" i="2" s="1"/>
  <c r="AC83" i="2"/>
  <c r="AC85" i="2" s="1"/>
  <c r="AC30" i="2"/>
  <c r="AC43" i="2" s="1"/>
  <c r="W55" i="2"/>
  <c r="W47" i="2"/>
  <c r="AD30" i="2"/>
  <c r="AD42" i="2"/>
  <c r="AB30" i="2"/>
  <c r="AB42" i="2"/>
  <c r="Y68" i="2"/>
  <c r="Z68" i="2" s="1"/>
  <c r="Z73" i="2"/>
  <c r="Y75" i="2"/>
  <c r="Y76" i="2" s="1"/>
  <c r="Z78" i="2"/>
  <c r="Z67" i="2"/>
  <c r="X76" i="2"/>
  <c r="X70" i="2"/>
  <c r="Y70" i="2" s="1"/>
  <c r="Z70" i="2" s="1"/>
  <c r="X24" i="2"/>
  <c r="X28" i="2" s="1"/>
  <c r="W76" i="2"/>
  <c r="W85" i="2" s="1"/>
  <c r="X81" i="2"/>
  <c r="U20" i="2"/>
  <c r="U36" i="2" s="1"/>
  <c r="X47" i="2"/>
  <c r="AO20" i="2"/>
  <c r="AO41" i="2"/>
  <c r="AP20" i="2"/>
  <c r="AP24" i="2" s="1"/>
  <c r="AQ20" i="2"/>
  <c r="AQ24" i="2" s="1"/>
  <c r="AQ39" i="2" s="1"/>
  <c r="AP41" i="2"/>
  <c r="AS20" i="2"/>
  <c r="AR20" i="2"/>
  <c r="AR24" i="2" s="1"/>
  <c r="AR39" i="2" s="1"/>
  <c r="AZ20" i="2"/>
  <c r="AZ24" i="2" s="1"/>
  <c r="AZ39" i="2" s="1"/>
  <c r="AT20" i="2"/>
  <c r="BK37" i="2"/>
  <c r="AU20" i="2"/>
  <c r="AU24" i="2" s="1"/>
  <c r="AY20" i="2"/>
  <c r="AY41" i="2"/>
  <c r="AX41" i="2"/>
  <c r="AX20" i="2"/>
  <c r="AX24" i="2" s="1"/>
  <c r="AX39" i="2" s="1"/>
  <c r="AU41" i="2"/>
  <c r="AW20" i="2"/>
  <c r="AV20" i="2"/>
  <c r="AX28" i="2"/>
  <c r="BE20" i="2"/>
  <c r="BE24" i="2" s="1"/>
  <c r="BE28" i="2" s="1"/>
  <c r="BE30" i="2" s="1"/>
  <c r="C28" i="2"/>
  <c r="C30" i="2" s="1"/>
  <c r="C32" i="2" s="1"/>
  <c r="C33" i="2" s="1"/>
  <c r="BA41" i="2"/>
  <c r="BA20" i="2"/>
  <c r="BB36" i="2" s="1"/>
  <c r="BB24" i="2"/>
  <c r="BF20" i="2"/>
  <c r="BF24" i="2" s="1"/>
  <c r="BB41" i="2"/>
  <c r="BC20" i="2"/>
  <c r="BD20" i="2"/>
  <c r="F12" i="2"/>
  <c r="BJ12" i="2"/>
  <c r="W24" i="2"/>
  <c r="W39" i="2" s="1"/>
  <c r="X36" i="2"/>
  <c r="W36" i="2"/>
  <c r="BK18" i="2"/>
  <c r="BK20" i="2" s="1"/>
  <c r="BN14" i="2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BN16" i="2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D7" i="1"/>
  <c r="BN26" i="2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BN34" i="2"/>
  <c r="BN15" i="2"/>
  <c r="F18" i="2"/>
  <c r="F20" i="2" s="1"/>
  <c r="F24" i="2" s="1"/>
  <c r="F27" i="2"/>
  <c r="BI12" i="2"/>
  <c r="BG24" i="2"/>
  <c r="BG39" i="2" s="1"/>
  <c r="D28" i="2"/>
  <c r="D30" i="2" s="1"/>
  <c r="D32" i="2" s="1"/>
  <c r="D33" i="2" s="1"/>
  <c r="BI18" i="2"/>
  <c r="BJ18" i="2"/>
  <c r="BJ20" i="2" s="1"/>
  <c r="E24" i="2"/>
  <c r="L41" i="2"/>
  <c r="BI40" i="2"/>
  <c r="BH36" i="2"/>
  <c r="M41" i="2"/>
  <c r="O41" i="2"/>
  <c r="P41" i="2"/>
  <c r="K41" i="2"/>
  <c r="S41" i="2"/>
  <c r="Q41" i="2"/>
  <c r="BJ40" i="2"/>
  <c r="BG41" i="2"/>
  <c r="BH41" i="2"/>
  <c r="BI38" i="2"/>
  <c r="BJ38" i="2"/>
  <c r="T41" i="2"/>
  <c r="V27" i="2"/>
  <c r="U41" i="2"/>
  <c r="BK22" i="2"/>
  <c r="R41" i="2"/>
  <c r="N41" i="2"/>
  <c r="BK25" i="2"/>
  <c r="BJ37" i="2"/>
  <c r="Q36" i="2"/>
  <c r="BJ23" i="2"/>
  <c r="BJ27" i="2"/>
  <c r="BH24" i="2"/>
  <c r="R24" i="2"/>
  <c r="R39" i="2" s="1"/>
  <c r="K24" i="2"/>
  <c r="O36" i="2"/>
  <c r="BI27" i="2"/>
  <c r="BI23" i="2"/>
  <c r="L24" i="2"/>
  <c r="P36" i="2"/>
  <c r="M24" i="2"/>
  <c r="T24" i="2"/>
  <c r="T39" i="2" s="1"/>
  <c r="N24" i="2"/>
  <c r="R36" i="2"/>
  <c r="S36" i="2"/>
  <c r="O24" i="2"/>
  <c r="S24" i="2"/>
  <c r="Q24" i="2"/>
  <c r="T36" i="2"/>
  <c r="P24" i="2"/>
  <c r="X71" i="2" l="1"/>
  <c r="U24" i="2"/>
  <c r="Z75" i="2"/>
  <c r="AA33" i="2"/>
  <c r="AA65" i="2"/>
  <c r="AD43" i="2"/>
  <c r="AD32" i="2"/>
  <c r="AC32" i="2"/>
  <c r="AB32" i="2"/>
  <c r="AB43" i="2"/>
  <c r="Y71" i="2"/>
  <c r="Z71" i="2"/>
  <c r="AP36" i="2"/>
  <c r="AR36" i="2"/>
  <c r="X83" i="2"/>
  <c r="X85" i="2" s="1"/>
  <c r="Y81" i="2"/>
  <c r="AQ36" i="2"/>
  <c r="Z76" i="2"/>
  <c r="X39" i="2"/>
  <c r="AS36" i="2"/>
  <c r="Z20" i="2"/>
  <c r="Z41" i="2"/>
  <c r="AS24" i="2"/>
  <c r="AS39" i="2" s="1"/>
  <c r="Y20" i="2"/>
  <c r="Y41" i="2"/>
  <c r="AR28" i="2"/>
  <c r="AR30" i="2" s="1"/>
  <c r="AQ28" i="2"/>
  <c r="X30" i="2"/>
  <c r="X42" i="2"/>
  <c r="AP28" i="2"/>
  <c r="AP39" i="2"/>
  <c r="AO36" i="2"/>
  <c r="AO24" i="2"/>
  <c r="AU28" i="2"/>
  <c r="AU39" i="2"/>
  <c r="AU36" i="2"/>
  <c r="AZ28" i="2"/>
  <c r="AZ30" i="2" s="1"/>
  <c r="AT24" i="2"/>
  <c r="AT36" i="2"/>
  <c r="AZ36" i="2"/>
  <c r="BF36" i="2"/>
  <c r="AX36" i="2"/>
  <c r="AW24" i="2"/>
  <c r="BE39" i="2"/>
  <c r="BE42" i="2"/>
  <c r="AW36" i="2"/>
  <c r="AV24" i="2"/>
  <c r="AV36" i="2"/>
  <c r="BE36" i="2"/>
  <c r="AY24" i="2"/>
  <c r="AY36" i="2"/>
  <c r="AX30" i="2"/>
  <c r="AX42" i="2"/>
  <c r="BG36" i="2"/>
  <c r="BD36" i="2"/>
  <c r="BD24" i="2"/>
  <c r="BC24" i="2"/>
  <c r="BC36" i="2"/>
  <c r="BB28" i="2"/>
  <c r="BB39" i="2"/>
  <c r="BE43" i="2"/>
  <c r="BE32" i="2"/>
  <c r="BE33" i="2" s="1"/>
  <c r="BA24" i="2"/>
  <c r="BA36" i="2"/>
  <c r="BF39" i="2"/>
  <c r="BF28" i="2"/>
  <c r="W28" i="2"/>
  <c r="W30" i="2" s="1"/>
  <c r="BL38" i="2"/>
  <c r="F28" i="2"/>
  <c r="F30" i="2" s="1"/>
  <c r="F32" i="2" s="1"/>
  <c r="F33" i="2" s="1"/>
  <c r="BK27" i="2"/>
  <c r="BL25" i="2"/>
  <c r="BL22" i="2"/>
  <c r="BL40" i="2" s="1"/>
  <c r="BO34" i="2"/>
  <c r="BO15" i="2"/>
  <c r="BG28" i="2"/>
  <c r="BG42" i="2" s="1"/>
  <c r="E28" i="2"/>
  <c r="E39" i="2"/>
  <c r="V40" i="2"/>
  <c r="BK38" i="2"/>
  <c r="BK40" i="2"/>
  <c r="BJ24" i="2"/>
  <c r="BJ41" i="2"/>
  <c r="BH28" i="2"/>
  <c r="BH39" i="2"/>
  <c r="BI20" i="2"/>
  <c r="BI24" i="2" s="1"/>
  <c r="BI41" i="2"/>
  <c r="R28" i="2"/>
  <c r="R30" i="2" s="1"/>
  <c r="T28" i="2"/>
  <c r="T42" i="2" s="1"/>
  <c r="O28" i="2"/>
  <c r="O39" i="2"/>
  <c r="N28" i="2"/>
  <c r="N39" i="2"/>
  <c r="M28" i="2"/>
  <c r="M39" i="2"/>
  <c r="Q28" i="2"/>
  <c r="Q39" i="2"/>
  <c r="K28" i="2"/>
  <c r="K39" i="2"/>
  <c r="L28" i="2"/>
  <c r="L39" i="2"/>
  <c r="P28" i="2"/>
  <c r="P39" i="2"/>
  <c r="U28" i="2"/>
  <c r="U39" i="2"/>
  <c r="S28" i="2"/>
  <c r="S39" i="2"/>
  <c r="Y24" i="2" l="1"/>
  <c r="AC36" i="2"/>
  <c r="Z24" i="2"/>
  <c r="AD36" i="2"/>
  <c r="AB33" i="2"/>
  <c r="AB65" i="2"/>
  <c r="AC33" i="2"/>
  <c r="AC65" i="2"/>
  <c r="AD33" i="2"/>
  <c r="AD65" i="2"/>
  <c r="AR42" i="2"/>
  <c r="AS28" i="2"/>
  <c r="AS30" i="2" s="1"/>
  <c r="Z81" i="2"/>
  <c r="Z83" i="2" s="1"/>
  <c r="Z85" i="2" s="1"/>
  <c r="Y83" i="2"/>
  <c r="Y85" i="2" s="1"/>
  <c r="Z39" i="2"/>
  <c r="Z28" i="2"/>
  <c r="AZ42" i="2"/>
  <c r="Y36" i="2"/>
  <c r="AO28" i="2"/>
  <c r="AO39" i="2"/>
  <c r="AP30" i="2"/>
  <c r="AP42" i="2"/>
  <c r="X43" i="2"/>
  <c r="X32" i="2"/>
  <c r="W42" i="2"/>
  <c r="BM38" i="2"/>
  <c r="AT28" i="2"/>
  <c r="AT39" i="2"/>
  <c r="AQ30" i="2"/>
  <c r="AQ42" i="2"/>
  <c r="AR32" i="2"/>
  <c r="AR33" i="2" s="1"/>
  <c r="AR43" i="2"/>
  <c r="AU30" i="2"/>
  <c r="AU42" i="2"/>
  <c r="BG30" i="2"/>
  <c r="BG32" i="2" s="1"/>
  <c r="BG33" i="2" s="1"/>
  <c r="AY39" i="2"/>
  <c r="AY28" i="2"/>
  <c r="AV39" i="2"/>
  <c r="AV28" i="2"/>
  <c r="AW28" i="2"/>
  <c r="AW39" i="2"/>
  <c r="AX32" i="2"/>
  <c r="AX33" i="2" s="1"/>
  <c r="AX43" i="2"/>
  <c r="BA39" i="2"/>
  <c r="BA28" i="2"/>
  <c r="BB30" i="2"/>
  <c r="BB42" i="2"/>
  <c r="BD39" i="2"/>
  <c r="BD28" i="2"/>
  <c r="BF42" i="2"/>
  <c r="BF30" i="2"/>
  <c r="BC28" i="2"/>
  <c r="BC39" i="2"/>
  <c r="AZ32" i="2"/>
  <c r="AZ33" i="2" s="1"/>
  <c r="AZ43" i="2"/>
  <c r="BI36" i="2"/>
  <c r="BJ36" i="2"/>
  <c r="W43" i="2"/>
  <c r="W32" i="2"/>
  <c r="BM25" i="2"/>
  <c r="BL27" i="2"/>
  <c r="BM40" i="2"/>
  <c r="BN19" i="2"/>
  <c r="BN22" i="2" s="1"/>
  <c r="BP34" i="2"/>
  <c r="BP15" i="2"/>
  <c r="E30" i="2"/>
  <c r="E42" i="2"/>
  <c r="BI28" i="2"/>
  <c r="BI39" i="2"/>
  <c r="T30" i="2"/>
  <c r="T43" i="2" s="1"/>
  <c r="BJ28" i="2"/>
  <c r="BJ39" i="2"/>
  <c r="BH30" i="2"/>
  <c r="BH42" i="2"/>
  <c r="R42" i="2"/>
  <c r="R32" i="2"/>
  <c r="R33" i="2" s="1"/>
  <c r="R43" i="2"/>
  <c r="P30" i="2"/>
  <c r="P42" i="2"/>
  <c r="L30" i="2"/>
  <c r="L42" i="2"/>
  <c r="K30" i="2"/>
  <c r="K42" i="2"/>
  <c r="M30" i="2"/>
  <c r="M42" i="2"/>
  <c r="Q30" i="2"/>
  <c r="Q42" i="2"/>
  <c r="N30" i="2"/>
  <c r="N42" i="2"/>
  <c r="O30" i="2"/>
  <c r="O42" i="2"/>
  <c r="S30" i="2"/>
  <c r="S42" i="2"/>
  <c r="U30" i="2"/>
  <c r="U42" i="2"/>
  <c r="AS42" i="2" l="1"/>
  <c r="T32" i="2"/>
  <c r="T33" i="2" s="1"/>
  <c r="Z30" i="2"/>
  <c r="Z43" i="2" s="1"/>
  <c r="Z42" i="2"/>
  <c r="X33" i="2"/>
  <c r="X65" i="2"/>
  <c r="Y39" i="2"/>
  <c r="Y28" i="2"/>
  <c r="W33" i="2"/>
  <c r="W65" i="2"/>
  <c r="AS32" i="2"/>
  <c r="AS33" i="2" s="1"/>
  <c r="AS43" i="2"/>
  <c r="BN38" i="2"/>
  <c r="AQ43" i="2"/>
  <c r="AQ32" i="2"/>
  <c r="AQ33" i="2" s="1"/>
  <c r="AT30" i="2"/>
  <c r="AT42" i="2"/>
  <c r="AP32" i="2"/>
  <c r="AP33" i="2" s="1"/>
  <c r="AP43" i="2"/>
  <c r="AO30" i="2"/>
  <c r="AO42" i="2"/>
  <c r="AU32" i="2"/>
  <c r="AU33" i="2" s="1"/>
  <c r="AU43" i="2"/>
  <c r="BG43" i="2"/>
  <c r="AW30" i="2"/>
  <c r="AW42" i="2"/>
  <c r="AV30" i="2"/>
  <c r="AV42" i="2"/>
  <c r="AY30" i="2"/>
  <c r="AY42" i="2"/>
  <c r="BF32" i="2"/>
  <c r="BF33" i="2" s="1"/>
  <c r="BF43" i="2"/>
  <c r="BD42" i="2"/>
  <c r="BD30" i="2"/>
  <c r="BA30" i="2"/>
  <c r="BA42" i="2"/>
  <c r="BC42" i="2"/>
  <c r="BC30" i="2"/>
  <c r="BB32" i="2"/>
  <c r="BB33" i="2" s="1"/>
  <c r="BB43" i="2"/>
  <c r="BN25" i="2"/>
  <c r="BM27" i="2"/>
  <c r="BO19" i="2"/>
  <c r="BO22" i="2" s="1"/>
  <c r="BN40" i="2"/>
  <c r="BQ34" i="2"/>
  <c r="BQ15" i="2"/>
  <c r="E32" i="2"/>
  <c r="E33" i="2" s="1"/>
  <c r="E43" i="2"/>
  <c r="BH32" i="2"/>
  <c r="BH33" i="2" s="1"/>
  <c r="BH43" i="2"/>
  <c r="BJ30" i="2"/>
  <c r="BJ42" i="2"/>
  <c r="BI30" i="2"/>
  <c r="BI42" i="2"/>
  <c r="S32" i="2"/>
  <c r="S33" i="2" s="1"/>
  <c r="S43" i="2"/>
  <c r="U32" i="2"/>
  <c r="U33" i="2" s="1"/>
  <c r="U43" i="2"/>
  <c r="O32" i="2"/>
  <c r="O33" i="2" s="1"/>
  <c r="O43" i="2"/>
  <c r="N32" i="2"/>
  <c r="N33" i="2" s="1"/>
  <c r="N43" i="2"/>
  <c r="Q32" i="2"/>
  <c r="Q33" i="2" s="1"/>
  <c r="Q43" i="2"/>
  <c r="M32" i="2"/>
  <c r="M33" i="2" s="1"/>
  <c r="M43" i="2"/>
  <c r="K32" i="2"/>
  <c r="K33" i="2" s="1"/>
  <c r="K43" i="2"/>
  <c r="L32" i="2"/>
  <c r="L33" i="2" s="1"/>
  <c r="L43" i="2"/>
  <c r="P32" i="2"/>
  <c r="P33" i="2" s="1"/>
  <c r="P43" i="2"/>
  <c r="Z32" i="2" l="1"/>
  <c r="Y30" i="2"/>
  <c r="Y42" i="2"/>
  <c r="BO38" i="2"/>
  <c r="AO32" i="2"/>
  <c r="AO33" i="2" s="1"/>
  <c r="AO43" i="2"/>
  <c r="AT32" i="2"/>
  <c r="AT33" i="2" s="1"/>
  <c r="AT43" i="2"/>
  <c r="AY32" i="2"/>
  <c r="AY33" i="2" s="1"/>
  <c r="AY43" i="2"/>
  <c r="AV32" i="2"/>
  <c r="AV33" i="2" s="1"/>
  <c r="AV43" i="2"/>
  <c r="AW32" i="2"/>
  <c r="AW33" i="2" s="1"/>
  <c r="AW43" i="2"/>
  <c r="BA43" i="2"/>
  <c r="BA32" i="2"/>
  <c r="BA33" i="2" s="1"/>
  <c r="BC32" i="2"/>
  <c r="BC33" i="2" s="1"/>
  <c r="BC43" i="2"/>
  <c r="BD43" i="2"/>
  <c r="BD32" i="2"/>
  <c r="BD33" i="2" s="1"/>
  <c r="BO25" i="2"/>
  <c r="BN27" i="2"/>
  <c r="BP19" i="2"/>
  <c r="BP22" i="2" s="1"/>
  <c r="BO40" i="2"/>
  <c r="BR34" i="2"/>
  <c r="BR15" i="2"/>
  <c r="BI32" i="2"/>
  <c r="BI33" i="2" s="1"/>
  <c r="BI43" i="2"/>
  <c r="BJ32" i="2"/>
  <c r="BJ33" i="2" s="1"/>
  <c r="BJ43" i="2"/>
  <c r="V37" i="2"/>
  <c r="Z33" i="2" l="1"/>
  <c r="Z65" i="2"/>
  <c r="Y43" i="2"/>
  <c r="BP38" i="2"/>
  <c r="BO27" i="2"/>
  <c r="BP25" i="2"/>
  <c r="BP40" i="2"/>
  <c r="BQ19" i="2"/>
  <c r="BQ22" i="2" s="1"/>
  <c r="BS34" i="2"/>
  <c r="BS15" i="2"/>
  <c r="V23" i="2"/>
  <c r="BK21" i="2"/>
  <c r="BK23" i="2" s="1"/>
  <c r="Z36" i="2"/>
  <c r="V41" i="2"/>
  <c r="Y32" i="2" l="1"/>
  <c r="BQ38" i="2"/>
  <c r="BP27" i="2"/>
  <c r="BQ25" i="2"/>
  <c r="BR19" i="2"/>
  <c r="BR22" i="2" s="1"/>
  <c r="BQ40" i="2"/>
  <c r="BT34" i="2"/>
  <c r="BT15" i="2"/>
  <c r="V36" i="2"/>
  <c r="V24" i="2"/>
  <c r="BK41" i="2"/>
  <c r="BK36" i="2"/>
  <c r="BK24" i="2"/>
  <c r="Y33" i="2" l="1"/>
  <c r="Y65" i="2"/>
  <c r="BR38" i="2"/>
  <c r="BQ27" i="2"/>
  <c r="BR25" i="2"/>
  <c r="BR40" i="2"/>
  <c r="BS19" i="2"/>
  <c r="BS22" i="2" s="1"/>
  <c r="BU34" i="2"/>
  <c r="BU15" i="2"/>
  <c r="BK28" i="2"/>
  <c r="BK39" i="2"/>
  <c r="V28" i="2"/>
  <c r="V39" i="2"/>
  <c r="BS38" i="2" l="1"/>
  <c r="BL20" i="2"/>
  <c r="BL21" i="2"/>
  <c r="BL23" i="2" s="1"/>
  <c r="BS25" i="2"/>
  <c r="BR27" i="2"/>
  <c r="BT19" i="2"/>
  <c r="BT22" i="2" s="1"/>
  <c r="BS40" i="2"/>
  <c r="BV34" i="2"/>
  <c r="BV15" i="2"/>
  <c r="V42" i="2"/>
  <c r="V30" i="2"/>
  <c r="BK42" i="2"/>
  <c r="BK30" i="2"/>
  <c r="BT38" i="2" l="1"/>
  <c r="BL41" i="2"/>
  <c r="BL24" i="2"/>
  <c r="BL36" i="2"/>
  <c r="BT25" i="2"/>
  <c r="BS27" i="2"/>
  <c r="BU19" i="2"/>
  <c r="BU22" i="2" s="1"/>
  <c r="BT40" i="2"/>
  <c r="BW34" i="2"/>
  <c r="BW15" i="2"/>
  <c r="BU38" i="2" l="1"/>
  <c r="BL28" i="2"/>
  <c r="BL39" i="2"/>
  <c r="BT27" i="2"/>
  <c r="BU25" i="2"/>
  <c r="BV19" i="2"/>
  <c r="BV22" i="2" s="1"/>
  <c r="BU40" i="2"/>
  <c r="BX34" i="2"/>
  <c r="BX15" i="2"/>
  <c r="BK31" i="2"/>
  <c r="V43" i="2"/>
  <c r="V32" i="2"/>
  <c r="V33" i="2" s="1"/>
  <c r="BV38" i="2" l="1"/>
  <c r="BL30" i="2"/>
  <c r="BL31" i="2" s="1"/>
  <c r="BL42" i="2"/>
  <c r="BV25" i="2"/>
  <c r="BU27" i="2"/>
  <c r="BW19" i="2"/>
  <c r="BW22" i="2" s="1"/>
  <c r="BV40" i="2"/>
  <c r="BY34" i="2"/>
  <c r="BY15" i="2"/>
  <c r="BK43" i="2"/>
  <c r="BK32" i="2"/>
  <c r="BK33" i="2" s="1"/>
  <c r="BW38" i="2" l="1"/>
  <c r="BL32" i="2"/>
  <c r="BL33" i="2" s="1"/>
  <c r="BL43" i="2"/>
  <c r="BV27" i="2"/>
  <c r="BW25" i="2"/>
  <c r="BX19" i="2"/>
  <c r="BX22" i="2" s="1"/>
  <c r="BW40" i="2"/>
  <c r="BZ34" i="2"/>
  <c r="BZ15" i="2"/>
  <c r="BX38" i="2" l="1"/>
  <c r="BX25" i="2"/>
  <c r="BW27" i="2"/>
  <c r="BY19" i="2"/>
  <c r="BY22" i="2" s="1"/>
  <c r="BX40" i="2"/>
  <c r="CA34" i="2"/>
  <c r="CA15" i="2"/>
  <c r="BY38" i="2" l="1"/>
  <c r="BX27" i="2"/>
  <c r="BY25" i="2"/>
  <c r="BZ19" i="2"/>
  <c r="BZ22" i="2" s="1"/>
  <c r="BY40" i="2"/>
  <c r="CB34" i="2"/>
  <c r="CB15" i="2"/>
  <c r="BZ38" i="2" l="1"/>
  <c r="BY27" i="2"/>
  <c r="BZ25" i="2"/>
  <c r="CA19" i="2"/>
  <c r="CA22" i="2" s="1"/>
  <c r="BZ40" i="2"/>
  <c r="CC34" i="2"/>
  <c r="CC15" i="2"/>
  <c r="CA38" i="2" l="1"/>
  <c r="CA25" i="2"/>
  <c r="BZ27" i="2"/>
  <c r="CB19" i="2"/>
  <c r="CB22" i="2" s="1"/>
  <c r="CA40" i="2"/>
  <c r="CB38" i="2" l="1"/>
  <c r="CB25" i="2"/>
  <c r="CA27" i="2"/>
  <c r="CC19" i="2"/>
  <c r="CC22" i="2" s="1"/>
  <c r="CB40" i="2"/>
  <c r="CC38" i="2" l="1"/>
  <c r="CC25" i="2"/>
  <c r="CC27" i="2" s="1"/>
  <c r="CB27" i="2"/>
  <c r="CC40" i="2"/>
  <c r="BK11" i="2"/>
  <c r="BK12" i="2" l="1"/>
  <c r="BN12" i="2" l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BM10" i="2"/>
  <c r="BM18" i="2" s="1"/>
  <c r="BN11" i="2"/>
  <c r="BL37" i="2"/>
  <c r="BM21" i="2" l="1"/>
  <c r="BM37" i="2"/>
  <c r="BN10" i="2"/>
  <c r="BO11" i="2"/>
  <c r="BN18" i="2" l="1"/>
  <c r="BN21" i="2" s="1"/>
  <c r="BN37" i="2"/>
  <c r="BO10" i="2"/>
  <c r="BP11" i="2"/>
  <c r="BM23" i="2"/>
  <c r="BM41" i="2" l="1"/>
  <c r="BM24" i="2"/>
  <c r="BM39" i="2" s="1"/>
  <c r="BM36" i="2"/>
  <c r="BQ11" i="2"/>
  <c r="BP10" i="2"/>
  <c r="BO37" i="2"/>
  <c r="BO18" i="2"/>
  <c r="BO21" i="2" s="1"/>
  <c r="BN23" i="2"/>
  <c r="BN41" i="2"/>
  <c r="BN20" i="2"/>
  <c r="BN24" i="2" l="1"/>
  <c r="BN36" i="2"/>
  <c r="BO20" i="2"/>
  <c r="BO23" i="2"/>
  <c r="BP18" i="2"/>
  <c r="BP21" i="2" s="1"/>
  <c r="BP37" i="2"/>
  <c r="BR11" i="2"/>
  <c r="BQ10" i="2"/>
  <c r="BM28" i="2"/>
  <c r="BS11" i="2" l="1"/>
  <c r="BR10" i="2"/>
  <c r="BM42" i="2"/>
  <c r="BM30" i="2"/>
  <c r="BQ18" i="2"/>
  <c r="BQ21" i="2" s="1"/>
  <c r="BQ37" i="2"/>
  <c r="BP20" i="2"/>
  <c r="BP23" i="2"/>
  <c r="BO41" i="2"/>
  <c r="BO24" i="2"/>
  <c r="BO36" i="2"/>
  <c r="BN39" i="2"/>
  <c r="BN28" i="2"/>
  <c r="BO39" i="2" l="1"/>
  <c r="BO28" i="2"/>
  <c r="BP41" i="2"/>
  <c r="BQ20" i="2"/>
  <c r="BQ23" i="2"/>
  <c r="BN30" i="2"/>
  <c r="BN42" i="2"/>
  <c r="BP36" i="2"/>
  <c r="BP24" i="2"/>
  <c r="BM31" i="2"/>
  <c r="BM43" i="2" s="1"/>
  <c r="BR37" i="2"/>
  <c r="BR18" i="2"/>
  <c r="BR21" i="2" s="1"/>
  <c r="BS10" i="2"/>
  <c r="BT11" i="2"/>
  <c r="BM32" i="2" l="1"/>
  <c r="BN31" i="2"/>
  <c r="BN43" i="2" s="1"/>
  <c r="BR23" i="2"/>
  <c r="BR20" i="2"/>
  <c r="BR41" i="2"/>
  <c r="BP28" i="2"/>
  <c r="BP39" i="2"/>
  <c r="BQ36" i="2"/>
  <c r="BQ24" i="2"/>
  <c r="BT10" i="2"/>
  <c r="BU11" i="2"/>
  <c r="BQ41" i="2"/>
  <c r="BS18" i="2"/>
  <c r="BS21" i="2" s="1"/>
  <c r="BS37" i="2"/>
  <c r="BO42" i="2"/>
  <c r="BO30" i="2"/>
  <c r="BM33" i="2" l="1"/>
  <c r="BN32" i="2"/>
  <c r="BN33" i="2" s="1"/>
  <c r="BQ39" i="2"/>
  <c r="BQ28" i="2"/>
  <c r="BO31" i="2"/>
  <c r="BO43" i="2" s="1"/>
  <c r="BR24" i="2"/>
  <c r="BR36" i="2"/>
  <c r="BS20" i="2"/>
  <c r="BS23" i="2"/>
  <c r="BT37" i="2"/>
  <c r="BT18" i="2"/>
  <c r="BT21" i="2" s="1"/>
  <c r="BP30" i="2"/>
  <c r="BP42" i="2"/>
  <c r="BU10" i="2"/>
  <c r="BV11" i="2"/>
  <c r="BT20" i="2" l="1"/>
  <c r="BT23" i="2"/>
  <c r="BV10" i="2"/>
  <c r="BW11" i="2"/>
  <c r="BP31" i="2"/>
  <c r="BP43" i="2" s="1"/>
  <c r="BS41" i="2"/>
  <c r="BR28" i="2"/>
  <c r="BR39" i="2"/>
  <c r="BU37" i="2"/>
  <c r="BU18" i="2"/>
  <c r="BU21" i="2" s="1"/>
  <c r="BO32" i="2"/>
  <c r="BQ30" i="2"/>
  <c r="BQ42" i="2"/>
  <c r="BS36" i="2"/>
  <c r="BS24" i="2"/>
  <c r="BU20" i="2" l="1"/>
  <c r="BU23" i="2"/>
  <c r="BR42" i="2"/>
  <c r="BR30" i="2"/>
  <c r="BX11" i="2"/>
  <c r="BW10" i="2"/>
  <c r="BP32" i="2"/>
  <c r="BP33" i="2" s="1"/>
  <c r="BS28" i="2"/>
  <c r="BS39" i="2"/>
  <c r="BV37" i="2"/>
  <c r="BV18" i="2"/>
  <c r="BV21" i="2" s="1"/>
  <c r="BQ31" i="2"/>
  <c r="BQ43" i="2" s="1"/>
  <c r="BT24" i="2"/>
  <c r="BT36" i="2"/>
  <c r="BO33" i="2"/>
  <c r="BT41" i="2"/>
  <c r="BV20" i="2" l="1"/>
  <c r="BV23" i="2"/>
  <c r="BW18" i="2"/>
  <c r="BW21" i="2" s="1"/>
  <c r="BW37" i="2"/>
  <c r="BT39" i="2"/>
  <c r="BT28" i="2"/>
  <c r="BU24" i="2"/>
  <c r="BU36" i="2"/>
  <c r="BS42" i="2"/>
  <c r="BS30" i="2"/>
  <c r="BX10" i="2"/>
  <c r="BY11" i="2"/>
  <c r="BR31" i="2"/>
  <c r="BR43" i="2" s="1"/>
  <c r="BR32" i="2"/>
  <c r="BR33" i="2" s="1"/>
  <c r="BQ32" i="2"/>
  <c r="BU41" i="2"/>
  <c r="BU28" i="2" l="1"/>
  <c r="BU39" i="2"/>
  <c r="BX18" i="2"/>
  <c r="BX21" i="2" s="1"/>
  <c r="BX37" i="2"/>
  <c r="BT30" i="2"/>
  <c r="BT42" i="2"/>
  <c r="BQ33" i="2"/>
  <c r="BW23" i="2"/>
  <c r="BW20" i="2"/>
  <c r="BW41" i="2"/>
  <c r="BV36" i="2"/>
  <c r="BV24" i="2"/>
  <c r="BS31" i="2"/>
  <c r="BS43" i="2" s="1"/>
  <c r="BZ11" i="2"/>
  <c r="BY10" i="2"/>
  <c r="BV41" i="2"/>
  <c r="BT31" i="2" l="1"/>
  <c r="BT43" i="2" s="1"/>
  <c r="BW24" i="2"/>
  <c r="BW36" i="2"/>
  <c r="BY18" i="2"/>
  <c r="BY21" i="2" s="1"/>
  <c r="BY37" i="2"/>
  <c r="BZ10" i="2"/>
  <c r="CA11" i="2"/>
  <c r="BX20" i="2"/>
  <c r="BX23" i="2"/>
  <c r="BS32" i="2"/>
  <c r="BV28" i="2"/>
  <c r="BV39" i="2"/>
  <c r="BU42" i="2"/>
  <c r="BU30" i="2"/>
  <c r="BT32" i="2" l="1"/>
  <c r="BT33" i="2" s="1"/>
  <c r="BS33" i="2"/>
  <c r="BX36" i="2"/>
  <c r="BX24" i="2"/>
  <c r="BY20" i="2"/>
  <c r="BY23" i="2"/>
  <c r="BX41" i="2"/>
  <c r="CB11" i="2"/>
  <c r="CA10" i="2"/>
  <c r="BZ37" i="2"/>
  <c r="BZ18" i="2"/>
  <c r="BZ21" i="2" s="1"/>
  <c r="BU31" i="2"/>
  <c r="BU43" i="2" s="1"/>
  <c r="BW28" i="2"/>
  <c r="BW39" i="2"/>
  <c r="BV30" i="2"/>
  <c r="BV42" i="2"/>
  <c r="BY41" i="2" l="1"/>
  <c r="BZ20" i="2"/>
  <c r="BZ23" i="2"/>
  <c r="CB10" i="2"/>
  <c r="CC11" i="2"/>
  <c r="CC10" i="2" s="1"/>
  <c r="BX28" i="2"/>
  <c r="BX39" i="2"/>
  <c r="CA18" i="2"/>
  <c r="CA21" i="2" s="1"/>
  <c r="CA37" i="2"/>
  <c r="BV31" i="2"/>
  <c r="BV43" i="2" s="1"/>
  <c r="BY36" i="2"/>
  <c r="BY24" i="2"/>
  <c r="BW30" i="2"/>
  <c r="BW42" i="2"/>
  <c r="BU32" i="2"/>
  <c r="BU33" i="2" s="1"/>
  <c r="BV32" i="2" l="1"/>
  <c r="BV33" i="2" s="1"/>
  <c r="CA23" i="2"/>
  <c r="CA20" i="2"/>
  <c r="CA41" i="2"/>
  <c r="BX30" i="2"/>
  <c r="BX42" i="2"/>
  <c r="CC37" i="2"/>
  <c r="CC18" i="2"/>
  <c r="CC21" i="2" s="1"/>
  <c r="BZ41" i="2"/>
  <c r="CB18" i="2"/>
  <c r="CB21" i="2" s="1"/>
  <c r="CB37" i="2"/>
  <c r="BW31" i="2"/>
  <c r="BW43" i="2" s="1"/>
  <c r="BY28" i="2"/>
  <c r="BY39" i="2"/>
  <c r="BZ36" i="2"/>
  <c r="BZ24" i="2"/>
  <c r="BW32" i="2" l="1"/>
  <c r="BW33" i="2" s="1"/>
  <c r="CB23" i="2"/>
  <c r="CB20" i="2"/>
  <c r="CB41" i="2"/>
  <c r="CC20" i="2"/>
  <c r="CC23" i="2"/>
  <c r="BZ39" i="2"/>
  <c r="BZ28" i="2"/>
  <c r="BX31" i="2"/>
  <c r="BX43" i="2" s="1"/>
  <c r="CA24" i="2"/>
  <c r="CA36" i="2"/>
  <c r="BY30" i="2"/>
  <c r="BY42" i="2"/>
  <c r="CA39" i="2" l="1"/>
  <c r="CA28" i="2"/>
  <c r="BX32" i="2"/>
  <c r="BX33" i="2" s="1"/>
  <c r="BZ30" i="2"/>
  <c r="BZ42" i="2"/>
  <c r="CC41" i="2"/>
  <c r="CC24" i="2"/>
  <c r="CC36" i="2"/>
  <c r="CB36" i="2"/>
  <c r="CB24" i="2"/>
  <c r="BY31" i="2"/>
  <c r="BY43" i="2" s="1"/>
  <c r="BY32" i="2" l="1"/>
  <c r="BY33" i="2" s="1"/>
  <c r="CC28" i="2"/>
  <c r="CC39" i="2"/>
  <c r="BZ31" i="2"/>
  <c r="BZ43" i="2" s="1"/>
  <c r="CB28" i="2"/>
  <c r="CB39" i="2"/>
  <c r="CA30" i="2"/>
  <c r="CA42" i="2"/>
  <c r="CB30" i="2" l="1"/>
  <c r="CB42" i="2"/>
  <c r="CA31" i="2"/>
  <c r="CA43" i="2" s="1"/>
  <c r="BZ32" i="2"/>
  <c r="BZ33" i="2" s="1"/>
  <c r="CC30" i="2"/>
  <c r="CC42" i="2"/>
  <c r="CA32" i="2" l="1"/>
  <c r="CA33" i="2" s="1"/>
  <c r="CC31" i="2"/>
  <c r="CC43" i="2" s="1"/>
  <c r="CB31" i="2"/>
  <c r="CB43" i="2" s="1"/>
  <c r="CC32" i="2" l="1"/>
  <c r="CB32" i="2"/>
  <c r="CB33" i="2" s="1"/>
  <c r="CC33" i="2" l="1"/>
  <c r="CD32" i="2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FL32" i="2" s="1"/>
  <c r="FM32" i="2" s="1"/>
  <c r="FN32" i="2" s="1"/>
  <c r="FO32" i="2" s="1"/>
  <c r="FP32" i="2" s="1"/>
  <c r="FQ32" i="2" s="1"/>
  <c r="FR32" i="2" s="1"/>
  <c r="FS32" i="2" s="1"/>
  <c r="FT32" i="2" s="1"/>
  <c r="FU32" i="2" s="1"/>
  <c r="FV32" i="2" s="1"/>
  <c r="FW32" i="2" s="1"/>
  <c r="FX32" i="2" s="1"/>
  <c r="FY32" i="2" s="1"/>
  <c r="FZ32" i="2" s="1"/>
  <c r="GA32" i="2" s="1"/>
  <c r="GB32" i="2" s="1"/>
  <c r="GC32" i="2" s="1"/>
  <c r="GD32" i="2" s="1"/>
  <c r="GE32" i="2" s="1"/>
  <c r="GF32" i="2" s="1"/>
  <c r="GG32" i="2" s="1"/>
  <c r="GH32" i="2" s="1"/>
  <c r="GI32" i="2" s="1"/>
  <c r="GJ32" i="2" s="1"/>
  <c r="GK32" i="2" s="1"/>
  <c r="CF38" i="2" s="1"/>
  <c r="CF39" i="2" s="1"/>
  <c r="CF40" i="2" s="1"/>
</calcChain>
</file>

<file path=xl/sharedStrings.xml><?xml version="1.0" encoding="utf-8"?>
<sst xmlns="http://schemas.openxmlformats.org/spreadsheetml/2006/main" count="164" uniqueCount="154">
  <si>
    <t>Price</t>
  </si>
  <si>
    <t>Shares</t>
  </si>
  <si>
    <t>MC</t>
  </si>
  <si>
    <t>Cash</t>
  </si>
  <si>
    <t>Debt</t>
  </si>
  <si>
    <t>EV</t>
  </si>
  <si>
    <t>Main</t>
  </si>
  <si>
    <t>Revenue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</si>
  <si>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</si>
  <si>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</si>
  <si>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</si>
  <si>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</si>
  <si>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</si>
  <si>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</si>
  <si>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</si>
  <si>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</si>
  <si>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</si>
  <si>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</si>
  <si>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</si>
  <si>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</si>
  <si>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Products</t>
  </si>
  <si>
    <t>Services</t>
  </si>
  <si>
    <t>Gross Profit</t>
  </si>
  <si>
    <t>COGS</t>
  </si>
  <si>
    <t>COS</t>
  </si>
  <si>
    <t>COP</t>
  </si>
  <si>
    <t>R&amp;D</t>
  </si>
  <si>
    <t>SG&amp;A</t>
  </si>
  <si>
    <t>OpEx</t>
  </si>
  <si>
    <t>OpInc</t>
  </si>
  <si>
    <t>Operating Margin</t>
  </si>
  <si>
    <t>Gross Margin</t>
  </si>
  <si>
    <t>Net Income</t>
  </si>
  <si>
    <t>Taxes</t>
  </si>
  <si>
    <t>Pretax Income</t>
  </si>
  <si>
    <t>Interest</t>
  </si>
  <si>
    <t>EPS</t>
  </si>
  <si>
    <t>iPhone</t>
  </si>
  <si>
    <t>Mac</t>
  </si>
  <si>
    <t>iPad</t>
  </si>
  <si>
    <t>Wearables</t>
  </si>
  <si>
    <t>Revenue y/y</t>
  </si>
  <si>
    <t>iPhone y/y</t>
  </si>
  <si>
    <t>FQ123</t>
  </si>
  <si>
    <t>FQ223</t>
  </si>
  <si>
    <t>FQ323</t>
  </si>
  <si>
    <t>FQ423</t>
  </si>
  <si>
    <t>F2020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</si>
  <si>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</si>
  <si>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</si>
  <si>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</si>
  <si>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</si>
  <si>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</si>
  <si>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</si>
  <si>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</si>
  <si>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</si>
  <si>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</si>
  <si>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</si>
  <si>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</si>
  <si>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</si>
  <si>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</si>
  <si>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</si>
  <si>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</si>
  <si>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</si>
  <si>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</si>
  <si>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</si>
  <si>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</si>
  <si>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</si>
  <si>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FQ319</t>
  </si>
  <si>
    <t>FQ419</t>
  </si>
  <si>
    <t>Tax Rate</t>
  </si>
  <si>
    <t>F2019</t>
  </si>
  <si>
    <t>Services y/y</t>
  </si>
  <si>
    <t>Services Margin</t>
  </si>
  <si>
    <t>Products Margin</t>
  </si>
  <si>
    <t>F2018</t>
  </si>
  <si>
    <t>FQ219</t>
  </si>
  <si>
    <t>FQ119</t>
  </si>
  <si>
    <t>FQ418</t>
  </si>
  <si>
    <t>FQ318</t>
  </si>
  <si>
    <t xml:space="preserve">  Units</t>
  </si>
  <si>
    <t xml:space="preserve">  ASP</t>
  </si>
  <si>
    <t>-</t>
  </si>
  <si>
    <t>FQ218</t>
  </si>
  <si>
    <t>FQ118</t>
  </si>
  <si>
    <t>F2017</t>
  </si>
  <si>
    <t>F2016</t>
  </si>
  <si>
    <t>F2015</t>
  </si>
  <si>
    <t>F2014</t>
  </si>
  <si>
    <t>Discount</t>
  </si>
  <si>
    <t>NPV</t>
  </si>
  <si>
    <t>Terminal</t>
  </si>
  <si>
    <t>Share</t>
  </si>
  <si>
    <t>Upside</t>
  </si>
  <si>
    <t>F2013</t>
  </si>
  <si>
    <t>F2012</t>
  </si>
  <si>
    <t>F2011</t>
  </si>
  <si>
    <t>F2010</t>
  </si>
  <si>
    <t>F2008</t>
  </si>
  <si>
    <t>F2009</t>
  </si>
  <si>
    <t>F2007</t>
  </si>
  <si>
    <t>F2006</t>
  </si>
  <si>
    <t>F2005</t>
  </si>
  <si>
    <t>F2004</t>
  </si>
  <si>
    <t>F2003</t>
  </si>
  <si>
    <t>Employees</t>
  </si>
  <si>
    <t>F2002</t>
  </si>
  <si>
    <t>F2001</t>
  </si>
  <si>
    <t>F2000</t>
  </si>
  <si>
    <t>F1999</t>
  </si>
  <si>
    <t>F1998</t>
  </si>
  <si>
    <t>AR</t>
  </si>
  <si>
    <t>Inventories</t>
  </si>
  <si>
    <t>VTR</t>
  </si>
  <si>
    <t>OCA</t>
  </si>
  <si>
    <t>PP&amp;E</t>
  </si>
  <si>
    <t>ONCA</t>
  </si>
  <si>
    <t>Assets</t>
  </si>
  <si>
    <t>AP</t>
  </si>
  <si>
    <t>OCL</t>
  </si>
  <si>
    <t>DR</t>
  </si>
  <si>
    <t>L+SE</t>
  </si>
  <si>
    <t>SE</t>
  </si>
  <si>
    <t>ONCL</t>
  </si>
  <si>
    <t>Net Cash</t>
  </si>
  <si>
    <t>Model NI</t>
  </si>
  <si>
    <t>Reported NI</t>
  </si>
  <si>
    <t>CFFO</t>
  </si>
  <si>
    <t>D&amp;A</t>
  </si>
  <si>
    <t>SBC</t>
  </si>
  <si>
    <t>Other</t>
  </si>
  <si>
    <t>WC</t>
  </si>
  <si>
    <t>Securities</t>
  </si>
  <si>
    <t>CapEx</t>
  </si>
  <si>
    <t>CFFI</t>
  </si>
  <si>
    <t>ESOP Tax</t>
  </si>
  <si>
    <t>Dividends</t>
  </si>
  <si>
    <t>Buybacks</t>
  </si>
  <si>
    <t>CFFF</t>
  </si>
  <si>
    <t>CIC</t>
  </si>
  <si>
    <t>Americas</t>
  </si>
  <si>
    <t>Europe</t>
  </si>
  <si>
    <t>China</t>
  </si>
  <si>
    <t>Japan</t>
  </si>
  <si>
    <t>APAC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</si>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</sst>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b/>
      <u/>
      <sz val="10"/>
      <color theme="10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0" fontId="1" fillId="0" borderId="0" xfId="0" applyFont="1"/>
    <xf numFmtId="9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9" fontId="0" fillId="0" borderId="0" xfId="0" applyNumberFormat="1" applyAlignment="1">
      <alignment horizontal="right"/>
    </xf>
    <xf numFmtId="164" fontId="1" fillId="0" borderId="0" xfId="0" applyNumberFormat="1" applyFont="1"/>
    <xf numFmtId="3" fontId="4" fillId="0" borderId="0" xfId="1" applyNumberFormat="1" applyFont="1"/>
    <xf numFmtId="0" fontId="0" fillId="0" borderId="0" xfId="0" applyAlignment="1">
      <alignment horizontal="left"/>
    </xf>
    <xf numFmtId="14" fontId="2" fillId="0" borderId="0" xfId="1" applyNumberFormat="1"/>
    <xf numFmtId="14" fontId="0" fillId="0" borderId="0" xfId="0" applyNumberFormat="1"/>
    <xf numFmtId="9" fontId="1" fillId="0" borderId="0" xfId="2" applyFont="1"/>
    <xf numFmtId="9" fontId="0" fillId="0" borderId="0" xfId="2" applyFont="1"/>
    <xf numFmtId="0" fontId="6" fillId="0" borderId="0" xfId="0" applyFont="1"/>
    <xf numFmtId="3" fontId="6" fillId="0" borderId="0" xfId="0" applyNumberFormat="1" applyFont="1"/>
  </cellXfs>
  <cellStyles count="3">
    <cellStyle name="Hiperłącze" xfId="1" builtinId="8"/>
    <cellStyle name="Normalny" xfId="0" builtinId="0"/>
    <cellStyle name="Procentowy" xfId="2" builtinId="5"/>
  </cellStyles>
  <dxfs count="0"/>
  <tableStyles count="1" defaultTableStyle="TableStyleMedium2" defaultPivotStyle="PivotStyleLight16">
    <tableStyle name="Invisible" pivot="0" table="0" count="0" xr9:uid="{4B89609E-8C38-4C95-9BD7-2D6BB48CEE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9514</xdr:colOff>
      <xdr:row>1</xdr:row>
      <xdr:rowOff>18230</xdr:rowOff>
    </xdr:from>
    <xdr:to>
      <xdr:col>28</xdr:col>
      <xdr:colOff>9514</xdr:colOff>
      <xdr:row>107</xdr:row>
      <xdr:rowOff>77350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D68348-A060-50E6-8AB4-DCB7C4ABE47A}"/>
            </a:ext>
          </a:extLst>
        </xdr:cNvPr>
        <xdr:cNvCxnSpPr/>
      </xdr:nvCxnSpPr>
      <xdr:spPr>
        <a:xfrm>
          <a:off x="18893380" y="184364"/>
          <a:ext cx="0" cy="17669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11012</xdr:colOff>
      <xdr:row>1</xdr:row>
      <xdr:rowOff>95590</xdr:rowOff>
    </xdr:from>
    <xdr:to>
      <xdr:col>64</xdr:col>
      <xdr:colOff>11012</xdr:colOff>
      <xdr:row>47</xdr:row>
      <xdr:rowOff>140175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52C4C6-E0AF-47E7-92E4-1D02308597DB}"/>
            </a:ext>
          </a:extLst>
        </xdr:cNvPr>
        <xdr:cNvCxnSpPr/>
      </xdr:nvCxnSpPr>
      <xdr:spPr>
        <a:xfrm>
          <a:off x="41555518" y="261724"/>
          <a:ext cx="0" cy="76867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c.gov/Archives/edgar/data/320193/000119312509214859/d10k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42F4-D3F6-42E5-97CD-AE20E0C5C6C6}">
  <dimension ref="C2:E7"/>
  <sheetViews>
    <sheetView zoomScale="120" zoomScaleNormal="120" workbookViewId="0">
      <selection activeCell="D7" sqref="D7"/>
    </sheetView>
  </sheetViews>
  <sheetFormatPr defaultRowHeight="13.2" x14ac:dyDescent="0.25"/>
  <cols>
    <col min="2" max="2" width="9.109375" customWidth="1"/>
    <col min="4" max="4" width="9.88671875" customWidth="1"/>
  </cols>
  <sheetData>
    <row r="2" spans="3:5" x14ac:dyDescent="0.25">
      <c r="C2" t="s">
        <v>0</v>
      </c>
      <c r="D2" s="6">
        <v>222.91</v>
      </c>
    </row>
    <row r="3" spans="3:5" x14ac:dyDescent="0.25">
      <c r="C3" t="s">
        <v>1</v>
      </c>
      <c r="D3" s="2">
        <v>15408.094999999999</v>
      </c>
      <c r="E3" s="1" t="s">
        <v>153</v>
      </c>
    </row>
    <row r="4" spans="3:5" x14ac:dyDescent="0.25">
      <c r="C4" t="s">
        <v>2</v>
      </c>
      <c r="D4" s="2">
        <f>+D2*D3</f>
        <v>3434618.4564499999</v>
      </c>
      <c r="E4" s="1" t="s">
        <v>153</v>
      </c>
    </row>
    <row r="5" spans="3:5" x14ac:dyDescent="0.25">
      <c r="C5" t="s">
        <v>3</v>
      </c>
      <c r="D5" s="2">
        <v>156650</v>
      </c>
      <c r="E5" s="1" t="s">
        <v>153</v>
      </c>
    </row>
    <row r="6" spans="3:5" x14ac:dyDescent="0.25">
      <c r="C6" t="s">
        <v>4</v>
      </c>
      <c r="D6" s="2">
        <f>9967+10912+85750</f>
        <v>106629</v>
      </c>
      <c r="E6" s="1" t="s">
        <v>153</v>
      </c>
    </row>
    <row r="7" spans="3:5" x14ac:dyDescent="0.25">
      <c r="C7" t="s">
        <v>5</v>
      </c>
      <c r="D7" s="2">
        <f>+D4-D5+D6</f>
        <v>3384597.4564499999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088-6F7F-4776-A4C2-8340505BB8E8}">
  <dimension ref="A1:GK85"/>
  <sheetViews>
    <sheetView tabSelected="1" zoomScale="86" zoomScaleNormal="130" workbookViewId="0">
      <pane xSplit="2" ySplit="3" topLeftCell="T40" activePane="bottomRight" state="frozen"/>
      <selection pane="topRight" activeCell="C1" sqref="C1"/>
      <selection pane="bottomLeft" activeCell="A3" sqref="A3"/>
      <selection pane="bottomRight" activeCell="AF86" sqref="AF86"/>
    </sheetView>
  </sheetViews>
  <sheetFormatPr defaultRowHeight="13.2" x14ac:dyDescent="0.25"/>
  <cols>
    <col min="1" max="1" width="5" bestFit="1" customWidth="1"/>
    <col min="2" max="2" width="15.88671875" customWidth="1"/>
    <col min="3" max="14" width="10.109375" bestFit="1" customWidth="1"/>
    <col min="15" max="15" width="9.109375" customWidth="1"/>
    <col min="16" max="24" width="10.109375" bestFit="1" customWidth="1"/>
    <col min="25" max="25" width="10.109375" style="2" bestFit="1" customWidth="1"/>
    <col min="26" max="30" width="10.109375" bestFit="1" customWidth="1"/>
    <col min="31" max="36" width="10.109375" customWidth="1"/>
    <col min="62" max="80" width="10.109375" bestFit="1" customWidth="1"/>
    <col min="81" max="81" width="9.5546875" customWidth="1"/>
    <col min="84" max="84" width="10.88671875" customWidth="1"/>
  </cols>
  <sheetData>
    <row r="1" spans="1:81" x14ac:dyDescent="0.25">
      <c r="A1" s="3" t="s">
        <v>6</v>
      </c>
    </row>
    <row r="2" spans="1:81" s="16" customFormat="1" x14ac:dyDescent="0.25">
      <c r="A2" s="15"/>
      <c r="C2" s="16">
        <v>43099</v>
      </c>
      <c r="D2" s="16">
        <v>43190</v>
      </c>
      <c r="E2" s="16">
        <v>43281</v>
      </c>
      <c r="F2" s="16">
        <f>+G2-91</f>
        <v>43373</v>
      </c>
      <c r="G2" s="16">
        <f>+H2-91</f>
        <v>43464</v>
      </c>
      <c r="H2" s="16">
        <f>+I2-91</f>
        <v>43555</v>
      </c>
      <c r="I2" s="16">
        <f>+J2-91</f>
        <v>43646</v>
      </c>
      <c r="J2" s="16">
        <f>+K2-90</f>
        <v>43737</v>
      </c>
      <c r="K2" s="16">
        <v>43827</v>
      </c>
      <c r="L2" s="16">
        <v>43918</v>
      </c>
      <c r="M2" s="16">
        <v>44009</v>
      </c>
      <c r="N2" s="16">
        <v>44100</v>
      </c>
      <c r="O2" s="16">
        <v>44191</v>
      </c>
      <c r="P2" s="16">
        <v>44282</v>
      </c>
      <c r="Q2" s="16">
        <v>44373</v>
      </c>
      <c r="R2" s="16">
        <v>44464</v>
      </c>
      <c r="S2" s="16">
        <v>44555</v>
      </c>
      <c r="T2" s="16">
        <v>44646</v>
      </c>
      <c r="U2" s="16">
        <v>44737</v>
      </c>
      <c r="V2" s="16">
        <f>+R2+365</f>
        <v>44829</v>
      </c>
      <c r="W2" s="16">
        <v>44926</v>
      </c>
      <c r="X2" s="16">
        <v>45017</v>
      </c>
      <c r="Y2" s="16">
        <v>45108</v>
      </c>
      <c r="Z2" s="16">
        <v>45199</v>
      </c>
      <c r="AA2" s="16">
        <v>45290</v>
      </c>
      <c r="AB2" s="16">
        <v>45381</v>
      </c>
      <c r="AC2" s="16">
        <f>AB2+91</f>
        <v>45472</v>
      </c>
      <c r="AD2" s="16">
        <f>AC2+91</f>
        <v>45563</v>
      </c>
      <c r="AE2" s="16">
        <f>AD2+90</f>
        <v>45653</v>
      </c>
      <c r="AF2" s="16">
        <f>AE2+90</f>
        <v>45743</v>
      </c>
      <c r="AG2" s="16">
        <f>AF2+90</f>
        <v>45833</v>
      </c>
      <c r="AH2" s="16">
        <f>AG2+90</f>
        <v>45923</v>
      </c>
      <c r="BJ2" s="16">
        <v>44464</v>
      </c>
      <c r="BK2" s="16">
        <v>44828</v>
      </c>
      <c r="BL2" s="16">
        <f>Z2</f>
        <v>45199</v>
      </c>
      <c r="BM2" s="16">
        <f>BL2+366</f>
        <v>45565</v>
      </c>
      <c r="BN2" s="16">
        <f>BM2+365</f>
        <v>45930</v>
      </c>
      <c r="BO2" s="16">
        <f>BN2+365</f>
        <v>46295</v>
      </c>
      <c r="BP2" s="16">
        <f>BO2+365</f>
        <v>46660</v>
      </c>
      <c r="BQ2" s="16">
        <f>BP2+366</f>
        <v>47026</v>
      </c>
      <c r="BR2" s="16">
        <f>BQ2+365</f>
        <v>47391</v>
      </c>
      <c r="BS2" s="16">
        <f>BR2+365</f>
        <v>47756</v>
      </c>
      <c r="BT2" s="16">
        <f>BS2+365</f>
        <v>48121</v>
      </c>
      <c r="BU2" s="16">
        <f>BT2+366</f>
        <v>48487</v>
      </c>
      <c r="BV2" s="16">
        <f>BU2+365</f>
        <v>48852</v>
      </c>
      <c r="BW2" s="16">
        <f>BV2+365</f>
        <v>49217</v>
      </c>
      <c r="BX2" s="16">
        <f>BW2+365</f>
        <v>49582</v>
      </c>
      <c r="BY2" s="16">
        <f>BX2+366</f>
        <v>49948</v>
      </c>
      <c r="BZ2" s="16">
        <f>BY2+365</f>
        <v>50313</v>
      </c>
      <c r="CA2" s="16">
        <f>BZ2+365</f>
        <v>50678</v>
      </c>
      <c r="CB2" s="16">
        <f>CA2+365</f>
        <v>51043</v>
      </c>
      <c r="CC2" s="16">
        <f>CB2+366</f>
        <v>51409</v>
      </c>
    </row>
    <row r="3" spans="1:81" s="1" customFormat="1" x14ac:dyDescent="0.25">
      <c r="C3" s="1" t="s">
        <v>84</v>
      </c>
      <c r="D3" s="1" t="s">
        <v>83</v>
      </c>
      <c r="E3" s="1" t="s">
        <v>79</v>
      </c>
      <c r="F3" s="1" t="s">
        <v>78</v>
      </c>
      <c r="G3" s="1" t="s">
        <v>77</v>
      </c>
      <c r="H3" s="1" t="s">
        <v>76</v>
      </c>
      <c r="I3" s="1" t="s">
        <v>68</v>
      </c>
      <c r="J3" s="1" t="s">
        <v>69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43</v>
      </c>
      <c r="X3" s="1" t="s">
        <v>44</v>
      </c>
      <c r="Y3" s="7" t="s">
        <v>45</v>
      </c>
      <c r="Z3" s="1" t="s">
        <v>46</v>
      </c>
      <c r="AA3" s="1" t="s">
        <v>145</v>
      </c>
      <c r="AB3" s="1" t="s">
        <v>146</v>
      </c>
      <c r="AC3" s="1" t="s">
        <v>147</v>
      </c>
      <c r="AD3" s="1" t="s">
        <v>148</v>
      </c>
      <c r="AE3" s="1" t="s">
        <v>149</v>
      </c>
      <c r="AF3" s="1" t="s">
        <v>150</v>
      </c>
      <c r="AG3" s="1" t="s">
        <v>151</v>
      </c>
      <c r="AH3" s="1" t="s">
        <v>152</v>
      </c>
      <c r="AM3" s="1" t="s">
        <v>110</v>
      </c>
      <c r="AN3" s="1" t="s">
        <v>109</v>
      </c>
      <c r="AO3" s="1" t="s">
        <v>108</v>
      </c>
      <c r="AP3" s="1" t="s">
        <v>107</v>
      </c>
      <c r="AQ3" s="1" t="s">
        <v>106</v>
      </c>
      <c r="AR3" s="1" t="s">
        <v>104</v>
      </c>
      <c r="AS3" s="1" t="s">
        <v>103</v>
      </c>
      <c r="AT3" s="1" t="s">
        <v>102</v>
      </c>
      <c r="AU3" s="1" t="s">
        <v>101</v>
      </c>
      <c r="AV3" s="1" t="s">
        <v>100</v>
      </c>
      <c r="AW3" s="1" t="s">
        <v>98</v>
      </c>
      <c r="AX3" s="1" t="s">
        <v>99</v>
      </c>
      <c r="AY3" s="1" t="s">
        <v>97</v>
      </c>
      <c r="AZ3" s="1" t="s">
        <v>96</v>
      </c>
      <c r="BA3" s="1" t="s">
        <v>95</v>
      </c>
      <c r="BB3" s="1" t="s">
        <v>94</v>
      </c>
      <c r="BC3" s="1" t="s">
        <v>88</v>
      </c>
      <c r="BD3" s="1" t="s">
        <v>87</v>
      </c>
      <c r="BE3" s="1" t="s">
        <v>86</v>
      </c>
      <c r="BF3" s="1" t="s">
        <v>85</v>
      </c>
      <c r="BG3" s="1" t="s">
        <v>75</v>
      </c>
      <c r="BH3" s="1" t="s">
        <v>71</v>
      </c>
      <c r="BI3" s="1" t="s">
        <v>47</v>
      </c>
      <c r="BJ3" s="1" t="s">
        <v>48</v>
      </c>
      <c r="BK3" s="1" t="s">
        <v>49</v>
      </c>
      <c r="BL3" s="1" t="s">
        <v>50</v>
      </c>
      <c r="BM3" s="1" t="s">
        <v>51</v>
      </c>
      <c r="BN3" s="1" t="s">
        <v>52</v>
      </c>
      <c r="BO3" s="1" t="s">
        <v>53</v>
      </c>
      <c r="BP3" s="1" t="s">
        <v>54</v>
      </c>
      <c r="BQ3" s="1" t="s">
        <v>55</v>
      </c>
      <c r="BR3" s="1" t="s">
        <v>56</v>
      </c>
      <c r="BS3" s="1" t="s">
        <v>57</v>
      </c>
      <c r="BT3" s="1" t="s">
        <v>58</v>
      </c>
      <c r="BU3" s="1" t="s">
        <v>59</v>
      </c>
      <c r="BV3" s="1" t="s">
        <v>60</v>
      </c>
      <c r="BW3" s="1" t="s">
        <v>61</v>
      </c>
      <c r="BX3" s="1" t="s">
        <v>62</v>
      </c>
      <c r="BY3" s="1" t="s">
        <v>63</v>
      </c>
      <c r="BZ3" s="1" t="s">
        <v>64</v>
      </c>
      <c r="CA3" s="1" t="s">
        <v>65</v>
      </c>
      <c r="CB3" s="1" t="s">
        <v>66</v>
      </c>
      <c r="CC3" s="1" t="s">
        <v>67</v>
      </c>
    </row>
    <row r="4" spans="1:81" s="1" customFormat="1" x14ac:dyDescent="0.25">
      <c r="B4" s="14" t="s">
        <v>140</v>
      </c>
      <c r="T4" s="7">
        <v>40882</v>
      </c>
      <c r="U4" s="7"/>
      <c r="V4" s="7"/>
      <c r="W4" s="7">
        <v>49278</v>
      </c>
      <c r="X4" s="7">
        <v>37784</v>
      </c>
      <c r="Y4" s="7">
        <v>35383</v>
      </c>
      <c r="Z4" s="7">
        <f>162560-Y4-X4-W4</f>
        <v>40115</v>
      </c>
      <c r="AA4" s="7">
        <v>50430</v>
      </c>
      <c r="AB4" s="7">
        <v>37273</v>
      </c>
      <c r="AC4" s="7">
        <v>37678</v>
      </c>
      <c r="AD4" s="7">
        <f>167045-AC4-AB4-AA4</f>
        <v>41664</v>
      </c>
      <c r="AE4" s="7"/>
      <c r="AF4" s="7"/>
      <c r="AG4" s="7"/>
      <c r="AH4" s="7"/>
      <c r="AI4" s="7"/>
      <c r="AJ4" s="7"/>
      <c r="AK4" s="7"/>
      <c r="AL4" s="7"/>
      <c r="AM4" s="7"/>
    </row>
    <row r="5" spans="1:81" s="1" customFormat="1" x14ac:dyDescent="0.25">
      <c r="B5" s="14" t="s">
        <v>141</v>
      </c>
      <c r="T5" s="7">
        <v>23287</v>
      </c>
      <c r="U5" s="7"/>
      <c r="V5" s="7"/>
      <c r="W5" s="7">
        <v>27681</v>
      </c>
      <c r="X5" s="7">
        <v>23945</v>
      </c>
      <c r="Y5" s="7">
        <v>20205</v>
      </c>
      <c r="Z5" s="7">
        <f>94294-Y5-X5-W5</f>
        <v>22463</v>
      </c>
      <c r="AA5" s="7">
        <v>30397</v>
      </c>
      <c r="AB5" s="7">
        <v>24123</v>
      </c>
      <c r="AC5" s="7">
        <v>21884</v>
      </c>
      <c r="AD5" s="7">
        <f>101328-AC5-AB5-AA5</f>
        <v>24924</v>
      </c>
      <c r="AE5" s="7"/>
      <c r="AF5" s="7"/>
      <c r="AG5" s="7"/>
      <c r="AH5" s="7"/>
      <c r="AI5" s="7"/>
      <c r="AJ5" s="7"/>
      <c r="AK5" s="7"/>
      <c r="AL5" s="7"/>
      <c r="AM5" s="7"/>
    </row>
    <row r="6" spans="1:81" s="1" customFormat="1" x14ac:dyDescent="0.25">
      <c r="B6" s="14" t="s">
        <v>142</v>
      </c>
      <c r="T6" s="7">
        <v>18343</v>
      </c>
      <c r="U6" s="7"/>
      <c r="V6" s="7"/>
      <c r="W6" s="7">
        <v>23905</v>
      </c>
      <c r="X6" s="7">
        <v>17812</v>
      </c>
      <c r="Y6" s="7">
        <v>15758</v>
      </c>
      <c r="Z6" s="7">
        <f>72559-Y6-X6-W6</f>
        <v>15084</v>
      </c>
      <c r="AA6" s="7">
        <v>20819</v>
      </c>
      <c r="AB6" s="7">
        <v>16372</v>
      </c>
      <c r="AC6" s="7">
        <v>14728</v>
      </c>
      <c r="AD6" s="7">
        <f>66952-AC6-AB6-AA6</f>
        <v>15033</v>
      </c>
      <c r="AE6" s="7"/>
      <c r="AF6" s="7"/>
      <c r="AG6" s="7"/>
      <c r="AH6" s="7"/>
      <c r="AI6" s="7"/>
      <c r="AJ6" s="7"/>
      <c r="AK6" s="7"/>
      <c r="AL6" s="7"/>
      <c r="AM6" s="7"/>
    </row>
    <row r="7" spans="1:81" s="1" customFormat="1" x14ac:dyDescent="0.25">
      <c r="B7" s="14" t="s">
        <v>143</v>
      </c>
      <c r="T7" s="7">
        <v>7724</v>
      </c>
      <c r="U7" s="7"/>
      <c r="V7" s="7"/>
      <c r="W7" s="7">
        <v>6755</v>
      </c>
      <c r="X7" s="7">
        <v>7176</v>
      </c>
      <c r="Y7" s="7">
        <v>4821</v>
      </c>
      <c r="Z7" s="7">
        <f>24257-Y7-X7-W7</f>
        <v>5505</v>
      </c>
      <c r="AA7" s="7">
        <v>7767</v>
      </c>
      <c r="AB7" s="7">
        <v>6262</v>
      </c>
      <c r="AC7" s="7">
        <v>5097</v>
      </c>
      <c r="AD7" s="7">
        <f>25052-AC7-AA7-AB7</f>
        <v>5926</v>
      </c>
      <c r="AE7" s="7"/>
      <c r="AF7" s="7"/>
      <c r="AG7" s="7"/>
      <c r="AH7" s="7"/>
      <c r="AI7" s="7"/>
      <c r="AJ7" s="7"/>
      <c r="AK7" s="7"/>
      <c r="AL7" s="7"/>
      <c r="AM7" s="7"/>
    </row>
    <row r="8" spans="1:81" s="1" customFormat="1" x14ac:dyDescent="0.25">
      <c r="B8" s="14" t="s">
        <v>144</v>
      </c>
      <c r="T8" s="7">
        <v>7042</v>
      </c>
      <c r="U8" s="7"/>
      <c r="V8" s="7"/>
      <c r="W8" s="7">
        <v>9535</v>
      </c>
      <c r="X8" s="7">
        <v>8119</v>
      </c>
      <c r="Y8" s="7">
        <v>5630</v>
      </c>
      <c r="Z8" s="7">
        <f>29615-Y8-X8-W8</f>
        <v>6331</v>
      </c>
      <c r="AA8" s="7">
        <v>10162</v>
      </c>
      <c r="AB8" s="7">
        <v>6723</v>
      </c>
      <c r="AC8" s="7">
        <v>6390</v>
      </c>
      <c r="AD8" s="7">
        <f>30658-AC8-AB8-AA8</f>
        <v>7383</v>
      </c>
      <c r="AE8" s="7"/>
      <c r="AF8" s="7"/>
      <c r="AG8" s="7"/>
      <c r="AH8" s="7"/>
      <c r="AI8" s="7"/>
      <c r="AJ8" s="7"/>
      <c r="AK8" s="7"/>
      <c r="AL8" s="7"/>
      <c r="AM8" s="7"/>
    </row>
    <row r="9" spans="1:81" s="1" customFormat="1" x14ac:dyDescent="0.25">
      <c r="Y9" s="7"/>
      <c r="AB9" s="7"/>
    </row>
    <row r="10" spans="1:81" s="7" customFormat="1" x14ac:dyDescent="0.25">
      <c r="B10" s="2" t="s">
        <v>37</v>
      </c>
      <c r="C10" s="7">
        <v>61576</v>
      </c>
      <c r="D10" s="7">
        <v>38032</v>
      </c>
      <c r="E10" s="7">
        <v>29906</v>
      </c>
      <c r="F10" s="7">
        <f>166699-E10-D10-C10</f>
        <v>37185</v>
      </c>
      <c r="K10" s="7">
        <v>55957</v>
      </c>
      <c r="L10" s="7">
        <v>28962</v>
      </c>
      <c r="M10" s="7">
        <v>26418</v>
      </c>
      <c r="N10" s="7">
        <v>26444</v>
      </c>
      <c r="O10" s="7">
        <v>65597</v>
      </c>
      <c r="P10" s="7">
        <v>47938</v>
      </c>
      <c r="Q10" s="7">
        <v>39570</v>
      </c>
      <c r="R10" s="7">
        <v>38868</v>
      </c>
      <c r="S10" s="7">
        <v>71628</v>
      </c>
      <c r="T10" s="7">
        <v>50570</v>
      </c>
      <c r="U10" s="7">
        <v>40665</v>
      </c>
      <c r="V10" s="7">
        <v>42626</v>
      </c>
      <c r="W10" s="7">
        <v>65775</v>
      </c>
      <c r="X10" s="7">
        <v>51334</v>
      </c>
      <c r="Y10" s="7">
        <v>39669</v>
      </c>
      <c r="Z10" s="7">
        <f>200583-Y10-W10-X10</f>
        <v>43805</v>
      </c>
      <c r="AA10" s="7">
        <v>69702</v>
      </c>
      <c r="AB10" s="7">
        <v>45963</v>
      </c>
      <c r="AC10" s="7">
        <f>AC18-AC16-AC15-AC14</f>
        <v>39296</v>
      </c>
      <c r="AD10" s="7">
        <f>AD18-AD14-AD15-AD16</f>
        <v>46222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123</v>
      </c>
      <c r="AW10" s="7">
        <v>6742</v>
      </c>
      <c r="AX10" s="7">
        <v>13033</v>
      </c>
      <c r="AY10" s="7">
        <v>25179</v>
      </c>
      <c r="AZ10" s="7">
        <v>45998</v>
      </c>
      <c r="BA10" s="7">
        <v>78692</v>
      </c>
      <c r="BB10" s="7">
        <v>91279</v>
      </c>
      <c r="BC10" s="7">
        <v>101991</v>
      </c>
      <c r="BD10" s="7">
        <v>155041</v>
      </c>
      <c r="BE10" s="7">
        <v>136700</v>
      </c>
      <c r="BF10" s="7">
        <v>141319</v>
      </c>
      <c r="BG10" s="7">
        <v>164888</v>
      </c>
      <c r="BH10" s="7">
        <v>142381</v>
      </c>
      <c r="BI10" s="7">
        <f>SUM(K10:N10)</f>
        <v>137781</v>
      </c>
      <c r="BJ10" s="7">
        <f>SUM(O10:R10)</f>
        <v>191973</v>
      </c>
      <c r="BK10" s="7">
        <f>SUM(S10:V10)</f>
        <v>205489</v>
      </c>
      <c r="BL10" s="7">
        <f>SUM(W10:Z10)</f>
        <v>200583</v>
      </c>
      <c r="BM10" s="7">
        <f>+BM11*BM12/1000</f>
        <v>196591.3983</v>
      </c>
      <c r="BN10" s="7">
        <f t="shared" ref="BN10:CC10" si="0">+BN11*BN12/1000</f>
        <v>203731.59788625597</v>
      </c>
      <c r="BO10" s="7">
        <f t="shared" si="0"/>
        <v>213201.04255600917</v>
      </c>
      <c r="BP10" s="7">
        <f t="shared" si="0"/>
        <v>225276.74960638155</v>
      </c>
      <c r="BQ10" s="7">
        <f t="shared" si="0"/>
        <v>238036.424704087</v>
      </c>
      <c r="BR10" s="7">
        <f t="shared" si="0"/>
        <v>251518.80779932649</v>
      </c>
      <c r="BS10" s="7">
        <f t="shared" si="0"/>
        <v>263209.40198583924</v>
      </c>
      <c r="BT10" s="7">
        <f t="shared" si="0"/>
        <v>275443.37499014102</v>
      </c>
      <c r="BU10" s="7">
        <f t="shared" si="0"/>
        <v>288245.98305968277</v>
      </c>
      <c r="BV10" s="7">
        <f t="shared" si="0"/>
        <v>301643.65635229688</v>
      </c>
      <c r="BW10" s="7">
        <f t="shared" si="0"/>
        <v>312599.35395101231</v>
      </c>
      <c r="BX10" s="7">
        <f t="shared" si="0"/>
        <v>323952.96248651308</v>
      </c>
      <c r="BY10" s="7">
        <f t="shared" si="0"/>
        <v>335718.93408402323</v>
      </c>
      <c r="BZ10" s="7">
        <f t="shared" si="0"/>
        <v>347912.24576995499</v>
      </c>
      <c r="CA10" s="7">
        <f t="shared" si="0"/>
        <v>360548.4185363198</v>
      </c>
      <c r="CB10" s="7">
        <f t="shared" si="0"/>
        <v>373643.5370975589</v>
      </c>
      <c r="CC10" s="7">
        <f t="shared" si="0"/>
        <v>387214.27036494226</v>
      </c>
    </row>
    <row r="11" spans="1:81" s="7" customFormat="1" x14ac:dyDescent="0.25">
      <c r="B11" s="2" t="s">
        <v>80</v>
      </c>
      <c r="C11" s="7">
        <v>77316</v>
      </c>
      <c r="D11" s="7">
        <v>52217</v>
      </c>
      <c r="E11" s="7">
        <v>41300</v>
      </c>
      <c r="F11" s="7">
        <f>217722-E11-D11-C11</f>
        <v>46889</v>
      </c>
      <c r="G11" s="7">
        <v>68400</v>
      </c>
      <c r="H11" s="7">
        <v>36400</v>
      </c>
      <c r="I11" s="7">
        <v>33800</v>
      </c>
      <c r="J11" s="7">
        <v>46600</v>
      </c>
      <c r="K11" s="7">
        <v>73800</v>
      </c>
      <c r="L11" s="7">
        <v>36700</v>
      </c>
      <c r="M11" s="7">
        <v>37600</v>
      </c>
      <c r="N11" s="7">
        <v>41700</v>
      </c>
      <c r="O11" s="7">
        <v>90100</v>
      </c>
      <c r="P11" s="7">
        <v>55200</v>
      </c>
      <c r="Q11" s="7">
        <v>44200</v>
      </c>
      <c r="R11" s="7">
        <v>50400</v>
      </c>
      <c r="S11" s="7">
        <v>84100</v>
      </c>
      <c r="T11" s="7">
        <v>56500</v>
      </c>
      <c r="U11" s="7">
        <v>44600</v>
      </c>
      <c r="V11" s="7">
        <v>51900</v>
      </c>
      <c r="W11" s="7">
        <v>72300</v>
      </c>
      <c r="X11" s="7">
        <v>55200</v>
      </c>
      <c r="Y11" s="7">
        <v>42500</v>
      </c>
      <c r="Z11" s="7">
        <v>47000</v>
      </c>
      <c r="AA11" s="7">
        <f>231800-Z11-Y11-X11</f>
        <v>87100</v>
      </c>
      <c r="AB11" s="7">
        <v>50100</v>
      </c>
      <c r="AC11" s="7">
        <v>45200</v>
      </c>
      <c r="AX11" s="7">
        <v>20731</v>
      </c>
      <c r="AY11" s="7">
        <v>39989</v>
      </c>
      <c r="AZ11" s="7">
        <v>72293</v>
      </c>
      <c r="BA11" s="7">
        <v>125046</v>
      </c>
      <c r="BB11" s="7">
        <v>150257</v>
      </c>
      <c r="BC11" s="7">
        <v>169219</v>
      </c>
      <c r="BD11" s="7">
        <v>231218</v>
      </c>
      <c r="BE11" s="7">
        <v>211884</v>
      </c>
      <c r="BF11" s="7">
        <v>216756</v>
      </c>
      <c r="BG11" s="7">
        <f>SUM(C11:F11)</f>
        <v>217722</v>
      </c>
      <c r="BH11" s="7">
        <f>SUM(G11:J11)</f>
        <v>185200</v>
      </c>
      <c r="BI11" s="7">
        <f>SUM(K11:N11)</f>
        <v>189800</v>
      </c>
      <c r="BJ11" s="7">
        <f>SUM(O11:R11)</f>
        <v>239900</v>
      </c>
      <c r="BK11" s="7">
        <f>SUM(S11:V11)</f>
        <v>237100</v>
      </c>
      <c r="BL11" s="7">
        <f>SUM(W11:Z11)</f>
        <v>217000</v>
      </c>
      <c r="BM11" s="7">
        <f>+BL11*0.99</f>
        <v>214830</v>
      </c>
      <c r="BN11" s="7">
        <f t="shared" ref="BN11:CC11" si="1">+BM11*1.016</f>
        <v>218267.28</v>
      </c>
      <c r="BO11" s="7">
        <f t="shared" si="1"/>
        <v>221759.55648</v>
      </c>
      <c r="BP11" s="7">
        <f t="shared" si="1"/>
        <v>225307.70938367999</v>
      </c>
      <c r="BQ11" s="7">
        <f t="shared" si="1"/>
        <v>228912.63273381887</v>
      </c>
      <c r="BR11" s="7">
        <f t="shared" si="1"/>
        <v>232575.23485755999</v>
      </c>
      <c r="BS11" s="7">
        <f t="shared" si="1"/>
        <v>236296.43861528096</v>
      </c>
      <c r="BT11" s="7">
        <f t="shared" si="1"/>
        <v>240077.18163312547</v>
      </c>
      <c r="BU11" s="7">
        <f t="shared" si="1"/>
        <v>243918.41653925547</v>
      </c>
      <c r="BV11" s="7">
        <f t="shared" si="1"/>
        <v>247821.11120388357</v>
      </c>
      <c r="BW11" s="7">
        <f t="shared" si="1"/>
        <v>251786.24898314572</v>
      </c>
      <c r="BX11" s="7">
        <f t="shared" si="1"/>
        <v>255814.82896687606</v>
      </c>
      <c r="BY11" s="7">
        <f t="shared" si="1"/>
        <v>259907.86623034609</v>
      </c>
      <c r="BZ11" s="7">
        <f t="shared" si="1"/>
        <v>264066.39209003164</v>
      </c>
      <c r="CA11" s="7">
        <f t="shared" si="1"/>
        <v>268291.45436347218</v>
      </c>
      <c r="CB11" s="7">
        <f t="shared" si="1"/>
        <v>272584.11763328774</v>
      </c>
      <c r="CC11" s="7">
        <f t="shared" si="1"/>
        <v>276945.46351542033</v>
      </c>
    </row>
    <row r="12" spans="1:81" s="7" customFormat="1" x14ac:dyDescent="0.25">
      <c r="B12" s="2" t="s">
        <v>81</v>
      </c>
      <c r="C12" s="7">
        <f>+C10*1000/C11</f>
        <v>796.41988721610016</v>
      </c>
      <c r="D12" s="7">
        <f>+D10*1000/D11</f>
        <v>728.34517494302622</v>
      </c>
      <c r="E12" s="7">
        <f>+E10*1000/E11</f>
        <v>724.11622276029061</v>
      </c>
      <c r="F12" s="7">
        <f>+F10*1000/F11</f>
        <v>793.04314444752504</v>
      </c>
      <c r="K12" s="7">
        <f t="shared" ref="K12:AC12" si="2">+K10*1000/K11</f>
        <v>758.22493224932248</v>
      </c>
      <c r="L12" s="7">
        <f t="shared" si="2"/>
        <v>789.15531335149865</v>
      </c>
      <c r="M12" s="7">
        <f t="shared" si="2"/>
        <v>702.60638297872345</v>
      </c>
      <c r="N12" s="7">
        <f t="shared" si="2"/>
        <v>634.14868105515586</v>
      </c>
      <c r="O12" s="7">
        <f t="shared" si="2"/>
        <v>728.04661487236399</v>
      </c>
      <c r="P12" s="7">
        <f t="shared" si="2"/>
        <v>868.44202898550725</v>
      </c>
      <c r="Q12" s="7">
        <f t="shared" si="2"/>
        <v>895.24886877828055</v>
      </c>
      <c r="R12" s="7">
        <f t="shared" si="2"/>
        <v>771.19047619047615</v>
      </c>
      <c r="S12" s="7">
        <f t="shared" si="2"/>
        <v>851.70035671819267</v>
      </c>
      <c r="T12" s="7">
        <f t="shared" si="2"/>
        <v>895.04424778761063</v>
      </c>
      <c r="U12" s="7">
        <f t="shared" si="2"/>
        <v>911.77130044843045</v>
      </c>
      <c r="V12" s="7">
        <f t="shared" si="2"/>
        <v>821.31021194605012</v>
      </c>
      <c r="W12" s="7">
        <f t="shared" si="2"/>
        <v>909.75103734439836</v>
      </c>
      <c r="X12" s="7">
        <f t="shared" si="2"/>
        <v>929.963768115942</v>
      </c>
      <c r="Y12" s="7">
        <f t="shared" si="2"/>
        <v>933.38823529411764</v>
      </c>
      <c r="Z12" s="7">
        <f t="shared" si="2"/>
        <v>932.02127659574467</v>
      </c>
      <c r="AA12" s="7">
        <f t="shared" si="2"/>
        <v>800.25258323765786</v>
      </c>
      <c r="AB12" s="7">
        <f t="shared" si="2"/>
        <v>917.42514970059881</v>
      </c>
      <c r="AC12" s="7">
        <f t="shared" si="2"/>
        <v>869.3805309734513</v>
      </c>
      <c r="AX12" s="7">
        <f>+AX10*1000/AX11</f>
        <v>628.67203704596977</v>
      </c>
      <c r="AY12" s="7">
        <f>+AY10*1000/AY11</f>
        <v>629.64815324214157</v>
      </c>
      <c r="AZ12" s="7">
        <f>+AZ10*1000/AZ11</f>
        <v>636.27183821393498</v>
      </c>
      <c r="BA12" s="7">
        <f>+BA10*1000/BA11</f>
        <v>629.3044159749212</v>
      </c>
      <c r="BB12" s="7">
        <f t="shared" ref="BB12:BF12" si="3">+BB10*1000/BB11</f>
        <v>607.48584092588032</v>
      </c>
      <c r="BC12" s="7">
        <f t="shared" si="3"/>
        <v>602.71600706776428</v>
      </c>
      <c r="BD12" s="7">
        <f t="shared" si="3"/>
        <v>670.54035585464794</v>
      </c>
      <c r="BE12" s="7">
        <f t="shared" si="3"/>
        <v>645.16433520228054</v>
      </c>
      <c r="BF12" s="7">
        <f t="shared" si="3"/>
        <v>651.97272509180834</v>
      </c>
      <c r="BG12" s="7">
        <f t="shared" ref="BG12:BL12" si="4">+BG10*1000/BG11</f>
        <v>757.33274542765548</v>
      </c>
      <c r="BH12" s="7">
        <f t="shared" si="4"/>
        <v>768.79589632829379</v>
      </c>
      <c r="BI12" s="7">
        <f t="shared" si="4"/>
        <v>725.92729188619603</v>
      </c>
      <c r="BJ12" s="7">
        <f t="shared" si="4"/>
        <v>800.22092538557729</v>
      </c>
      <c r="BK12" s="7">
        <f t="shared" si="4"/>
        <v>866.67650780261488</v>
      </c>
      <c r="BL12" s="7">
        <f t="shared" si="4"/>
        <v>924.34562211981563</v>
      </c>
      <c r="BM12" s="7">
        <f>+BL12*0.99</f>
        <v>915.1021658986175</v>
      </c>
      <c r="BN12" s="7">
        <f>+BM12*1.02</f>
        <v>933.40420921658983</v>
      </c>
      <c r="BO12" s="7">
        <f>+BN12*1.03</f>
        <v>961.40633549308757</v>
      </c>
      <c r="BP12" s="7">
        <f>+BO12*1.04</f>
        <v>999.86258891281113</v>
      </c>
      <c r="BQ12" s="7">
        <f>+BP12*1.04</f>
        <v>1039.8570924693236</v>
      </c>
      <c r="BR12" s="7">
        <f>+BQ12*1.04</f>
        <v>1081.4513761680964</v>
      </c>
      <c r="BS12" s="7">
        <f>+BR12*1.03</f>
        <v>1113.8949174531394</v>
      </c>
      <c r="BT12" s="7">
        <f>+BS12*1.03</f>
        <v>1147.3117649767337</v>
      </c>
      <c r="BU12" s="7">
        <f t="shared" ref="BU12:BV12" si="5">+BT12*1.03</f>
        <v>1181.7311179260357</v>
      </c>
      <c r="BV12" s="7">
        <f t="shared" si="5"/>
        <v>1217.1830514638168</v>
      </c>
      <c r="BW12" s="7">
        <f>+BV12*1.02</f>
        <v>1241.5267124930931</v>
      </c>
      <c r="BX12" s="7">
        <f t="shared" ref="BX12:CC12" si="6">+BW12*1.02</f>
        <v>1266.3572467429549</v>
      </c>
      <c r="BY12" s="7">
        <f t="shared" si="6"/>
        <v>1291.6843916778139</v>
      </c>
      <c r="BZ12" s="7">
        <f t="shared" si="6"/>
        <v>1317.5180795113702</v>
      </c>
      <c r="CA12" s="7">
        <f t="shared" si="6"/>
        <v>1343.8684411015977</v>
      </c>
      <c r="CB12" s="7">
        <f t="shared" si="6"/>
        <v>1370.7458099236296</v>
      </c>
      <c r="CC12" s="7">
        <f t="shared" si="6"/>
        <v>1398.1607261221022</v>
      </c>
    </row>
    <row r="13" spans="1:81" s="7" customFormat="1" x14ac:dyDescent="0.25">
      <c r="B13" s="2"/>
    </row>
    <row r="14" spans="1:81" s="7" customFormat="1" x14ac:dyDescent="0.25">
      <c r="B14" s="2" t="s">
        <v>38</v>
      </c>
      <c r="C14" s="7">
        <v>6895</v>
      </c>
      <c r="D14" s="7">
        <v>5848</v>
      </c>
      <c r="E14" s="7">
        <v>5330</v>
      </c>
      <c r="F14" s="7">
        <f>25484-E14-D14-C14</f>
        <v>7411</v>
      </c>
      <c r="K14" s="7">
        <v>7160</v>
      </c>
      <c r="L14" s="7">
        <v>5351</v>
      </c>
      <c r="M14" s="7">
        <v>7079</v>
      </c>
      <c r="N14" s="7">
        <v>9032</v>
      </c>
      <c r="O14" s="7">
        <v>8675</v>
      </c>
      <c r="P14" s="7">
        <v>9102</v>
      </c>
      <c r="Q14" s="7">
        <v>8235</v>
      </c>
      <c r="R14" s="7">
        <v>9178</v>
      </c>
      <c r="S14" s="7">
        <v>10852</v>
      </c>
      <c r="T14" s="7">
        <v>10435</v>
      </c>
      <c r="U14" s="7">
        <v>7382</v>
      </c>
      <c r="V14" s="7">
        <v>11508</v>
      </c>
      <c r="W14" s="7">
        <v>7735</v>
      </c>
      <c r="X14" s="7">
        <v>7168</v>
      </c>
      <c r="Y14" s="7">
        <v>6840</v>
      </c>
      <c r="Z14" s="7">
        <f>29357-Y14-X14-W14</f>
        <v>7614</v>
      </c>
      <c r="AA14" s="7">
        <v>7780</v>
      </c>
      <c r="AB14" s="7">
        <v>7451</v>
      </c>
      <c r="AC14" s="7">
        <v>7009</v>
      </c>
      <c r="AD14" s="7">
        <f>29984-AA14-AB14-AC14</f>
        <v>7744</v>
      </c>
      <c r="AO14" s="7">
        <f>2747+948+2381</f>
        <v>6076</v>
      </c>
      <c r="AP14" s="7">
        <v>4403</v>
      </c>
      <c r="AQ14" s="7">
        <v>4534</v>
      </c>
      <c r="AR14" s="7">
        <v>4491</v>
      </c>
      <c r="AS14" s="7">
        <v>4923</v>
      </c>
      <c r="AT14" s="7">
        <v>6275</v>
      </c>
      <c r="AU14" s="7">
        <v>7375</v>
      </c>
      <c r="AV14" s="7">
        <v>10314</v>
      </c>
      <c r="AW14" s="7">
        <v>14354</v>
      </c>
      <c r="AX14" s="7">
        <v>13859</v>
      </c>
      <c r="AY14" s="7">
        <v>17479</v>
      </c>
      <c r="AZ14" s="7">
        <v>21783</v>
      </c>
      <c r="BA14" s="7">
        <v>23221</v>
      </c>
      <c r="BB14" s="7">
        <v>21483</v>
      </c>
      <c r="BC14" s="7">
        <v>24079</v>
      </c>
      <c r="BD14" s="7">
        <v>25471</v>
      </c>
      <c r="BE14" s="7">
        <v>22831</v>
      </c>
      <c r="BF14" s="7">
        <v>25850</v>
      </c>
      <c r="BG14" s="7">
        <v>25198</v>
      </c>
      <c r="BH14" s="7">
        <v>25740</v>
      </c>
      <c r="BI14" s="7">
        <f t="shared" ref="BI14:BI15" si="7">SUM(K14:N14)</f>
        <v>28622</v>
      </c>
      <c r="BJ14" s="7">
        <f t="shared" ref="BJ14:BJ15" si="8">SUM(O14:R14)</f>
        <v>35190</v>
      </c>
      <c r="BK14" s="7">
        <f>SUM(S14:V14)</f>
        <v>40177</v>
      </c>
      <c r="BL14" s="7">
        <f t="shared" ref="BL14:BL16" si="9">+BK14*1.03</f>
        <v>41382.31</v>
      </c>
      <c r="BM14" s="7">
        <f>+BL14*1.01</f>
        <v>41796.133099999999</v>
      </c>
      <c r="BN14" s="7">
        <f t="shared" ref="BN14:BR14" si="10">+BM14*1.07</f>
        <v>44721.862417000004</v>
      </c>
      <c r="BO14" s="7">
        <f t="shared" si="10"/>
        <v>47852.392786190008</v>
      </c>
      <c r="BP14" s="7">
        <f t="shared" si="10"/>
        <v>51202.060281223312</v>
      </c>
      <c r="BQ14" s="7">
        <f t="shared" si="10"/>
        <v>54786.204500908949</v>
      </c>
      <c r="BR14" s="7">
        <f t="shared" si="10"/>
        <v>58621.238815972582</v>
      </c>
      <c r="BS14" s="7">
        <f>+BR14*1.06</f>
        <v>62138.513144930941</v>
      </c>
      <c r="BT14" s="7">
        <f t="shared" ref="BT14:BW14" si="11">+BS14*1.06</f>
        <v>65866.823933626802</v>
      </c>
      <c r="BU14" s="7">
        <f t="shared" si="11"/>
        <v>69818.833369644417</v>
      </c>
      <c r="BV14" s="7">
        <f t="shared" si="11"/>
        <v>74007.963371823091</v>
      </c>
      <c r="BW14" s="7">
        <f t="shared" si="11"/>
        <v>78448.441174132473</v>
      </c>
      <c r="BX14" s="7">
        <f>+BW14*1.05</f>
        <v>82370.863232839096</v>
      </c>
      <c r="BY14" s="7">
        <f t="shared" ref="BY14:CC14" si="12">+BX14*1.05</f>
        <v>86489.406394481048</v>
      </c>
      <c r="BZ14" s="7">
        <f t="shared" si="12"/>
        <v>90813.876714205107</v>
      </c>
      <c r="CA14" s="7">
        <f t="shared" si="12"/>
        <v>95354.57054991537</v>
      </c>
      <c r="CB14" s="7">
        <f t="shared" si="12"/>
        <v>100122.29907741114</v>
      </c>
      <c r="CC14" s="7">
        <f t="shared" si="12"/>
        <v>105128.4140312817</v>
      </c>
    </row>
    <row r="15" spans="1:81" s="7" customFormat="1" x14ac:dyDescent="0.25">
      <c r="B15" s="2" t="s">
        <v>39</v>
      </c>
      <c r="C15" s="7">
        <v>5862</v>
      </c>
      <c r="D15" s="7">
        <v>4113</v>
      </c>
      <c r="E15" s="7">
        <v>4741</v>
      </c>
      <c r="F15" s="7">
        <f>18805-E15-D15-C15</f>
        <v>4089</v>
      </c>
      <c r="K15" s="7">
        <v>5977</v>
      </c>
      <c r="L15" s="7">
        <v>4368</v>
      </c>
      <c r="M15" s="7">
        <v>6582</v>
      </c>
      <c r="N15" s="7">
        <v>6797</v>
      </c>
      <c r="O15" s="7">
        <v>8435</v>
      </c>
      <c r="P15" s="7">
        <v>7807</v>
      </c>
      <c r="Q15" s="7">
        <v>7368</v>
      </c>
      <c r="R15" s="7">
        <v>8252</v>
      </c>
      <c r="S15" s="7">
        <v>7248</v>
      </c>
      <c r="T15" s="7">
        <v>7646</v>
      </c>
      <c r="U15" s="7">
        <v>7224</v>
      </c>
      <c r="V15" s="7">
        <v>7174</v>
      </c>
      <c r="W15" s="7">
        <v>9396</v>
      </c>
      <c r="X15" s="7">
        <v>6670</v>
      </c>
      <c r="Y15" s="7">
        <v>5791</v>
      </c>
      <c r="Z15" s="7">
        <f>28300-Y15-X15-W15</f>
        <v>6443</v>
      </c>
      <c r="AA15" s="7">
        <v>7023</v>
      </c>
      <c r="AB15" s="7">
        <v>5559</v>
      </c>
      <c r="AC15" s="7">
        <v>7162</v>
      </c>
      <c r="AD15" s="7">
        <f>26694-AC15-AB15-AA15</f>
        <v>6950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4958</v>
      </c>
      <c r="AZ15" s="7">
        <v>19168</v>
      </c>
      <c r="BA15" s="7">
        <v>30945</v>
      </c>
      <c r="BB15" s="7">
        <v>31980</v>
      </c>
      <c r="BC15" s="7">
        <v>30283</v>
      </c>
      <c r="BD15" s="7">
        <v>23227</v>
      </c>
      <c r="BE15" s="7">
        <v>20628</v>
      </c>
      <c r="BF15" s="7">
        <v>19222</v>
      </c>
      <c r="BG15" s="7">
        <v>18380</v>
      </c>
      <c r="BH15" s="7">
        <v>21280</v>
      </c>
      <c r="BI15" s="7">
        <f t="shared" si="7"/>
        <v>23724</v>
      </c>
      <c r="BJ15" s="7">
        <f t="shared" si="8"/>
        <v>31862</v>
      </c>
      <c r="BK15" s="7">
        <f>SUM(S15:V15)</f>
        <v>29292</v>
      </c>
      <c r="BL15" s="7">
        <f t="shared" si="9"/>
        <v>30170.760000000002</v>
      </c>
      <c r="BM15" s="7">
        <f>+BL15*0.94</f>
        <v>28360.5144</v>
      </c>
      <c r="BN15" s="7">
        <f t="shared" ref="BN15:CC15" si="13">+BM15*1.04</f>
        <v>29494.934976</v>
      </c>
      <c r="BO15" s="7">
        <f t="shared" si="13"/>
        <v>30674.732375040003</v>
      </c>
      <c r="BP15" s="7">
        <f t="shared" si="13"/>
        <v>31901.721670041603</v>
      </c>
      <c r="BQ15" s="7">
        <f t="shared" si="13"/>
        <v>33177.790536843269</v>
      </c>
      <c r="BR15" s="7">
        <f t="shared" si="13"/>
        <v>34504.902158317003</v>
      </c>
      <c r="BS15" s="7">
        <f t="shared" si="13"/>
        <v>35885.098244649686</v>
      </c>
      <c r="BT15" s="7">
        <f t="shared" si="13"/>
        <v>37320.502174435671</v>
      </c>
      <c r="BU15" s="7">
        <f t="shared" si="13"/>
        <v>38813.322261413101</v>
      </c>
      <c r="BV15" s="7">
        <f t="shared" si="13"/>
        <v>40365.855151869626</v>
      </c>
      <c r="BW15" s="7">
        <f t="shared" si="13"/>
        <v>41980.489357944411</v>
      </c>
      <c r="BX15" s="7">
        <f t="shared" si="13"/>
        <v>43659.708932262191</v>
      </c>
      <c r="BY15" s="7">
        <f t="shared" si="13"/>
        <v>45406.097289552679</v>
      </c>
      <c r="BZ15" s="7">
        <f t="shared" si="13"/>
        <v>47222.341181134791</v>
      </c>
      <c r="CA15" s="7">
        <f t="shared" si="13"/>
        <v>49111.234828380184</v>
      </c>
      <c r="CB15" s="7">
        <f t="shared" si="13"/>
        <v>51075.684221515396</v>
      </c>
      <c r="CC15" s="7">
        <f t="shared" si="13"/>
        <v>53118.711590376013</v>
      </c>
    </row>
    <row r="16" spans="1:81" s="7" customFormat="1" x14ac:dyDescent="0.25">
      <c r="B16" s="2" t="s">
        <v>40</v>
      </c>
      <c r="C16" s="7">
        <v>5489</v>
      </c>
      <c r="D16" s="7">
        <v>3954</v>
      </c>
      <c r="E16" s="7">
        <v>3740</v>
      </c>
      <c r="F16" s="7">
        <f>17417-E16-D16-C16</f>
        <v>4234</v>
      </c>
      <c r="K16" s="7">
        <v>10010</v>
      </c>
      <c r="L16" s="7">
        <v>6284</v>
      </c>
      <c r="M16" s="7">
        <v>6450</v>
      </c>
      <c r="N16" s="7">
        <v>7876</v>
      </c>
      <c r="O16" s="7">
        <v>12971</v>
      </c>
      <c r="P16" s="7">
        <v>7836</v>
      </c>
      <c r="Q16" s="7">
        <v>8775</v>
      </c>
      <c r="R16" s="7">
        <v>8785</v>
      </c>
      <c r="S16" s="7">
        <v>14701</v>
      </c>
      <c r="T16" s="7">
        <v>8806</v>
      </c>
      <c r="U16" s="7">
        <v>8084</v>
      </c>
      <c r="V16" s="7">
        <v>9650</v>
      </c>
      <c r="W16" s="7">
        <v>13482</v>
      </c>
      <c r="X16" s="7">
        <v>8757</v>
      </c>
      <c r="Y16" s="7">
        <v>8284</v>
      </c>
      <c r="Z16" s="7">
        <f>39845-Y16-X16-W16</f>
        <v>9322</v>
      </c>
      <c r="AA16" s="7">
        <v>11953</v>
      </c>
      <c r="AB16" s="7">
        <v>7913</v>
      </c>
      <c r="AC16" s="7">
        <v>8097</v>
      </c>
      <c r="AD16" s="7">
        <f>37005-AC16-AB16-AA16</f>
        <v>9042</v>
      </c>
      <c r="AO16" s="7">
        <v>809</v>
      </c>
      <c r="AP16" s="7">
        <v>387</v>
      </c>
      <c r="AQ16" s="7">
        <f>143+4+527</f>
        <v>674</v>
      </c>
      <c r="AR16" s="7">
        <f>345+691</f>
        <v>1036</v>
      </c>
      <c r="AS16" s="7">
        <f>1306+951</f>
        <v>2257</v>
      </c>
      <c r="AT16" s="7">
        <f>4540+1126</f>
        <v>5666</v>
      </c>
      <c r="AU16" s="7">
        <f>7676+1100</f>
        <v>8776</v>
      </c>
      <c r="AV16" s="7">
        <f>8305+1260</f>
        <v>9565</v>
      </c>
      <c r="AW16" s="7">
        <f>9153+1694</f>
        <v>10847</v>
      </c>
      <c r="AX16" s="7">
        <f>1475+8091</f>
        <v>9566</v>
      </c>
      <c r="AY16" s="7">
        <f>1814+8274</f>
        <v>10088</v>
      </c>
      <c r="AZ16" s="7">
        <f>7453+4474</f>
        <v>11927</v>
      </c>
      <c r="BA16" s="7">
        <f>5145+5615</f>
        <v>10760</v>
      </c>
      <c r="BB16" s="7">
        <f>4411+5706</f>
        <v>10117</v>
      </c>
      <c r="BC16" s="7">
        <f>6093+2286</f>
        <v>8379</v>
      </c>
      <c r="BD16" s="7">
        <v>10067</v>
      </c>
      <c r="BE16" s="7">
        <v>11132</v>
      </c>
      <c r="BF16" s="7">
        <v>12863</v>
      </c>
      <c r="BG16" s="7">
        <v>17381</v>
      </c>
      <c r="BH16" s="7">
        <v>24482</v>
      </c>
      <c r="BI16" s="7">
        <f t="shared" ref="BI16" si="14">SUM(K16:N16)</f>
        <v>30620</v>
      </c>
      <c r="BJ16" s="7">
        <f t="shared" ref="BJ16" si="15">SUM(O16:R16)</f>
        <v>38367</v>
      </c>
      <c r="BK16" s="7">
        <f>SUM(S16:V16)</f>
        <v>41241</v>
      </c>
      <c r="BL16" s="7">
        <f t="shared" si="9"/>
        <v>42478.23</v>
      </c>
      <c r="BM16" s="7">
        <f>+BL16*0.94</f>
        <v>39929.536200000002</v>
      </c>
      <c r="BN16" s="7">
        <f t="shared" ref="BN16:CC16" si="16">+BM16*1.04</f>
        <v>41526.717648000005</v>
      </c>
      <c r="BO16" s="7">
        <f t="shared" si="16"/>
        <v>43187.786353920004</v>
      </c>
      <c r="BP16" s="7">
        <f t="shared" si="16"/>
        <v>44915.297808076808</v>
      </c>
      <c r="BQ16" s="7">
        <f t="shared" si="16"/>
        <v>46711.909720399883</v>
      </c>
      <c r="BR16" s="7">
        <f t="shared" si="16"/>
        <v>48580.386109215877</v>
      </c>
      <c r="BS16" s="7">
        <f t="shared" si="16"/>
        <v>50523.601553584514</v>
      </c>
      <c r="BT16" s="7">
        <f t="shared" si="16"/>
        <v>52544.545615727897</v>
      </c>
      <c r="BU16" s="7">
        <f t="shared" si="16"/>
        <v>54646.327440357018</v>
      </c>
      <c r="BV16" s="7">
        <f t="shared" si="16"/>
        <v>56832.180537971297</v>
      </c>
      <c r="BW16" s="7">
        <f t="shared" si="16"/>
        <v>59105.467759490151</v>
      </c>
      <c r="BX16" s="7">
        <f t="shared" si="16"/>
        <v>61469.686469869761</v>
      </c>
      <c r="BY16" s="7">
        <f t="shared" si="16"/>
        <v>63928.473928664556</v>
      </c>
      <c r="BZ16" s="7">
        <f t="shared" si="16"/>
        <v>66485.612885811148</v>
      </c>
      <c r="CA16" s="7">
        <f t="shared" si="16"/>
        <v>69145.037401243593</v>
      </c>
      <c r="CB16" s="7">
        <f t="shared" si="16"/>
        <v>71910.838897293346</v>
      </c>
      <c r="CC16" s="7">
        <f t="shared" si="16"/>
        <v>74787.272453185084</v>
      </c>
    </row>
    <row r="17" spans="2:193" s="7" customFormat="1" x14ac:dyDescent="0.25">
      <c r="B17" s="2"/>
    </row>
    <row r="18" spans="2:193" s="2" customFormat="1" x14ac:dyDescent="0.25">
      <c r="B18" s="2" t="s">
        <v>20</v>
      </c>
      <c r="C18" s="2">
        <f>SUM(C14:C16)+C10</f>
        <v>79822</v>
      </c>
      <c r="D18" s="2">
        <f>SUM(D14:D16)+D10</f>
        <v>51947</v>
      </c>
      <c r="E18" s="2">
        <f>SUM(E14:E16)+E10</f>
        <v>43717</v>
      </c>
      <c r="F18" s="2">
        <f>SUM(F14:F16)+F10</f>
        <v>52919</v>
      </c>
      <c r="K18" s="2">
        <f t="shared" ref="K18:R18" si="17">SUM(K14:K16)+K10</f>
        <v>79104</v>
      </c>
      <c r="L18" s="2">
        <f t="shared" si="17"/>
        <v>44965</v>
      </c>
      <c r="M18" s="2">
        <f t="shared" si="17"/>
        <v>46529</v>
      </c>
      <c r="N18" s="2">
        <f t="shared" si="17"/>
        <v>50149</v>
      </c>
      <c r="O18" s="2">
        <f t="shared" si="17"/>
        <v>95678</v>
      </c>
      <c r="P18" s="2">
        <f t="shared" si="17"/>
        <v>72683</v>
      </c>
      <c r="Q18" s="2">
        <f t="shared" si="17"/>
        <v>63948</v>
      </c>
      <c r="R18" s="2">
        <f t="shared" si="17"/>
        <v>65083</v>
      </c>
      <c r="S18" s="2">
        <f>SUM(S14:S16)+S10</f>
        <v>104429</v>
      </c>
      <c r="T18" s="2">
        <f>SUM(T14:T16)+T10</f>
        <v>77457</v>
      </c>
      <c r="U18" s="2">
        <f>SUM(U14:U16)+U10</f>
        <v>63355</v>
      </c>
      <c r="V18" s="2">
        <f>SUM(V14:V16)+V10</f>
        <v>70958</v>
      </c>
      <c r="W18" s="2">
        <v>96388</v>
      </c>
      <c r="X18" s="2">
        <v>73929</v>
      </c>
      <c r="Y18" s="2">
        <v>60584</v>
      </c>
      <c r="Z18" s="2">
        <f>298085-Y18-X18-W18</f>
        <v>67184</v>
      </c>
      <c r="AA18" s="2">
        <v>96458</v>
      </c>
      <c r="AB18" s="2">
        <v>66886</v>
      </c>
      <c r="AC18" s="2">
        <v>61564</v>
      </c>
      <c r="AD18" s="2">
        <f>-AC18-AB18-AA18+294866</f>
        <v>69958</v>
      </c>
      <c r="AO18" s="2">
        <f t="shared" ref="AO18:AX18" si="18">SUM(AO14:AO16)+AO10</f>
        <v>6885</v>
      </c>
      <c r="AP18" s="2">
        <f t="shared" si="18"/>
        <v>4790</v>
      </c>
      <c r="AQ18" s="2">
        <f t="shared" si="18"/>
        <v>5208</v>
      </c>
      <c r="AR18" s="2">
        <f t="shared" si="18"/>
        <v>5527</v>
      </c>
      <c r="AS18" s="2">
        <f t="shared" si="18"/>
        <v>7180</v>
      </c>
      <c r="AT18" s="2">
        <f t="shared" si="18"/>
        <v>11941</v>
      </c>
      <c r="AU18" s="2">
        <f t="shared" si="18"/>
        <v>16151</v>
      </c>
      <c r="AV18" s="2">
        <f t="shared" si="18"/>
        <v>20002</v>
      </c>
      <c r="AW18" s="2">
        <f t="shared" si="18"/>
        <v>31943</v>
      </c>
      <c r="AX18" s="2">
        <f t="shared" si="18"/>
        <v>36458</v>
      </c>
      <c r="AY18" s="2">
        <f t="shared" ref="AY18:BJ18" si="19">SUM(AY14:AY16)+AY10</f>
        <v>57704</v>
      </c>
      <c r="AZ18" s="2">
        <f t="shared" si="19"/>
        <v>98876</v>
      </c>
      <c r="BA18" s="2">
        <f t="shared" si="19"/>
        <v>143618</v>
      </c>
      <c r="BB18" s="2">
        <f t="shared" si="19"/>
        <v>154859</v>
      </c>
      <c r="BC18" s="2">
        <f t="shared" si="19"/>
        <v>164732</v>
      </c>
      <c r="BD18" s="2">
        <f t="shared" si="19"/>
        <v>213806</v>
      </c>
      <c r="BE18" s="2">
        <f t="shared" si="19"/>
        <v>191291</v>
      </c>
      <c r="BF18" s="2">
        <f t="shared" si="19"/>
        <v>199254</v>
      </c>
      <c r="BG18" s="2">
        <f t="shared" si="19"/>
        <v>225847</v>
      </c>
      <c r="BH18" s="2">
        <f t="shared" si="19"/>
        <v>213883</v>
      </c>
      <c r="BI18" s="2">
        <f t="shared" si="19"/>
        <v>220747</v>
      </c>
      <c r="BJ18" s="2">
        <f t="shared" si="19"/>
        <v>297392</v>
      </c>
      <c r="BK18" s="2">
        <f>SUM(BK14:BK16)+BK10</f>
        <v>316199</v>
      </c>
      <c r="BL18" s="2">
        <f>SUM(W18:Z18)</f>
        <v>298085</v>
      </c>
      <c r="BM18" s="2">
        <f>SUM(BM14:BM16)+BM10</f>
        <v>306677.58199999999</v>
      </c>
      <c r="BN18" s="2">
        <f t="shared" ref="BN18:CC18" si="20">SUM(BN14:BN16)+BN10</f>
        <v>319475.11292725598</v>
      </c>
      <c r="BO18" s="2">
        <f t="shared" si="20"/>
        <v>334915.95407115918</v>
      </c>
      <c r="BP18" s="2">
        <f t="shared" si="20"/>
        <v>353295.8293657233</v>
      </c>
      <c r="BQ18" s="2">
        <f t="shared" si="20"/>
        <v>372712.32946223905</v>
      </c>
      <c r="BR18" s="2">
        <f t="shared" si="20"/>
        <v>393225.33488283196</v>
      </c>
      <c r="BS18" s="2">
        <f t="shared" si="20"/>
        <v>411756.61492900434</v>
      </c>
      <c r="BT18" s="2">
        <f t="shared" si="20"/>
        <v>431175.24671393138</v>
      </c>
      <c r="BU18" s="2">
        <f t="shared" si="20"/>
        <v>451524.46613109729</v>
      </c>
      <c r="BV18" s="2">
        <f t="shared" si="20"/>
        <v>472849.65541396092</v>
      </c>
      <c r="BW18" s="2">
        <f t="shared" si="20"/>
        <v>492133.75224257936</v>
      </c>
      <c r="BX18" s="2">
        <f t="shared" si="20"/>
        <v>511453.22112148412</v>
      </c>
      <c r="BY18" s="2">
        <f t="shared" si="20"/>
        <v>531542.91169672157</v>
      </c>
      <c r="BZ18" s="2">
        <f t="shared" si="20"/>
        <v>552434.07655110606</v>
      </c>
      <c r="CA18" s="2">
        <f t="shared" si="20"/>
        <v>574159.26131585892</v>
      </c>
      <c r="CB18" s="2">
        <f t="shared" si="20"/>
        <v>596752.35929377878</v>
      </c>
      <c r="CC18" s="2">
        <f t="shared" si="20"/>
        <v>620248.66843978502</v>
      </c>
    </row>
    <row r="19" spans="2:193" s="2" customFormat="1" x14ac:dyDescent="0.25">
      <c r="B19" s="2" t="s">
        <v>21</v>
      </c>
      <c r="C19" s="2">
        <v>8471</v>
      </c>
      <c r="D19" s="2">
        <v>9190</v>
      </c>
      <c r="E19" s="2">
        <v>9548</v>
      </c>
      <c r="F19" s="2">
        <f>37190-E19-D19-C19</f>
        <v>9981</v>
      </c>
      <c r="K19" s="2">
        <v>12715</v>
      </c>
      <c r="L19" s="2">
        <v>13348</v>
      </c>
      <c r="M19" s="2">
        <v>13156</v>
      </c>
      <c r="N19" s="2">
        <v>14549</v>
      </c>
      <c r="O19" s="2">
        <v>15761</v>
      </c>
      <c r="P19" s="2">
        <v>16901</v>
      </c>
      <c r="Q19" s="2">
        <v>17486</v>
      </c>
      <c r="R19" s="2">
        <v>18277</v>
      </c>
      <c r="S19" s="2">
        <v>19516</v>
      </c>
      <c r="T19" s="2">
        <v>19821</v>
      </c>
      <c r="U19" s="2">
        <v>19604</v>
      </c>
      <c r="V19" s="2">
        <v>19188</v>
      </c>
      <c r="W19" s="2">
        <v>20766</v>
      </c>
      <c r="X19" s="2">
        <v>20907</v>
      </c>
      <c r="Y19" s="2">
        <v>21213</v>
      </c>
      <c r="Z19" s="2">
        <f>85200-Y19-X19-W19</f>
        <v>22314</v>
      </c>
      <c r="AA19" s="2">
        <v>23117</v>
      </c>
      <c r="AB19" s="2">
        <v>23867</v>
      </c>
      <c r="AC19" s="2">
        <v>24213</v>
      </c>
      <c r="AD19" s="2">
        <f>-AC19-AB19-AA19+96169</f>
        <v>24972</v>
      </c>
      <c r="AO19" s="2">
        <v>1098</v>
      </c>
      <c r="AP19" s="2">
        <f>343+230</f>
        <v>573</v>
      </c>
      <c r="AQ19" s="2">
        <f>307+227</f>
        <v>534</v>
      </c>
      <c r="AR19" s="2">
        <f>644+36</f>
        <v>680</v>
      </c>
      <c r="AS19" s="2">
        <f>821+278</f>
        <v>1099</v>
      </c>
      <c r="AT19" s="2">
        <f>899+1091</f>
        <v>1990</v>
      </c>
      <c r="AU19" s="2">
        <f>1885+1279</f>
        <v>3164</v>
      </c>
      <c r="AV19" s="2">
        <f>2496+1508</f>
        <v>4004</v>
      </c>
      <c r="AW19" s="2">
        <f>2208+3340</f>
        <v>5548</v>
      </c>
      <c r="AX19" s="2">
        <f>2411+4036</f>
        <v>6447</v>
      </c>
      <c r="AY19" s="2">
        <f>2573+4948</f>
        <v>7521</v>
      </c>
      <c r="AZ19" s="2">
        <v>9373</v>
      </c>
      <c r="BA19" s="2">
        <v>12890</v>
      </c>
      <c r="BB19" s="2">
        <v>16051</v>
      </c>
      <c r="BC19" s="2">
        <v>18063</v>
      </c>
      <c r="BD19" s="2">
        <v>19909</v>
      </c>
      <c r="BE19" s="2">
        <v>24348</v>
      </c>
      <c r="BF19" s="2">
        <v>29980</v>
      </c>
      <c r="BG19" s="7">
        <v>39748</v>
      </c>
      <c r="BH19" s="7">
        <v>46291</v>
      </c>
      <c r="BI19" s="7">
        <f>SUM(K19:N19)</f>
        <v>53768</v>
      </c>
      <c r="BJ19" s="7">
        <f t="shared" ref="BJ19" si="21">SUM(O19:R19)</f>
        <v>68425</v>
      </c>
      <c r="BK19" s="7">
        <f>SUM(S19:V19)</f>
        <v>78129</v>
      </c>
      <c r="BL19" s="2">
        <f>SUM(W19:Z19)</f>
        <v>85200</v>
      </c>
      <c r="BM19" s="7">
        <f>+BL19*1.12</f>
        <v>95424.000000000015</v>
      </c>
      <c r="BN19" s="7">
        <f>+BM19*1.15</f>
        <v>109737.60000000001</v>
      </c>
      <c r="BO19" s="7">
        <f>+BN19*1.1</f>
        <v>120711.36000000002</v>
      </c>
      <c r="BP19" s="7">
        <f>+BO19*1.1</f>
        <v>132782.49600000001</v>
      </c>
      <c r="BQ19" s="7">
        <f>+BP19*1.1</f>
        <v>146060.74560000002</v>
      </c>
      <c r="BR19" s="7">
        <f>+BQ19*1.05</f>
        <v>153363.78288000004</v>
      </c>
      <c r="BS19" s="7">
        <f t="shared" ref="BS19:CC19" si="22">+BR19*1.05</f>
        <v>161031.97202400005</v>
      </c>
      <c r="BT19" s="7">
        <f t="shared" si="22"/>
        <v>169083.57062520005</v>
      </c>
      <c r="BU19" s="7">
        <f t="shared" si="22"/>
        <v>177537.74915646005</v>
      </c>
      <c r="BV19" s="7">
        <f t="shared" si="22"/>
        <v>186414.63661428305</v>
      </c>
      <c r="BW19" s="7">
        <f t="shared" si="22"/>
        <v>195735.36844499721</v>
      </c>
      <c r="BX19" s="7">
        <f t="shared" si="22"/>
        <v>205522.13686724709</v>
      </c>
      <c r="BY19" s="7">
        <f t="shared" si="22"/>
        <v>215798.24371060944</v>
      </c>
      <c r="BZ19" s="7">
        <f t="shared" si="22"/>
        <v>226588.15589613991</v>
      </c>
      <c r="CA19" s="7">
        <f t="shared" si="22"/>
        <v>237917.56369094693</v>
      </c>
      <c r="CB19" s="7">
        <f t="shared" si="22"/>
        <v>249813.44187549429</v>
      </c>
      <c r="CC19" s="7">
        <f t="shared" si="22"/>
        <v>262304.11396926903</v>
      </c>
    </row>
    <row r="20" spans="2:193" s="8" customFormat="1" x14ac:dyDescent="0.25">
      <c r="B20" s="8" t="s">
        <v>7</v>
      </c>
      <c r="C20" s="8">
        <f t="shared" ref="C20:F20" si="23">+C18+C19</f>
        <v>88293</v>
      </c>
      <c r="D20" s="8">
        <f t="shared" si="23"/>
        <v>61137</v>
      </c>
      <c r="E20" s="8">
        <f t="shared" si="23"/>
        <v>53265</v>
      </c>
      <c r="F20" s="8">
        <f t="shared" si="23"/>
        <v>62900</v>
      </c>
      <c r="K20" s="8">
        <f t="shared" ref="K20:N20" si="24">+K18+K19</f>
        <v>91819</v>
      </c>
      <c r="L20" s="8">
        <f t="shared" si="24"/>
        <v>58313</v>
      </c>
      <c r="M20" s="8">
        <f t="shared" si="24"/>
        <v>59685</v>
      </c>
      <c r="N20" s="8">
        <f t="shared" si="24"/>
        <v>64698</v>
      </c>
      <c r="O20" s="8">
        <f>+O18+O19</f>
        <v>111439</v>
      </c>
      <c r="P20" s="8">
        <f>+P18+P19</f>
        <v>89584</v>
      </c>
      <c r="Q20" s="8">
        <f>+Q18+Q19</f>
        <v>81434</v>
      </c>
      <c r="R20" s="8">
        <f t="shared" ref="R20" si="25">+R18+R19</f>
        <v>83360</v>
      </c>
      <c r="S20" s="8">
        <f t="shared" ref="S20" si="26">+S18+S19</f>
        <v>123945</v>
      </c>
      <c r="T20" s="8">
        <f>+T18+T19</f>
        <v>97278</v>
      </c>
      <c r="U20" s="8">
        <f t="shared" ref="U20" si="27">+U18+U19</f>
        <v>82959</v>
      </c>
      <c r="V20" s="8">
        <f>+V18+V19</f>
        <v>90146</v>
      </c>
      <c r="W20" s="8">
        <f>+W19+W18</f>
        <v>117154</v>
      </c>
      <c r="X20" s="8">
        <f t="shared" ref="X20:AA20" si="28">+X19+X18</f>
        <v>94836</v>
      </c>
      <c r="Y20" s="8">
        <f t="shared" si="28"/>
        <v>81797</v>
      </c>
      <c r="Z20" s="8">
        <f t="shared" si="28"/>
        <v>89498</v>
      </c>
      <c r="AA20" s="8">
        <f t="shared" si="28"/>
        <v>119575</v>
      </c>
      <c r="AB20" s="8">
        <f>AB19+AB18</f>
        <v>90753</v>
      </c>
      <c r="AC20" s="8">
        <f>AC19+AC18</f>
        <v>85777</v>
      </c>
      <c r="AD20" s="8">
        <f>AD19+AD18</f>
        <v>94930</v>
      </c>
      <c r="AM20" s="8">
        <v>5941</v>
      </c>
      <c r="AN20" s="8">
        <v>6134</v>
      </c>
      <c r="AO20" s="8">
        <f t="shared" ref="AO20:BG20" si="29">+AO18+AO19</f>
        <v>7983</v>
      </c>
      <c r="AP20" s="8">
        <f t="shared" si="29"/>
        <v>5363</v>
      </c>
      <c r="AQ20" s="8">
        <f t="shared" si="29"/>
        <v>5742</v>
      </c>
      <c r="AR20" s="8">
        <f t="shared" si="29"/>
        <v>6207</v>
      </c>
      <c r="AS20" s="8">
        <f t="shared" si="29"/>
        <v>8279</v>
      </c>
      <c r="AT20" s="8">
        <f t="shared" si="29"/>
        <v>13931</v>
      </c>
      <c r="AU20" s="8">
        <f t="shared" si="29"/>
        <v>19315</v>
      </c>
      <c r="AV20" s="13">
        <f t="shared" si="29"/>
        <v>24006</v>
      </c>
      <c r="AW20" s="8">
        <f t="shared" si="29"/>
        <v>37491</v>
      </c>
      <c r="AX20" s="8">
        <f t="shared" si="29"/>
        <v>42905</v>
      </c>
      <c r="AY20" s="8">
        <f t="shared" si="29"/>
        <v>65225</v>
      </c>
      <c r="AZ20" s="8">
        <f t="shared" si="29"/>
        <v>108249</v>
      </c>
      <c r="BA20" s="8">
        <f t="shared" si="29"/>
        <v>156508</v>
      </c>
      <c r="BB20" s="8">
        <f t="shared" si="29"/>
        <v>170910</v>
      </c>
      <c r="BC20" s="8">
        <f t="shared" si="29"/>
        <v>182795</v>
      </c>
      <c r="BD20" s="8">
        <f t="shared" si="29"/>
        <v>233715</v>
      </c>
      <c r="BE20" s="8">
        <f t="shared" si="29"/>
        <v>215639</v>
      </c>
      <c r="BF20" s="8">
        <f t="shared" si="29"/>
        <v>229234</v>
      </c>
      <c r="BG20" s="8">
        <f t="shared" si="29"/>
        <v>265595</v>
      </c>
      <c r="BH20" s="8">
        <f t="shared" ref="BH20" si="30">+BH18+BH19</f>
        <v>260174</v>
      </c>
      <c r="BI20" s="8">
        <f>+BI18+BI19</f>
        <v>274515</v>
      </c>
      <c r="BJ20" s="8">
        <f>+BJ18+BJ19</f>
        <v>365817</v>
      </c>
      <c r="BK20" s="8">
        <f>+BK18+BK19</f>
        <v>394328</v>
      </c>
      <c r="BL20" s="8">
        <f>+BL18+BL19</f>
        <v>383285</v>
      </c>
      <c r="BM20" s="8">
        <v>391035</v>
      </c>
      <c r="BN20" s="8">
        <f t="shared" ref="BN20:CC20" si="31">+BN18+BN19</f>
        <v>429212.71292725601</v>
      </c>
      <c r="BO20" s="8">
        <f t="shared" si="31"/>
        <v>455627.31407115923</v>
      </c>
      <c r="BP20" s="8">
        <f t="shared" si="31"/>
        <v>486078.32536572334</v>
      </c>
      <c r="BQ20" s="8">
        <f t="shared" si="31"/>
        <v>518773.07506223908</v>
      </c>
      <c r="BR20" s="8">
        <f t="shared" si="31"/>
        <v>546589.11776283197</v>
      </c>
      <c r="BS20" s="8">
        <f t="shared" si="31"/>
        <v>572788.58695300436</v>
      </c>
      <c r="BT20" s="8">
        <f t="shared" si="31"/>
        <v>600258.81733913138</v>
      </c>
      <c r="BU20" s="8">
        <f t="shared" si="31"/>
        <v>629062.21528755734</v>
      </c>
      <c r="BV20" s="8">
        <f t="shared" si="31"/>
        <v>659264.292028244</v>
      </c>
      <c r="BW20" s="8">
        <f t="shared" si="31"/>
        <v>687869.12068757659</v>
      </c>
      <c r="BX20" s="8">
        <f t="shared" si="31"/>
        <v>716975.35798873124</v>
      </c>
      <c r="BY20" s="8">
        <f t="shared" si="31"/>
        <v>747341.15540733095</v>
      </c>
      <c r="BZ20" s="8">
        <f t="shared" si="31"/>
        <v>779022.23244724597</v>
      </c>
      <c r="CA20" s="8">
        <f t="shared" si="31"/>
        <v>812076.82500680583</v>
      </c>
      <c r="CB20" s="8">
        <f t="shared" si="31"/>
        <v>846565.80116927309</v>
      </c>
      <c r="CC20" s="8">
        <f t="shared" si="31"/>
        <v>882552.78240905399</v>
      </c>
    </row>
    <row r="21" spans="2:193" s="2" customFormat="1" x14ac:dyDescent="0.25">
      <c r="B21" s="2" t="s">
        <v>25</v>
      </c>
      <c r="K21" s="2">
        <v>52075</v>
      </c>
      <c r="L21" s="2">
        <v>31321</v>
      </c>
      <c r="M21" s="2">
        <v>32693</v>
      </c>
      <c r="N21" s="2">
        <v>35197</v>
      </c>
      <c r="O21" s="2">
        <v>62130</v>
      </c>
      <c r="P21" s="2">
        <v>46447</v>
      </c>
      <c r="Q21" s="2">
        <v>40899</v>
      </c>
      <c r="R21" s="2">
        <v>42790</v>
      </c>
      <c r="S21" s="2">
        <v>64309</v>
      </c>
      <c r="T21" s="2">
        <v>49290</v>
      </c>
      <c r="U21" s="2">
        <v>41485</v>
      </c>
      <c r="V21" s="2">
        <v>46387</v>
      </c>
      <c r="W21" s="2">
        <v>60765</v>
      </c>
      <c r="X21" s="2">
        <v>46795</v>
      </c>
      <c r="Y21" s="2">
        <v>39136</v>
      </c>
      <c r="Z21" s="2">
        <f>189282-Y21-X21-W21</f>
        <v>42586</v>
      </c>
      <c r="AA21" s="2">
        <v>58440</v>
      </c>
      <c r="AB21" s="2">
        <v>42424</v>
      </c>
      <c r="AC21" s="2">
        <v>39803</v>
      </c>
      <c r="AD21" s="2">
        <f>-AC21-AB21-AA21+185233</f>
        <v>44566</v>
      </c>
      <c r="BG21" s="7">
        <v>148164</v>
      </c>
      <c r="BH21" s="7">
        <v>144996</v>
      </c>
      <c r="BI21" s="7">
        <f>SUM(K21:N21)</f>
        <v>151286</v>
      </c>
      <c r="BJ21" s="7">
        <f t="shared" ref="BJ21:BJ22" si="32">SUM(O21:R21)</f>
        <v>192266</v>
      </c>
      <c r="BK21" s="7">
        <f t="shared" ref="BK21:BK22" si="33">SUM(S21:V21)</f>
        <v>201471</v>
      </c>
      <c r="BL21" s="2">
        <f>+BL18*0.64</f>
        <v>190774.39999999999</v>
      </c>
      <c r="BM21" s="2">
        <f>+BM18*0.63</f>
        <v>193206.87666000001</v>
      </c>
      <c r="BN21" s="2">
        <f t="shared" ref="BN21:CC21" si="34">+BN18*0.63</f>
        <v>201269.32114417126</v>
      </c>
      <c r="BO21" s="2">
        <f t="shared" si="34"/>
        <v>210997.05106483027</v>
      </c>
      <c r="BP21" s="2">
        <f t="shared" si="34"/>
        <v>222576.37250040568</v>
      </c>
      <c r="BQ21" s="2">
        <f t="shared" si="34"/>
        <v>234808.76756121061</v>
      </c>
      <c r="BR21" s="2">
        <f t="shared" si="34"/>
        <v>247731.96097618414</v>
      </c>
      <c r="BS21" s="2">
        <f t="shared" si="34"/>
        <v>259406.66740527275</v>
      </c>
      <c r="BT21" s="2">
        <f t="shared" si="34"/>
        <v>271640.40542977676</v>
      </c>
      <c r="BU21" s="2">
        <f t="shared" si="34"/>
        <v>284460.41366259131</v>
      </c>
      <c r="BV21" s="2">
        <f t="shared" si="34"/>
        <v>297895.28291079536</v>
      </c>
      <c r="BW21" s="2">
        <f t="shared" si="34"/>
        <v>310044.26391282497</v>
      </c>
      <c r="BX21" s="2">
        <f t="shared" si="34"/>
        <v>322215.52930653503</v>
      </c>
      <c r="BY21" s="2">
        <f t="shared" si="34"/>
        <v>334872.03436893458</v>
      </c>
      <c r="BZ21" s="2">
        <f t="shared" si="34"/>
        <v>348033.46822719683</v>
      </c>
      <c r="CA21" s="2">
        <f t="shared" si="34"/>
        <v>361720.33462899114</v>
      </c>
      <c r="CB21" s="2">
        <f t="shared" si="34"/>
        <v>375953.98635508062</v>
      </c>
      <c r="CC21" s="2">
        <f t="shared" si="34"/>
        <v>390756.66111706459</v>
      </c>
    </row>
    <row r="22" spans="2:193" s="2" customFormat="1" x14ac:dyDescent="0.25">
      <c r="B22" s="2" t="s">
        <v>24</v>
      </c>
      <c r="K22" s="2">
        <v>4527</v>
      </c>
      <c r="L22" s="2">
        <v>4622</v>
      </c>
      <c r="M22" s="2">
        <v>4312</v>
      </c>
      <c r="N22" s="2">
        <v>4812</v>
      </c>
      <c r="O22" s="2">
        <v>4981</v>
      </c>
      <c r="P22" s="2">
        <v>5058</v>
      </c>
      <c r="Q22" s="2">
        <v>5280</v>
      </c>
      <c r="R22" s="2">
        <v>5396</v>
      </c>
      <c r="S22" s="2">
        <v>5393</v>
      </c>
      <c r="T22" s="2">
        <v>5429</v>
      </c>
      <c r="U22" s="2">
        <v>5589</v>
      </c>
      <c r="V22" s="2">
        <v>5664</v>
      </c>
      <c r="W22" s="2">
        <v>6057</v>
      </c>
      <c r="X22" s="2">
        <v>6065</v>
      </c>
      <c r="Y22" s="2">
        <v>6248</v>
      </c>
      <c r="Z22" s="2">
        <f>24855-Y22-X22-W22</f>
        <v>6485</v>
      </c>
      <c r="AA22" s="2">
        <v>6280</v>
      </c>
      <c r="AB22" s="2">
        <v>6058</v>
      </c>
      <c r="AC22" s="2">
        <v>6296</v>
      </c>
      <c r="AD22" s="2">
        <f>-AC22-AB22-AA22+25119</f>
        <v>6485</v>
      </c>
      <c r="BG22" s="7">
        <v>15592</v>
      </c>
      <c r="BH22" s="7">
        <v>16786</v>
      </c>
      <c r="BI22" s="7">
        <f>SUM(K22:N22)</f>
        <v>18273</v>
      </c>
      <c r="BJ22" s="7">
        <f t="shared" si="32"/>
        <v>20715</v>
      </c>
      <c r="BK22" s="7">
        <f t="shared" si="33"/>
        <v>22075</v>
      </c>
      <c r="BL22" s="2">
        <f>+BL19*0.27</f>
        <v>23004</v>
      </c>
      <c r="BM22" s="2">
        <f>+BM19*0.24</f>
        <v>22901.760000000002</v>
      </c>
      <c r="BN22" s="2">
        <f t="shared" ref="BN22:CC22" si="35">+BN19*0.24</f>
        <v>26337.024000000001</v>
      </c>
      <c r="BO22" s="2">
        <f t="shared" si="35"/>
        <v>28970.726400000003</v>
      </c>
      <c r="BP22" s="2">
        <f t="shared" si="35"/>
        <v>31867.799040000002</v>
      </c>
      <c r="BQ22" s="2">
        <f t="shared" si="35"/>
        <v>35054.578944000008</v>
      </c>
      <c r="BR22" s="2">
        <f t="shared" si="35"/>
        <v>36807.307891200006</v>
      </c>
      <c r="BS22" s="2">
        <f t="shared" si="35"/>
        <v>38647.673285760007</v>
      </c>
      <c r="BT22" s="2">
        <f t="shared" si="35"/>
        <v>40580.056950048012</v>
      </c>
      <c r="BU22" s="2">
        <f t="shared" si="35"/>
        <v>42609.059797550413</v>
      </c>
      <c r="BV22" s="2">
        <f t="shared" si="35"/>
        <v>44739.512787427928</v>
      </c>
      <c r="BW22" s="2">
        <f t="shared" si="35"/>
        <v>46976.488426799326</v>
      </c>
      <c r="BX22" s="2">
        <f t="shared" si="35"/>
        <v>49325.3128481393</v>
      </c>
      <c r="BY22" s="2">
        <f t="shared" si="35"/>
        <v>51791.578490546264</v>
      </c>
      <c r="BZ22" s="2">
        <f t="shared" si="35"/>
        <v>54381.157415073576</v>
      </c>
      <c r="CA22" s="2">
        <f t="shared" si="35"/>
        <v>57100.21528582726</v>
      </c>
      <c r="CB22" s="2">
        <f t="shared" si="35"/>
        <v>59955.226050118625</v>
      </c>
      <c r="CC22" s="2">
        <f t="shared" si="35"/>
        <v>62952.987352624565</v>
      </c>
    </row>
    <row r="23" spans="2:193" s="2" customFormat="1" x14ac:dyDescent="0.25">
      <c r="B23" s="2" t="s">
        <v>23</v>
      </c>
      <c r="C23" s="2">
        <v>54381</v>
      </c>
      <c r="D23" s="2">
        <v>37715</v>
      </c>
      <c r="E23" s="2">
        <v>32844</v>
      </c>
      <c r="F23" s="2">
        <f>163756-E23-D23-C23</f>
        <v>38816</v>
      </c>
      <c r="K23" s="2">
        <f t="shared" ref="K23:N23" si="36">+K21+K22</f>
        <v>56602</v>
      </c>
      <c r="L23" s="2">
        <f t="shared" si="36"/>
        <v>35943</v>
      </c>
      <c r="M23" s="2">
        <f t="shared" si="36"/>
        <v>37005</v>
      </c>
      <c r="N23" s="2">
        <f t="shared" si="36"/>
        <v>40009</v>
      </c>
      <c r="O23" s="2">
        <f>+O21+O22</f>
        <v>67111</v>
      </c>
      <c r="P23" s="2">
        <f>+P21+P22</f>
        <v>51505</v>
      </c>
      <c r="Q23" s="2">
        <f>+Q21+Q22</f>
        <v>46179</v>
      </c>
      <c r="R23" s="2">
        <f t="shared" ref="R23" si="37">+R21+R22</f>
        <v>48186</v>
      </c>
      <c r="S23" s="2">
        <f t="shared" ref="S23" si="38">+S21+S22</f>
        <v>69702</v>
      </c>
      <c r="T23" s="2">
        <f>+T21+T22</f>
        <v>54719</v>
      </c>
      <c r="U23" s="2">
        <f t="shared" ref="U23" si="39">+U21+U22</f>
        <v>47074</v>
      </c>
      <c r="V23" s="2">
        <f t="shared" ref="V23" si="40">+V21+V22</f>
        <v>52051</v>
      </c>
      <c r="W23" s="2">
        <f t="shared" ref="W23:AD23" si="41">+W21+W22</f>
        <v>66822</v>
      </c>
      <c r="X23" s="2">
        <f t="shared" si="41"/>
        <v>52860</v>
      </c>
      <c r="Y23" s="2">
        <f t="shared" si="41"/>
        <v>45384</v>
      </c>
      <c r="Z23" s="2">
        <f t="shared" si="41"/>
        <v>49071</v>
      </c>
      <c r="AA23" s="2">
        <f t="shared" si="41"/>
        <v>64720</v>
      </c>
      <c r="AB23" s="2">
        <f t="shared" si="41"/>
        <v>48482</v>
      </c>
      <c r="AC23" s="2">
        <f t="shared" si="41"/>
        <v>46099</v>
      </c>
      <c r="AD23" s="2">
        <f t="shared" si="41"/>
        <v>51051</v>
      </c>
      <c r="AO23" s="2">
        <v>5817</v>
      </c>
      <c r="AP23" s="2">
        <v>4128</v>
      </c>
      <c r="AQ23" s="2">
        <v>4139</v>
      </c>
      <c r="AR23" s="2">
        <v>4499</v>
      </c>
      <c r="AS23" s="2">
        <v>6020</v>
      </c>
      <c r="AT23" s="2">
        <v>9888</v>
      </c>
      <c r="AU23" s="2">
        <v>13717</v>
      </c>
      <c r="AV23" s="2">
        <v>15852</v>
      </c>
      <c r="AW23" s="2">
        <v>24294</v>
      </c>
      <c r="AX23" s="2">
        <v>25683</v>
      </c>
      <c r="AY23" s="2">
        <v>39541</v>
      </c>
      <c r="AZ23" s="2">
        <v>64431</v>
      </c>
      <c r="BA23" s="2">
        <v>87846</v>
      </c>
      <c r="BB23" s="2">
        <v>106606</v>
      </c>
      <c r="BC23" s="2">
        <v>112258</v>
      </c>
      <c r="BD23" s="2">
        <v>140089</v>
      </c>
      <c r="BE23" s="2">
        <v>131376</v>
      </c>
      <c r="BF23" s="2">
        <v>141048</v>
      </c>
      <c r="BG23" s="2">
        <f t="shared" ref="BG23:BH23" si="42">+BG21+BG22</f>
        <v>163756</v>
      </c>
      <c r="BH23" s="2">
        <f t="shared" si="42"/>
        <v>161782</v>
      </c>
      <c r="BI23" s="2">
        <f>+BI21+BI22</f>
        <v>169559</v>
      </c>
      <c r="BJ23" s="2">
        <f>+BJ21+BJ22</f>
        <v>212981</v>
      </c>
      <c r="BK23" s="2">
        <f>+BK21+BK22</f>
        <v>223546</v>
      </c>
      <c r="BL23" s="2">
        <f t="shared" ref="BL23:CC23" si="43">+BL21+BL22</f>
        <v>213778.4</v>
      </c>
      <c r="BM23" s="2">
        <f t="shared" si="43"/>
        <v>216108.63666000002</v>
      </c>
      <c r="BN23" s="2">
        <f t="shared" si="43"/>
        <v>227606.34514417127</v>
      </c>
      <c r="BO23" s="2">
        <f t="shared" si="43"/>
        <v>239967.77746483029</v>
      </c>
      <c r="BP23" s="2">
        <f t="shared" si="43"/>
        <v>254444.17154040569</v>
      </c>
      <c r="BQ23" s="2">
        <f t="shared" si="43"/>
        <v>269863.34650521062</v>
      </c>
      <c r="BR23" s="2">
        <f t="shared" si="43"/>
        <v>284539.26886738418</v>
      </c>
      <c r="BS23" s="2">
        <f t="shared" si="43"/>
        <v>298054.34069103276</v>
      </c>
      <c r="BT23" s="2">
        <f t="shared" si="43"/>
        <v>312220.46237982478</v>
      </c>
      <c r="BU23" s="2">
        <f t="shared" si="43"/>
        <v>327069.47346014174</v>
      </c>
      <c r="BV23" s="2">
        <f t="shared" si="43"/>
        <v>342634.79569822329</v>
      </c>
      <c r="BW23" s="2">
        <f t="shared" si="43"/>
        <v>357020.75233962428</v>
      </c>
      <c r="BX23" s="2">
        <f t="shared" si="43"/>
        <v>371540.84215467435</v>
      </c>
      <c r="BY23" s="2">
        <f t="shared" si="43"/>
        <v>386663.61285948084</v>
      </c>
      <c r="BZ23" s="2">
        <f t="shared" si="43"/>
        <v>402414.62564227043</v>
      </c>
      <c r="CA23" s="2">
        <f t="shared" si="43"/>
        <v>418820.54991481837</v>
      </c>
      <c r="CB23" s="2">
        <f t="shared" si="43"/>
        <v>435909.21240519924</v>
      </c>
      <c r="CC23" s="2">
        <f t="shared" si="43"/>
        <v>453709.64846968919</v>
      </c>
    </row>
    <row r="24" spans="2:193" s="2" customFormat="1" x14ac:dyDescent="0.25">
      <c r="B24" s="2" t="s">
        <v>22</v>
      </c>
      <c r="C24" s="2">
        <f t="shared" ref="C24" si="44">+C20-C23</f>
        <v>33912</v>
      </c>
      <c r="D24" s="2">
        <f t="shared" ref="D24:F24" si="45">+D20-D23</f>
        <v>23422</v>
      </c>
      <c r="E24" s="2">
        <f t="shared" si="45"/>
        <v>20421</v>
      </c>
      <c r="F24" s="2">
        <f t="shared" si="45"/>
        <v>24084</v>
      </c>
      <c r="K24" s="2">
        <f t="shared" ref="K24:N24" si="46">+K20-K23</f>
        <v>35217</v>
      </c>
      <c r="L24" s="2">
        <f t="shared" si="46"/>
        <v>22370</v>
      </c>
      <c r="M24" s="2">
        <f t="shared" si="46"/>
        <v>22680</v>
      </c>
      <c r="N24" s="2">
        <f t="shared" si="46"/>
        <v>24689</v>
      </c>
      <c r="O24" s="2">
        <f>+O20-O23</f>
        <v>44328</v>
      </c>
      <c r="P24" s="2">
        <f>+P20-P23</f>
        <v>38079</v>
      </c>
      <c r="Q24" s="2">
        <f>+Q20-Q23</f>
        <v>35255</v>
      </c>
      <c r="R24" s="2">
        <f t="shared" ref="R24" si="47">+R20-R23</f>
        <v>35174</v>
      </c>
      <c r="S24" s="2">
        <f t="shared" ref="S24" si="48">+S20-S23</f>
        <v>54243</v>
      </c>
      <c r="T24" s="2">
        <f>+T20-T23</f>
        <v>42559</v>
      </c>
      <c r="U24" s="2">
        <f t="shared" ref="U24" si="49">+U20-U23</f>
        <v>35885</v>
      </c>
      <c r="V24" s="2">
        <f t="shared" ref="V24" si="50">+V20-V23</f>
        <v>38095</v>
      </c>
      <c r="W24" s="2">
        <f t="shared" ref="W24:AD24" si="51">+W20-W23</f>
        <v>50332</v>
      </c>
      <c r="X24" s="2">
        <f t="shared" si="51"/>
        <v>41976</v>
      </c>
      <c r="Y24" s="2">
        <f t="shared" si="51"/>
        <v>36413</v>
      </c>
      <c r="Z24" s="2">
        <f t="shared" si="51"/>
        <v>40427</v>
      </c>
      <c r="AA24" s="2">
        <f t="shared" si="51"/>
        <v>54855</v>
      </c>
      <c r="AB24" s="2">
        <f t="shared" si="51"/>
        <v>42271</v>
      </c>
      <c r="AC24" s="2">
        <f t="shared" si="51"/>
        <v>39678</v>
      </c>
      <c r="AD24" s="2">
        <f t="shared" si="51"/>
        <v>43879</v>
      </c>
      <c r="AO24" s="2">
        <f t="shared" ref="AO24:AP24" si="52">+AO20-AO23</f>
        <v>2166</v>
      </c>
      <c r="AP24" s="2">
        <f t="shared" si="52"/>
        <v>1235</v>
      </c>
      <c r="AQ24" s="2">
        <f>+AQ20-AQ23</f>
        <v>1603</v>
      </c>
      <c r="AR24" s="2">
        <f t="shared" ref="AR24:AS24" si="53">+AR20-AR23</f>
        <v>1708</v>
      </c>
      <c r="AS24" s="2">
        <f t="shared" si="53"/>
        <v>2259</v>
      </c>
      <c r="AT24" s="2">
        <f t="shared" ref="AT24:AU24" si="54">+AT20-AT23</f>
        <v>4043</v>
      </c>
      <c r="AU24" s="2">
        <f t="shared" si="54"/>
        <v>5598</v>
      </c>
      <c r="AV24" s="2">
        <f t="shared" ref="AV24:AW24" si="55">+AV20-AV23</f>
        <v>8154</v>
      </c>
      <c r="AW24" s="2">
        <f t="shared" si="55"/>
        <v>13197</v>
      </c>
      <c r="AX24" s="2">
        <f t="shared" ref="AX24:AZ24" si="56">+AX20-AX23</f>
        <v>17222</v>
      </c>
      <c r="AY24" s="2">
        <f t="shared" si="56"/>
        <v>25684</v>
      </c>
      <c r="AZ24" s="2">
        <f t="shared" si="56"/>
        <v>43818</v>
      </c>
      <c r="BA24" s="2">
        <f t="shared" ref="BA24:BF24" si="57">+BA20-BA23</f>
        <v>68662</v>
      </c>
      <c r="BB24" s="2">
        <f t="shared" si="57"/>
        <v>64304</v>
      </c>
      <c r="BC24" s="2">
        <f t="shared" si="57"/>
        <v>70537</v>
      </c>
      <c r="BD24" s="2">
        <f t="shared" si="57"/>
        <v>93626</v>
      </c>
      <c r="BE24" s="2">
        <f t="shared" si="57"/>
        <v>84263</v>
      </c>
      <c r="BF24" s="2">
        <f t="shared" si="57"/>
        <v>88186</v>
      </c>
      <c r="BG24" s="2">
        <f t="shared" ref="BG24:BH24" si="58">+BG20-BG23</f>
        <v>101839</v>
      </c>
      <c r="BH24" s="2">
        <f t="shared" si="58"/>
        <v>98392</v>
      </c>
      <c r="BI24" s="2">
        <f>+BI20-BI23</f>
        <v>104956</v>
      </c>
      <c r="BJ24" s="2">
        <f>+BJ20-BJ23</f>
        <v>152836</v>
      </c>
      <c r="BK24" s="2">
        <f>+BK20-BK23</f>
        <v>170782</v>
      </c>
      <c r="BL24" s="2">
        <f t="shared" ref="BL24:CC24" si="59">+BL20-BL23</f>
        <v>169506.6</v>
      </c>
      <c r="BM24" s="2">
        <f t="shared" si="59"/>
        <v>174926.36333999998</v>
      </c>
      <c r="BN24" s="2">
        <f t="shared" si="59"/>
        <v>201606.36778308474</v>
      </c>
      <c r="BO24" s="2">
        <f t="shared" si="59"/>
        <v>215659.53660632894</v>
      </c>
      <c r="BP24" s="2">
        <f t="shared" si="59"/>
        <v>231634.15382531765</v>
      </c>
      <c r="BQ24" s="2">
        <f t="shared" si="59"/>
        <v>248909.72855702846</v>
      </c>
      <c r="BR24" s="2">
        <f t="shared" si="59"/>
        <v>262049.84889544779</v>
      </c>
      <c r="BS24" s="2">
        <f t="shared" si="59"/>
        <v>274734.2462619716</v>
      </c>
      <c r="BT24" s="2">
        <f t="shared" si="59"/>
        <v>288038.3549593066</v>
      </c>
      <c r="BU24" s="2">
        <f t="shared" si="59"/>
        <v>301992.74182741559</v>
      </c>
      <c r="BV24" s="2">
        <f t="shared" si="59"/>
        <v>316629.49633002072</v>
      </c>
      <c r="BW24" s="2">
        <f t="shared" si="59"/>
        <v>330848.36834795232</v>
      </c>
      <c r="BX24" s="2">
        <f t="shared" si="59"/>
        <v>345434.51583405689</v>
      </c>
      <c r="BY24" s="2">
        <f t="shared" si="59"/>
        <v>360677.54254785011</v>
      </c>
      <c r="BZ24" s="2">
        <f t="shared" si="59"/>
        <v>376607.60680497554</v>
      </c>
      <c r="CA24" s="2">
        <f t="shared" si="59"/>
        <v>393256.27509198745</v>
      </c>
      <c r="CB24" s="2">
        <f t="shared" si="59"/>
        <v>410656.58876407385</v>
      </c>
      <c r="CC24" s="2">
        <f t="shared" si="59"/>
        <v>428843.13393936481</v>
      </c>
    </row>
    <row r="25" spans="2:193" s="2" customFormat="1" x14ac:dyDescent="0.25">
      <c r="B25" s="2" t="s">
        <v>26</v>
      </c>
      <c r="C25" s="2">
        <v>3407</v>
      </c>
      <c r="D25" s="2">
        <v>3378</v>
      </c>
      <c r="E25" s="2">
        <v>3701</v>
      </c>
      <c r="F25" s="2">
        <f>14236-E25-D25-C25</f>
        <v>3750</v>
      </c>
      <c r="K25" s="2">
        <v>4451</v>
      </c>
      <c r="L25" s="2">
        <v>4565</v>
      </c>
      <c r="M25" s="2">
        <v>4758</v>
      </c>
      <c r="N25" s="2">
        <v>4978</v>
      </c>
      <c r="O25" s="2">
        <v>5163</v>
      </c>
      <c r="P25" s="2">
        <v>5262</v>
      </c>
      <c r="Q25" s="2">
        <v>5717</v>
      </c>
      <c r="R25" s="2">
        <v>5772</v>
      </c>
      <c r="S25" s="2">
        <v>6306</v>
      </c>
      <c r="T25" s="2">
        <v>6387</v>
      </c>
      <c r="U25" s="2">
        <v>6797</v>
      </c>
      <c r="V25" s="2">
        <v>6761</v>
      </c>
      <c r="W25" s="2">
        <v>7709</v>
      </c>
      <c r="X25" s="2">
        <v>7457</v>
      </c>
      <c r="Y25" s="2">
        <v>7442</v>
      </c>
      <c r="Z25" s="2">
        <f>29915-Y25-X25-W25</f>
        <v>7307</v>
      </c>
      <c r="AA25" s="2">
        <v>7696</v>
      </c>
      <c r="AB25" s="2">
        <v>7903</v>
      </c>
      <c r="AC25" s="2">
        <v>8006</v>
      </c>
      <c r="AD25" s="2">
        <f>-AC25-AB25-AA25+31370</f>
        <v>7765</v>
      </c>
      <c r="AO25" s="2">
        <v>380</v>
      </c>
      <c r="AP25" s="2">
        <v>430</v>
      </c>
      <c r="AQ25" s="2">
        <v>446</v>
      </c>
      <c r="AR25" s="2">
        <v>471</v>
      </c>
      <c r="AS25" s="2">
        <v>489</v>
      </c>
      <c r="AT25" s="2">
        <v>534</v>
      </c>
      <c r="AU25" s="2">
        <v>712</v>
      </c>
      <c r="AV25" s="2">
        <v>782</v>
      </c>
      <c r="AW25" s="2">
        <v>1109</v>
      </c>
      <c r="AX25" s="2">
        <v>1333</v>
      </c>
      <c r="AY25" s="2">
        <v>1782</v>
      </c>
      <c r="AZ25" s="2">
        <v>2429</v>
      </c>
      <c r="BA25" s="2">
        <v>3381</v>
      </c>
      <c r="BB25" s="2">
        <v>4475</v>
      </c>
      <c r="BC25" s="2">
        <v>6041</v>
      </c>
      <c r="BD25" s="2">
        <v>8067</v>
      </c>
      <c r="BE25" s="2">
        <v>10045</v>
      </c>
      <c r="BF25" s="2">
        <v>11581</v>
      </c>
      <c r="BG25" s="7">
        <v>14236</v>
      </c>
      <c r="BH25" s="7">
        <v>16217</v>
      </c>
      <c r="BI25" s="7">
        <f>SUM(K25:N25)</f>
        <v>18752</v>
      </c>
      <c r="BJ25" s="7">
        <f t="shared" ref="BJ25:BJ26" si="60">SUM(O25:R25)</f>
        <v>21914</v>
      </c>
      <c r="BK25" s="7">
        <f t="shared" ref="BK25:BK26" si="61">SUM(S25:V25)</f>
        <v>26251</v>
      </c>
      <c r="BL25" s="2">
        <f>+BK25*1.03</f>
        <v>27038.530000000002</v>
      </c>
      <c r="BM25" s="2">
        <f t="shared" ref="BM25:CC25" si="62">+BL25*1.03</f>
        <v>27849.685900000004</v>
      </c>
      <c r="BN25" s="2">
        <f t="shared" si="62"/>
        <v>28685.176477000005</v>
      </c>
      <c r="BO25" s="2">
        <f t="shared" si="62"/>
        <v>29545.731771310006</v>
      </c>
      <c r="BP25" s="2">
        <f t="shared" si="62"/>
        <v>30432.103724449305</v>
      </c>
      <c r="BQ25" s="2">
        <f t="shared" si="62"/>
        <v>31345.066836182785</v>
      </c>
      <c r="BR25" s="2">
        <f t="shared" si="62"/>
        <v>32285.418841268271</v>
      </c>
      <c r="BS25" s="2">
        <f t="shared" si="62"/>
        <v>33253.981406506318</v>
      </c>
      <c r="BT25" s="2">
        <f t="shared" si="62"/>
        <v>34251.600848701506</v>
      </c>
      <c r="BU25" s="2">
        <f t="shared" si="62"/>
        <v>35279.148874162551</v>
      </c>
      <c r="BV25" s="2">
        <f t="shared" si="62"/>
        <v>36337.52334038743</v>
      </c>
      <c r="BW25" s="2">
        <f t="shared" si="62"/>
        <v>37427.649040599055</v>
      </c>
      <c r="BX25" s="2">
        <f t="shared" si="62"/>
        <v>38550.478511817026</v>
      </c>
      <c r="BY25" s="2">
        <f t="shared" si="62"/>
        <v>39706.992867171539</v>
      </c>
      <c r="BZ25" s="2">
        <f t="shared" si="62"/>
        <v>40898.202653186687</v>
      </c>
      <c r="CA25" s="2">
        <f t="shared" si="62"/>
        <v>42125.148732782291</v>
      </c>
      <c r="CB25" s="2">
        <f t="shared" si="62"/>
        <v>43388.903194765764</v>
      </c>
      <c r="CC25" s="2">
        <f t="shared" si="62"/>
        <v>44690.570290608739</v>
      </c>
    </row>
    <row r="26" spans="2:193" s="2" customFormat="1" x14ac:dyDescent="0.25">
      <c r="B26" s="2" t="s">
        <v>27</v>
      </c>
      <c r="C26" s="2">
        <v>4231</v>
      </c>
      <c r="D26" s="2">
        <v>4150</v>
      </c>
      <c r="E26" s="2">
        <v>4108</v>
      </c>
      <c r="F26" s="2">
        <f>16705-E26-D26-C26</f>
        <v>4216</v>
      </c>
      <c r="K26" s="2">
        <v>5197</v>
      </c>
      <c r="L26" s="2">
        <v>4952</v>
      </c>
      <c r="M26" s="2">
        <v>4831</v>
      </c>
      <c r="N26" s="2">
        <v>4936</v>
      </c>
      <c r="O26" s="2">
        <v>5631</v>
      </c>
      <c r="P26" s="2">
        <v>5314</v>
      </c>
      <c r="Q26" s="2">
        <v>5412</v>
      </c>
      <c r="R26" s="2">
        <v>5616</v>
      </c>
      <c r="S26" s="2">
        <v>6449</v>
      </c>
      <c r="T26" s="2">
        <v>6193</v>
      </c>
      <c r="U26" s="2">
        <v>6012</v>
      </c>
      <c r="V26" s="2">
        <v>6440</v>
      </c>
      <c r="W26" s="2">
        <v>6607</v>
      </c>
      <c r="X26" s="2">
        <v>6201</v>
      </c>
      <c r="Y26" s="2">
        <v>5973</v>
      </c>
      <c r="Z26" s="2">
        <f>24932-Y26-X26-W26</f>
        <v>6151</v>
      </c>
      <c r="AA26" s="2">
        <v>6786</v>
      </c>
      <c r="AB26" s="2">
        <v>6468</v>
      </c>
      <c r="AC26" s="2">
        <v>6320</v>
      </c>
      <c r="AD26" s="2">
        <f>-AC26-AB26-AA26+26097</f>
        <v>6523</v>
      </c>
      <c r="AO26" s="2">
        <v>1166</v>
      </c>
      <c r="AP26" s="2">
        <v>1138</v>
      </c>
      <c r="AQ26" s="2">
        <v>1109</v>
      </c>
      <c r="AR26" s="2">
        <v>1212</v>
      </c>
      <c r="AS26" s="2">
        <v>1421</v>
      </c>
      <c r="AT26" s="2">
        <v>1859</v>
      </c>
      <c r="AU26" s="2">
        <v>2433</v>
      </c>
      <c r="AV26" s="2">
        <v>2963</v>
      </c>
      <c r="AW26" s="2">
        <v>3761</v>
      </c>
      <c r="AX26" s="2">
        <v>4149</v>
      </c>
      <c r="AY26" s="2">
        <v>5517</v>
      </c>
      <c r="AZ26" s="2">
        <v>7599</v>
      </c>
      <c r="BA26" s="2">
        <v>10040</v>
      </c>
      <c r="BB26" s="2">
        <v>10830</v>
      </c>
      <c r="BC26" s="2">
        <v>11993</v>
      </c>
      <c r="BD26" s="2">
        <v>14329</v>
      </c>
      <c r="BE26" s="2">
        <v>14194</v>
      </c>
      <c r="BF26" s="2">
        <v>15261</v>
      </c>
      <c r="BG26" s="7">
        <v>16705</v>
      </c>
      <c r="BH26" s="7">
        <v>18245</v>
      </c>
      <c r="BI26" s="7">
        <f>SUM(K26:N26)</f>
        <v>19916</v>
      </c>
      <c r="BJ26" s="7">
        <f t="shared" si="60"/>
        <v>21973</v>
      </c>
      <c r="BK26" s="7">
        <f t="shared" si="61"/>
        <v>25094</v>
      </c>
      <c r="BL26" s="2">
        <f t="shared" ref="BL26:CC26" si="63">+BK26*1.03</f>
        <v>25846.82</v>
      </c>
      <c r="BM26" s="2">
        <f t="shared" si="63"/>
        <v>26622.224600000001</v>
      </c>
      <c r="BN26" s="2">
        <f t="shared" si="63"/>
        <v>27420.891338000001</v>
      </c>
      <c r="BO26" s="2">
        <f t="shared" si="63"/>
        <v>28243.518078140001</v>
      </c>
      <c r="BP26" s="2">
        <f t="shared" si="63"/>
        <v>29090.823620484203</v>
      </c>
      <c r="BQ26" s="2">
        <f t="shared" si="63"/>
        <v>29963.548329098729</v>
      </c>
      <c r="BR26" s="2">
        <f t="shared" si="63"/>
        <v>30862.454778971693</v>
      </c>
      <c r="BS26" s="2">
        <f t="shared" si="63"/>
        <v>31788.328422340845</v>
      </c>
      <c r="BT26" s="2">
        <f t="shared" si="63"/>
        <v>32741.978275011072</v>
      </c>
      <c r="BU26" s="2">
        <f t="shared" si="63"/>
        <v>33724.237623261404</v>
      </c>
      <c r="BV26" s="2">
        <f t="shared" si="63"/>
        <v>34735.964751959247</v>
      </c>
      <c r="BW26" s="2">
        <f t="shared" si="63"/>
        <v>35778.043694518026</v>
      </c>
      <c r="BX26" s="2">
        <f t="shared" si="63"/>
        <v>36851.385005353572</v>
      </c>
      <c r="BY26" s="2">
        <f t="shared" si="63"/>
        <v>37956.926555514183</v>
      </c>
      <c r="BZ26" s="2">
        <f t="shared" si="63"/>
        <v>39095.634352179608</v>
      </c>
      <c r="CA26" s="2">
        <f t="shared" si="63"/>
        <v>40268.503382744995</v>
      </c>
      <c r="CB26" s="2">
        <f t="shared" si="63"/>
        <v>41476.558484227346</v>
      </c>
      <c r="CC26" s="2">
        <f t="shared" si="63"/>
        <v>42720.855238754164</v>
      </c>
    </row>
    <row r="27" spans="2:193" s="2" customFormat="1" x14ac:dyDescent="0.25">
      <c r="B27" s="2" t="s">
        <v>28</v>
      </c>
      <c r="C27" s="2">
        <f t="shared" ref="C27" si="64">+C25+C26</f>
        <v>7638</v>
      </c>
      <c r="D27" s="2">
        <f t="shared" ref="D27:F27" si="65">+D25+D26</f>
        <v>7528</v>
      </c>
      <c r="E27" s="2">
        <f t="shared" si="65"/>
        <v>7809</v>
      </c>
      <c r="F27" s="2">
        <f t="shared" si="65"/>
        <v>7966</v>
      </c>
      <c r="K27" s="2">
        <f t="shared" ref="K27:N27" si="66">+K25+K26</f>
        <v>9648</v>
      </c>
      <c r="L27" s="2">
        <f t="shared" si="66"/>
        <v>9517</v>
      </c>
      <c r="M27" s="2">
        <f t="shared" si="66"/>
        <v>9589</v>
      </c>
      <c r="N27" s="2">
        <f t="shared" si="66"/>
        <v>9914</v>
      </c>
      <c r="O27" s="2">
        <f>+O25+O26</f>
        <v>10794</v>
      </c>
      <c r="P27" s="2">
        <f>+P25+P26</f>
        <v>10576</v>
      </c>
      <c r="Q27" s="2">
        <f>+Q25+Q26</f>
        <v>11129</v>
      </c>
      <c r="R27" s="2">
        <f t="shared" ref="R27" si="67">+R25+R26</f>
        <v>11388</v>
      </c>
      <c r="S27" s="2">
        <f t="shared" ref="S27" si="68">+S25+S26</f>
        <v>12755</v>
      </c>
      <c r="T27" s="2">
        <f>+T25+T26</f>
        <v>12580</v>
      </c>
      <c r="U27" s="2">
        <f t="shared" ref="U27" si="69">+U25+U26</f>
        <v>12809</v>
      </c>
      <c r="V27" s="2">
        <f t="shared" ref="V27:AD27" si="70">+V25+V26</f>
        <v>13201</v>
      </c>
      <c r="W27" s="2">
        <f t="shared" si="70"/>
        <v>14316</v>
      </c>
      <c r="X27" s="2">
        <f t="shared" si="70"/>
        <v>13658</v>
      </c>
      <c r="Y27" s="2">
        <f t="shared" si="70"/>
        <v>13415</v>
      </c>
      <c r="Z27" s="2">
        <f t="shared" si="70"/>
        <v>13458</v>
      </c>
      <c r="AA27" s="2">
        <f t="shared" si="70"/>
        <v>14482</v>
      </c>
      <c r="AB27" s="2">
        <f t="shared" si="70"/>
        <v>14371</v>
      </c>
      <c r="AC27" s="2">
        <f t="shared" si="70"/>
        <v>14326</v>
      </c>
      <c r="AD27" s="2">
        <f t="shared" si="70"/>
        <v>14288</v>
      </c>
      <c r="AO27" s="2">
        <f t="shared" ref="AO27:AP27" si="71">+AO25+AO26</f>
        <v>1546</v>
      </c>
      <c r="AP27" s="2">
        <f t="shared" si="71"/>
        <v>1568</v>
      </c>
      <c r="AQ27" s="2">
        <f t="shared" ref="AQ27:AS27" si="72">+AQ25+AQ26</f>
        <v>1555</v>
      </c>
      <c r="AR27" s="2">
        <f t="shared" si="72"/>
        <v>1683</v>
      </c>
      <c r="AS27" s="2">
        <f t="shared" si="72"/>
        <v>1910</v>
      </c>
      <c r="AT27" s="2">
        <f t="shared" ref="AT27:AU27" si="73">+AT25+AT26</f>
        <v>2393</v>
      </c>
      <c r="AU27" s="2">
        <f t="shared" si="73"/>
        <v>3145</v>
      </c>
      <c r="AV27" s="2">
        <f t="shared" ref="AV27:AW27" si="74">+AV25+AV26</f>
        <v>3745</v>
      </c>
      <c r="AW27" s="2">
        <f t="shared" si="74"/>
        <v>4870</v>
      </c>
      <c r="AX27" s="2">
        <f t="shared" ref="AX27:AZ27" si="75">+AX25+AX26</f>
        <v>5482</v>
      </c>
      <c r="AY27" s="2">
        <f t="shared" si="75"/>
        <v>7299</v>
      </c>
      <c r="AZ27" s="2">
        <f t="shared" si="75"/>
        <v>10028</v>
      </c>
      <c r="BA27" s="2">
        <f t="shared" ref="BA27:BF27" si="76">+BA25+BA26</f>
        <v>13421</v>
      </c>
      <c r="BB27" s="2">
        <f t="shared" si="76"/>
        <v>15305</v>
      </c>
      <c r="BC27" s="2">
        <f t="shared" si="76"/>
        <v>18034</v>
      </c>
      <c r="BD27" s="2">
        <f t="shared" si="76"/>
        <v>22396</v>
      </c>
      <c r="BE27" s="2">
        <f t="shared" si="76"/>
        <v>24239</v>
      </c>
      <c r="BF27" s="2">
        <f t="shared" si="76"/>
        <v>26842</v>
      </c>
      <c r="BG27" s="2">
        <f t="shared" ref="BG27:BH27" si="77">+BG25+BG26</f>
        <v>30941</v>
      </c>
      <c r="BH27" s="2">
        <f t="shared" si="77"/>
        <v>34462</v>
      </c>
      <c r="BI27" s="2">
        <f>+BI25+BI26</f>
        <v>38668</v>
      </c>
      <c r="BJ27" s="2">
        <f>+BJ25+BJ26</f>
        <v>43887</v>
      </c>
      <c r="BK27" s="2">
        <f>+BK25+BK26</f>
        <v>51345</v>
      </c>
      <c r="BL27" s="2">
        <f t="shared" ref="BL27:CC27" si="78">+BL25+BL26</f>
        <v>52885.350000000006</v>
      </c>
      <c r="BM27" s="2">
        <f t="shared" si="78"/>
        <v>54471.910500000005</v>
      </c>
      <c r="BN27" s="2">
        <f t="shared" si="78"/>
        <v>56106.067815000002</v>
      </c>
      <c r="BO27" s="2">
        <f t="shared" si="78"/>
        <v>57789.249849450003</v>
      </c>
      <c r="BP27" s="2">
        <f t="shared" si="78"/>
        <v>59522.927344933509</v>
      </c>
      <c r="BQ27" s="2">
        <f t="shared" si="78"/>
        <v>61308.615165281517</v>
      </c>
      <c r="BR27" s="2">
        <f t="shared" si="78"/>
        <v>63147.87362023996</v>
      </c>
      <c r="BS27" s="2">
        <f t="shared" si="78"/>
        <v>65042.309828847167</v>
      </c>
      <c r="BT27" s="2">
        <f t="shared" si="78"/>
        <v>66993.579123712581</v>
      </c>
      <c r="BU27" s="2">
        <f t="shared" si="78"/>
        <v>69003.386497423955</v>
      </c>
      <c r="BV27" s="2">
        <f t="shared" si="78"/>
        <v>71073.48809234667</v>
      </c>
      <c r="BW27" s="2">
        <f t="shared" si="78"/>
        <v>73205.692735117074</v>
      </c>
      <c r="BX27" s="2">
        <f t="shared" si="78"/>
        <v>75401.863517170597</v>
      </c>
      <c r="BY27" s="2">
        <f t="shared" si="78"/>
        <v>77663.919422685722</v>
      </c>
      <c r="BZ27" s="2">
        <f t="shared" si="78"/>
        <v>79993.837005366295</v>
      </c>
      <c r="CA27" s="2">
        <f t="shared" si="78"/>
        <v>82393.652115527279</v>
      </c>
      <c r="CB27" s="2">
        <f t="shared" si="78"/>
        <v>84865.461678993102</v>
      </c>
      <c r="CC27" s="2">
        <f t="shared" si="78"/>
        <v>87411.425529362896</v>
      </c>
    </row>
    <row r="28" spans="2:193" s="2" customFormat="1" x14ac:dyDescent="0.25">
      <c r="B28" s="2" t="s">
        <v>29</v>
      </c>
      <c r="C28" s="2">
        <f t="shared" ref="C28" si="79">+C24-C27</f>
        <v>26274</v>
      </c>
      <c r="D28" s="2">
        <f t="shared" ref="D28:F28" si="80">+D24-D27</f>
        <v>15894</v>
      </c>
      <c r="E28" s="2">
        <f t="shared" si="80"/>
        <v>12612</v>
      </c>
      <c r="F28" s="2">
        <f t="shared" si="80"/>
        <v>16118</v>
      </c>
      <c r="K28" s="2">
        <f t="shared" ref="K28:N28" si="81">+K24-K27</f>
        <v>25569</v>
      </c>
      <c r="L28" s="2">
        <f t="shared" si="81"/>
        <v>12853</v>
      </c>
      <c r="M28" s="2">
        <f t="shared" si="81"/>
        <v>13091</v>
      </c>
      <c r="N28" s="2">
        <f t="shared" si="81"/>
        <v>14775</v>
      </c>
      <c r="O28" s="2">
        <f>+O24-O27</f>
        <v>33534</v>
      </c>
      <c r="P28" s="2">
        <f>+P24-P27</f>
        <v>27503</v>
      </c>
      <c r="Q28" s="2">
        <f>+Q24-Q27</f>
        <v>24126</v>
      </c>
      <c r="R28" s="2">
        <f t="shared" ref="R28" si="82">+R24-R27</f>
        <v>23786</v>
      </c>
      <c r="S28" s="2">
        <f t="shared" ref="S28" si="83">+S24-S27</f>
        <v>41488</v>
      </c>
      <c r="T28" s="2">
        <f>+T24-T27</f>
        <v>29979</v>
      </c>
      <c r="U28" s="2">
        <f t="shared" ref="U28" si="84">+U24-U27</f>
        <v>23076</v>
      </c>
      <c r="V28" s="2">
        <f t="shared" ref="V28:AD28" si="85">+V24-V27</f>
        <v>24894</v>
      </c>
      <c r="W28" s="2">
        <f t="shared" si="85"/>
        <v>36016</v>
      </c>
      <c r="X28" s="2">
        <f t="shared" si="85"/>
        <v>28318</v>
      </c>
      <c r="Y28" s="2">
        <f t="shared" si="85"/>
        <v>22998</v>
      </c>
      <c r="Z28" s="2">
        <f t="shared" si="85"/>
        <v>26969</v>
      </c>
      <c r="AA28" s="2">
        <f t="shared" si="85"/>
        <v>40373</v>
      </c>
      <c r="AB28" s="2">
        <f t="shared" si="85"/>
        <v>27900</v>
      </c>
      <c r="AC28" s="2">
        <f t="shared" si="85"/>
        <v>25352</v>
      </c>
      <c r="AD28" s="2">
        <f t="shared" si="85"/>
        <v>29591</v>
      </c>
      <c r="AO28" s="2">
        <f t="shared" ref="AO28:AP28" si="86">+AO24-AO27</f>
        <v>620</v>
      </c>
      <c r="AP28" s="2">
        <f t="shared" si="86"/>
        <v>-333</v>
      </c>
      <c r="AQ28" s="2">
        <f t="shared" ref="AQ28:AS28" si="87">+AQ24-AQ27</f>
        <v>48</v>
      </c>
      <c r="AR28" s="2">
        <f t="shared" si="87"/>
        <v>25</v>
      </c>
      <c r="AS28" s="2">
        <f t="shared" si="87"/>
        <v>349</v>
      </c>
      <c r="AT28" s="2">
        <f t="shared" ref="AT28:AU28" si="88">+AT24-AT27</f>
        <v>1650</v>
      </c>
      <c r="AU28" s="2">
        <f t="shared" si="88"/>
        <v>2453</v>
      </c>
      <c r="AV28" s="2">
        <f t="shared" ref="AV28:AW28" si="89">+AV24-AV27</f>
        <v>4409</v>
      </c>
      <c r="AW28" s="2">
        <f t="shared" si="89"/>
        <v>8327</v>
      </c>
      <c r="AX28" s="2">
        <f t="shared" ref="AX28:AZ28" si="90">+AX24-AX27</f>
        <v>11740</v>
      </c>
      <c r="AY28" s="2">
        <f t="shared" si="90"/>
        <v>18385</v>
      </c>
      <c r="AZ28" s="2">
        <f t="shared" si="90"/>
        <v>33790</v>
      </c>
      <c r="BA28" s="2">
        <f t="shared" ref="BA28:BF28" si="91">+BA24-BA27</f>
        <v>55241</v>
      </c>
      <c r="BB28" s="2">
        <f t="shared" si="91"/>
        <v>48999</v>
      </c>
      <c r="BC28" s="2">
        <f t="shared" si="91"/>
        <v>52503</v>
      </c>
      <c r="BD28" s="2">
        <f t="shared" si="91"/>
        <v>71230</v>
      </c>
      <c r="BE28" s="2">
        <f t="shared" si="91"/>
        <v>60024</v>
      </c>
      <c r="BF28" s="2">
        <f t="shared" si="91"/>
        <v>61344</v>
      </c>
      <c r="BG28" s="2">
        <f t="shared" ref="BG28:BH28" si="92">+BG24-BG27</f>
        <v>70898</v>
      </c>
      <c r="BH28" s="2">
        <f t="shared" si="92"/>
        <v>63930</v>
      </c>
      <c r="BI28" s="2">
        <f>+BI24-BI27</f>
        <v>66288</v>
      </c>
      <c r="BJ28" s="2">
        <f>+BJ24-BJ27</f>
        <v>108949</v>
      </c>
      <c r="BK28" s="2">
        <f>+BK24-BK27</f>
        <v>119437</v>
      </c>
      <c r="BL28" s="2">
        <f t="shared" ref="BL28:CC28" si="93">+BL24-BL27</f>
        <v>116621.25</v>
      </c>
      <c r="BM28" s="2">
        <f t="shared" si="93"/>
        <v>120454.45283999998</v>
      </c>
      <c r="BN28" s="2">
        <f t="shared" si="93"/>
        <v>145500.29996808473</v>
      </c>
      <c r="BO28" s="2">
        <f t="shared" si="93"/>
        <v>157870.28675687895</v>
      </c>
      <c r="BP28" s="2">
        <f t="shared" si="93"/>
        <v>172111.22648038415</v>
      </c>
      <c r="BQ28" s="2">
        <f t="shared" si="93"/>
        <v>187601.11339174694</v>
      </c>
      <c r="BR28" s="2">
        <f t="shared" si="93"/>
        <v>198901.97527520783</v>
      </c>
      <c r="BS28" s="2">
        <f t="shared" si="93"/>
        <v>209691.93643312441</v>
      </c>
      <c r="BT28" s="2">
        <f t="shared" si="93"/>
        <v>221044.77583559402</v>
      </c>
      <c r="BU28" s="2">
        <f t="shared" si="93"/>
        <v>232989.35532999164</v>
      </c>
      <c r="BV28" s="2">
        <f t="shared" si="93"/>
        <v>245556.00823767405</v>
      </c>
      <c r="BW28" s="2">
        <f t="shared" si="93"/>
        <v>257642.67561283524</v>
      </c>
      <c r="BX28" s="2">
        <f t="shared" si="93"/>
        <v>270032.65231688629</v>
      </c>
      <c r="BY28" s="2">
        <f t="shared" si="93"/>
        <v>283013.62312516442</v>
      </c>
      <c r="BZ28" s="2">
        <f t="shared" si="93"/>
        <v>296613.76979960926</v>
      </c>
      <c r="CA28" s="2">
        <f t="shared" si="93"/>
        <v>310862.62297646014</v>
      </c>
      <c r="CB28" s="2">
        <f t="shared" si="93"/>
        <v>325791.12708508072</v>
      </c>
      <c r="CC28" s="2">
        <f t="shared" si="93"/>
        <v>341431.70841000194</v>
      </c>
    </row>
    <row r="29" spans="2:193" s="2" customFormat="1" x14ac:dyDescent="0.25">
      <c r="B29" s="2" t="s">
        <v>35</v>
      </c>
      <c r="C29" s="2">
        <v>756</v>
      </c>
      <c r="D29" s="2">
        <v>274</v>
      </c>
      <c r="E29" s="2">
        <v>672</v>
      </c>
      <c r="F29" s="2">
        <f>2005-E29-D29-C29</f>
        <v>303</v>
      </c>
      <c r="K29" s="2">
        <v>349</v>
      </c>
      <c r="L29" s="2">
        <v>282</v>
      </c>
      <c r="M29" s="2">
        <v>46</v>
      </c>
      <c r="N29" s="2">
        <v>126</v>
      </c>
      <c r="O29" s="2">
        <v>45</v>
      </c>
      <c r="P29" s="2">
        <v>508</v>
      </c>
      <c r="Q29" s="2">
        <v>243</v>
      </c>
      <c r="R29" s="2">
        <v>-538</v>
      </c>
      <c r="S29" s="2">
        <v>-247</v>
      </c>
      <c r="T29" s="2">
        <v>160</v>
      </c>
      <c r="U29" s="2">
        <v>-10</v>
      </c>
      <c r="V29" s="2">
        <v>-237</v>
      </c>
      <c r="W29" s="2">
        <v>-393</v>
      </c>
      <c r="X29" s="2">
        <v>64</v>
      </c>
      <c r="Y29" s="2">
        <v>-265</v>
      </c>
      <c r="Z29" s="2">
        <f>-565-Y29-X29-W29</f>
        <v>29</v>
      </c>
      <c r="AA29" s="2">
        <v>-50</v>
      </c>
      <c r="AB29" s="2">
        <v>158</v>
      </c>
      <c r="AC29" s="2">
        <v>142</v>
      </c>
      <c r="AD29" s="2">
        <f>-AC29-AB29-AA29+269</f>
        <v>19</v>
      </c>
      <c r="AO29" s="2">
        <v>203</v>
      </c>
      <c r="AP29" s="2">
        <v>217</v>
      </c>
      <c r="AQ29" s="2">
        <v>70</v>
      </c>
      <c r="AR29" s="2">
        <v>93</v>
      </c>
      <c r="AS29" s="2">
        <v>57</v>
      </c>
      <c r="AT29" s="2">
        <v>165</v>
      </c>
      <c r="AU29" s="2">
        <v>365</v>
      </c>
      <c r="AV29" s="2">
        <v>599</v>
      </c>
      <c r="AW29" s="2">
        <v>620</v>
      </c>
      <c r="AX29" s="2">
        <v>326</v>
      </c>
      <c r="AY29" s="2">
        <v>155</v>
      </c>
      <c r="AZ29" s="2">
        <v>415</v>
      </c>
      <c r="BA29" s="2">
        <v>522</v>
      </c>
      <c r="BB29" s="2">
        <v>1156</v>
      </c>
      <c r="BC29" s="2">
        <v>980</v>
      </c>
      <c r="BD29" s="2">
        <v>1285</v>
      </c>
      <c r="BE29" s="2">
        <v>1348</v>
      </c>
      <c r="BF29" s="2">
        <v>2745</v>
      </c>
      <c r="BG29" s="7">
        <v>2005</v>
      </c>
      <c r="BH29" s="7">
        <v>1807</v>
      </c>
      <c r="BI29" s="7">
        <f>SUM(K29:N29)</f>
        <v>803</v>
      </c>
      <c r="BJ29" s="7">
        <f t="shared" ref="BJ29" si="94">SUM(O29:R29)</f>
        <v>258</v>
      </c>
      <c r="BK29" s="7">
        <f t="shared" ref="BK29" si="95">SUM(S29:V29)</f>
        <v>-334</v>
      </c>
    </row>
    <row r="30" spans="2:193" s="2" customFormat="1" x14ac:dyDescent="0.25">
      <c r="B30" s="2" t="s">
        <v>34</v>
      </c>
      <c r="C30" s="2">
        <f t="shared" ref="C30" si="96">+C28+C29</f>
        <v>27030</v>
      </c>
      <c r="D30" s="2">
        <f t="shared" ref="D30:F30" si="97">+D28+D29</f>
        <v>16168</v>
      </c>
      <c r="E30" s="2">
        <f t="shared" si="97"/>
        <v>13284</v>
      </c>
      <c r="F30" s="2">
        <f t="shared" si="97"/>
        <v>16421</v>
      </c>
      <c r="K30" s="2">
        <f t="shared" ref="K30:N30" si="98">+K28+K29</f>
        <v>25918</v>
      </c>
      <c r="L30" s="2">
        <f t="shared" si="98"/>
        <v>13135</v>
      </c>
      <c r="M30" s="2">
        <f t="shared" si="98"/>
        <v>13137</v>
      </c>
      <c r="N30" s="2">
        <f t="shared" si="98"/>
        <v>14901</v>
      </c>
      <c r="O30" s="2">
        <f>+O28+O29</f>
        <v>33579</v>
      </c>
      <c r="P30" s="2">
        <f>+P28+P29</f>
        <v>28011</v>
      </c>
      <c r="Q30" s="2">
        <f>+Q28+Q29</f>
        <v>24369</v>
      </c>
      <c r="R30" s="2">
        <f t="shared" ref="R30" si="99">+R28+R29</f>
        <v>23248</v>
      </c>
      <c r="S30" s="2">
        <f t="shared" ref="S30" si="100">+S28+S29</f>
        <v>41241</v>
      </c>
      <c r="T30" s="2">
        <f>+T28+T29</f>
        <v>30139</v>
      </c>
      <c r="U30" s="2">
        <f t="shared" ref="U30:AA30" si="101">+U28+U29</f>
        <v>23066</v>
      </c>
      <c r="V30" s="2">
        <f t="shared" si="101"/>
        <v>24657</v>
      </c>
      <c r="W30" s="2">
        <f t="shared" si="101"/>
        <v>35623</v>
      </c>
      <c r="X30" s="2">
        <f t="shared" si="101"/>
        <v>28382</v>
      </c>
      <c r="Y30" s="2">
        <f t="shared" si="101"/>
        <v>22733</v>
      </c>
      <c r="Z30" s="2">
        <f t="shared" si="101"/>
        <v>26998</v>
      </c>
      <c r="AA30" s="2">
        <f t="shared" si="101"/>
        <v>40323</v>
      </c>
      <c r="AB30" s="2">
        <f t="shared" ref="AB30:AC30" si="102">+AB28+AB29</f>
        <v>28058</v>
      </c>
      <c r="AC30" s="2">
        <f t="shared" si="102"/>
        <v>25494</v>
      </c>
      <c r="AD30" s="2">
        <f>+AD28+AD29</f>
        <v>29610</v>
      </c>
      <c r="AO30" s="2">
        <f t="shared" ref="AO30:AP30" si="103">+AO28+AO29</f>
        <v>823</v>
      </c>
      <c r="AP30" s="2">
        <f t="shared" si="103"/>
        <v>-116</v>
      </c>
      <c r="AQ30" s="2">
        <f t="shared" ref="AQ30:AS30" si="104">+AQ28+AQ29</f>
        <v>118</v>
      </c>
      <c r="AR30" s="2">
        <f t="shared" si="104"/>
        <v>118</v>
      </c>
      <c r="AS30" s="2">
        <f t="shared" si="104"/>
        <v>406</v>
      </c>
      <c r="AT30" s="2">
        <f t="shared" ref="AT30:AU30" si="105">+AT28+AT29</f>
        <v>1815</v>
      </c>
      <c r="AU30" s="2">
        <f t="shared" si="105"/>
        <v>2818</v>
      </c>
      <c r="AV30" s="2">
        <f t="shared" ref="AV30:AW30" si="106">+AV28+AV29</f>
        <v>5008</v>
      </c>
      <c r="AW30" s="2">
        <f t="shared" si="106"/>
        <v>8947</v>
      </c>
      <c r="AX30" s="2">
        <f t="shared" ref="AX30:AZ30" si="107">+AX28+AX29</f>
        <v>12066</v>
      </c>
      <c r="AY30" s="2">
        <f t="shared" si="107"/>
        <v>18540</v>
      </c>
      <c r="AZ30" s="2">
        <f t="shared" si="107"/>
        <v>34205</v>
      </c>
      <c r="BA30" s="2">
        <f t="shared" ref="BA30:BF30" si="108">+BA28+BA29</f>
        <v>55763</v>
      </c>
      <c r="BB30" s="2">
        <f t="shared" si="108"/>
        <v>50155</v>
      </c>
      <c r="BC30" s="2">
        <f t="shared" si="108"/>
        <v>53483</v>
      </c>
      <c r="BD30" s="2">
        <f t="shared" si="108"/>
        <v>72515</v>
      </c>
      <c r="BE30" s="2">
        <f t="shared" si="108"/>
        <v>61372</v>
      </c>
      <c r="BF30" s="2">
        <f t="shared" si="108"/>
        <v>64089</v>
      </c>
      <c r="BG30" s="2">
        <f t="shared" ref="BG30:BH30" si="109">+BG28+BG29</f>
        <v>72903</v>
      </c>
      <c r="BH30" s="2">
        <f t="shared" si="109"/>
        <v>65737</v>
      </c>
      <c r="BI30" s="2">
        <f>+BI28+BI29</f>
        <v>67091</v>
      </c>
      <c r="BJ30" s="2">
        <f>+BJ28+BJ29</f>
        <v>109207</v>
      </c>
      <c r="BK30" s="2">
        <f>+BK28+BK29</f>
        <v>119103</v>
      </c>
      <c r="BL30" s="2">
        <f t="shared" ref="BL30:CC30" si="110">+BL28+BL29</f>
        <v>116621.25</v>
      </c>
      <c r="BM30" s="2">
        <f t="shared" si="110"/>
        <v>120454.45283999998</v>
      </c>
      <c r="BN30" s="2">
        <f t="shared" si="110"/>
        <v>145500.29996808473</v>
      </c>
      <c r="BO30" s="2">
        <f t="shared" si="110"/>
        <v>157870.28675687895</v>
      </c>
      <c r="BP30" s="2">
        <f t="shared" si="110"/>
        <v>172111.22648038415</v>
      </c>
      <c r="BQ30" s="2">
        <f t="shared" si="110"/>
        <v>187601.11339174694</v>
      </c>
      <c r="BR30" s="2">
        <f t="shared" si="110"/>
        <v>198901.97527520783</v>
      </c>
      <c r="BS30" s="2">
        <f t="shared" si="110"/>
        <v>209691.93643312441</v>
      </c>
      <c r="BT30" s="2">
        <f t="shared" si="110"/>
        <v>221044.77583559402</v>
      </c>
      <c r="BU30" s="2">
        <f t="shared" si="110"/>
        <v>232989.35532999164</v>
      </c>
      <c r="BV30" s="2">
        <f t="shared" si="110"/>
        <v>245556.00823767405</v>
      </c>
      <c r="BW30" s="2">
        <f t="shared" si="110"/>
        <v>257642.67561283524</v>
      </c>
      <c r="BX30" s="2">
        <f t="shared" si="110"/>
        <v>270032.65231688629</v>
      </c>
      <c r="BY30" s="2">
        <f t="shared" si="110"/>
        <v>283013.62312516442</v>
      </c>
      <c r="BZ30" s="2">
        <f t="shared" si="110"/>
        <v>296613.76979960926</v>
      </c>
      <c r="CA30" s="2">
        <f t="shared" si="110"/>
        <v>310862.62297646014</v>
      </c>
      <c r="CB30" s="2">
        <f t="shared" si="110"/>
        <v>325791.12708508072</v>
      </c>
      <c r="CC30" s="2">
        <f t="shared" si="110"/>
        <v>341431.70841000194</v>
      </c>
    </row>
    <row r="31" spans="2:193" s="2" customFormat="1" x14ac:dyDescent="0.25">
      <c r="B31" s="2" t="s">
        <v>33</v>
      </c>
      <c r="C31" s="2">
        <v>6965</v>
      </c>
      <c r="D31" s="2">
        <v>2346</v>
      </c>
      <c r="E31" s="2">
        <v>1765</v>
      </c>
      <c r="F31" s="2">
        <f>13372-E31-D31-C31</f>
        <v>2296</v>
      </c>
      <c r="K31" s="2">
        <v>3682</v>
      </c>
      <c r="L31" s="2">
        <v>1886</v>
      </c>
      <c r="M31" s="2">
        <v>1884</v>
      </c>
      <c r="N31" s="2">
        <v>2228</v>
      </c>
      <c r="O31" s="2">
        <v>4824</v>
      </c>
      <c r="P31" s="2">
        <v>4381</v>
      </c>
      <c r="Q31" s="2">
        <v>2625</v>
      </c>
      <c r="R31" s="2">
        <v>2697</v>
      </c>
      <c r="S31" s="2">
        <v>6611</v>
      </c>
      <c r="T31" s="2">
        <v>5129</v>
      </c>
      <c r="U31" s="2">
        <v>3624</v>
      </c>
      <c r="V31" s="2">
        <v>3936</v>
      </c>
      <c r="W31" s="2">
        <v>5625</v>
      </c>
      <c r="X31" s="2">
        <v>4222</v>
      </c>
      <c r="Y31" s="2">
        <v>2852</v>
      </c>
      <c r="Z31" s="2">
        <f>16741-Y31-X31-W31</f>
        <v>4042</v>
      </c>
      <c r="AA31" s="2">
        <v>6407</v>
      </c>
      <c r="AB31" s="2">
        <v>4422</v>
      </c>
      <c r="AC31" s="2">
        <v>4046</v>
      </c>
      <c r="AD31" s="2">
        <f>-AC31-AB31-AA31+29749-10200</f>
        <v>4674</v>
      </c>
      <c r="AO31" s="2">
        <v>306</v>
      </c>
      <c r="AP31" s="2">
        <v>0</v>
      </c>
      <c r="AQ31" s="2">
        <v>22</v>
      </c>
      <c r="AR31" s="2">
        <v>24</v>
      </c>
      <c r="AS31" s="2">
        <v>107</v>
      </c>
      <c r="AT31" s="2">
        <v>480</v>
      </c>
      <c r="AU31" s="2">
        <v>829</v>
      </c>
      <c r="AV31" s="2">
        <v>1512</v>
      </c>
      <c r="AW31" s="2">
        <v>2828</v>
      </c>
      <c r="AX31" s="2">
        <v>3831</v>
      </c>
      <c r="AY31" s="2">
        <v>4527</v>
      </c>
      <c r="AZ31" s="2">
        <v>8283</v>
      </c>
      <c r="BA31" s="2">
        <v>14030</v>
      </c>
      <c r="BB31" s="2">
        <v>13118</v>
      </c>
      <c r="BC31" s="2">
        <v>13973</v>
      </c>
      <c r="BD31" s="2">
        <v>19121</v>
      </c>
      <c r="BE31" s="2">
        <v>15685</v>
      </c>
      <c r="BF31" s="2">
        <v>15738</v>
      </c>
      <c r="BG31" s="7">
        <v>13372</v>
      </c>
      <c r="BH31" s="7">
        <v>10481</v>
      </c>
      <c r="BI31" s="7">
        <f>SUM(K31:N31)</f>
        <v>9680</v>
      </c>
      <c r="BJ31" s="7">
        <f t="shared" ref="BJ31" si="111">SUM(O31:R31)</f>
        <v>14527</v>
      </c>
      <c r="BK31" s="7">
        <f t="shared" ref="BK31" si="112">SUM(S31:V31)</f>
        <v>19300</v>
      </c>
      <c r="BL31" s="2">
        <f>+BL30*0.2</f>
        <v>23324.25</v>
      </c>
      <c r="BM31" s="2">
        <f t="shared" ref="BM31:CC31" si="113">+BM30*0.2</f>
        <v>24090.890567999999</v>
      </c>
      <c r="BN31" s="2">
        <f t="shared" si="113"/>
        <v>29100.059993616946</v>
      </c>
      <c r="BO31" s="2">
        <f t="shared" si="113"/>
        <v>31574.057351375792</v>
      </c>
      <c r="BP31" s="2">
        <f t="shared" si="113"/>
        <v>34422.245296076835</v>
      </c>
      <c r="BQ31" s="2">
        <f t="shared" si="113"/>
        <v>37520.22267834939</v>
      </c>
      <c r="BR31" s="2">
        <f t="shared" si="113"/>
        <v>39780.395055041568</v>
      </c>
      <c r="BS31" s="2">
        <f t="shared" si="113"/>
        <v>41938.387286624886</v>
      </c>
      <c r="BT31" s="2">
        <f t="shared" si="113"/>
        <v>44208.955167118809</v>
      </c>
      <c r="BU31" s="2">
        <f t="shared" si="113"/>
        <v>46597.871065998334</v>
      </c>
      <c r="BV31" s="2">
        <f t="shared" si="113"/>
        <v>49111.201647534814</v>
      </c>
      <c r="BW31" s="2">
        <f t="shared" si="113"/>
        <v>51528.535122567053</v>
      </c>
      <c r="BX31" s="2">
        <f t="shared" si="113"/>
        <v>54006.530463377261</v>
      </c>
      <c r="BY31" s="2">
        <f t="shared" si="113"/>
        <v>56602.72462503289</v>
      </c>
      <c r="BZ31" s="2">
        <f t="shared" si="113"/>
        <v>59322.753959921858</v>
      </c>
      <c r="CA31" s="2">
        <f t="shared" si="113"/>
        <v>62172.52459529203</v>
      </c>
      <c r="CB31" s="2">
        <f t="shared" si="113"/>
        <v>65158.225417016147</v>
      </c>
      <c r="CC31" s="2">
        <f t="shared" si="113"/>
        <v>68286.341682000391</v>
      </c>
    </row>
    <row r="32" spans="2:193" s="2" customFormat="1" x14ac:dyDescent="0.25">
      <c r="B32" s="2" t="s">
        <v>32</v>
      </c>
      <c r="C32" s="2">
        <f t="shared" ref="C32" si="114">+C30-C31</f>
        <v>20065</v>
      </c>
      <c r="D32" s="2">
        <f t="shared" ref="D32:F32" si="115">+D30-D31</f>
        <v>13822</v>
      </c>
      <c r="E32" s="2">
        <f t="shared" si="115"/>
        <v>11519</v>
      </c>
      <c r="F32" s="2">
        <f t="shared" si="115"/>
        <v>14125</v>
      </c>
      <c r="K32" s="2">
        <f t="shared" ref="K32:N32" si="116">+K30-K31</f>
        <v>22236</v>
      </c>
      <c r="L32" s="2">
        <f t="shared" si="116"/>
        <v>11249</v>
      </c>
      <c r="M32" s="2">
        <f t="shared" si="116"/>
        <v>11253</v>
      </c>
      <c r="N32" s="2">
        <f t="shared" si="116"/>
        <v>12673</v>
      </c>
      <c r="O32" s="2">
        <f>+O30-O31</f>
        <v>28755</v>
      </c>
      <c r="P32" s="2">
        <f>+P30-P31</f>
        <v>23630</v>
      </c>
      <c r="Q32" s="2">
        <f>+Q30-Q31</f>
        <v>21744</v>
      </c>
      <c r="R32" s="2">
        <f t="shared" ref="R32" si="117">+R30-R31</f>
        <v>20551</v>
      </c>
      <c r="S32" s="2">
        <f t="shared" ref="S32" si="118">+S30-S31</f>
        <v>34630</v>
      </c>
      <c r="T32" s="2">
        <f>+T30-T31</f>
        <v>25010</v>
      </c>
      <c r="U32" s="2">
        <f t="shared" ref="U32:AA32" si="119">+U30-U31</f>
        <v>19442</v>
      </c>
      <c r="V32" s="2">
        <f t="shared" si="119"/>
        <v>20721</v>
      </c>
      <c r="W32" s="2">
        <f t="shared" si="119"/>
        <v>29998</v>
      </c>
      <c r="X32" s="2">
        <f t="shared" si="119"/>
        <v>24160</v>
      </c>
      <c r="Y32" s="2">
        <f t="shared" si="119"/>
        <v>19881</v>
      </c>
      <c r="Z32" s="2">
        <f t="shared" si="119"/>
        <v>22956</v>
      </c>
      <c r="AA32" s="2">
        <f t="shared" si="119"/>
        <v>33916</v>
      </c>
      <c r="AB32" s="2">
        <f t="shared" ref="AB32:AD32" si="120">+AB30-AB31</f>
        <v>23636</v>
      </c>
      <c r="AC32" s="2">
        <f t="shared" si="120"/>
        <v>21448</v>
      </c>
      <c r="AD32" s="2">
        <f t="shared" si="120"/>
        <v>24936</v>
      </c>
      <c r="AO32" s="2">
        <f t="shared" ref="AO32:AP32" si="121">+AO30-AO31</f>
        <v>517</v>
      </c>
      <c r="AP32" s="2">
        <f t="shared" si="121"/>
        <v>-116</v>
      </c>
      <c r="AQ32" s="2">
        <f t="shared" ref="AQ32:AS32" si="122">+AQ30-AQ31</f>
        <v>96</v>
      </c>
      <c r="AR32" s="2">
        <f t="shared" si="122"/>
        <v>94</v>
      </c>
      <c r="AS32" s="2">
        <f t="shared" si="122"/>
        <v>299</v>
      </c>
      <c r="AT32" s="2">
        <f t="shared" ref="AT32:AU32" si="123">+AT30-AT31</f>
        <v>1335</v>
      </c>
      <c r="AU32" s="2">
        <f t="shared" si="123"/>
        <v>1989</v>
      </c>
      <c r="AV32" s="2">
        <f t="shared" ref="AV32:AW32" si="124">+AV30-AV31</f>
        <v>3496</v>
      </c>
      <c r="AW32" s="2">
        <f t="shared" si="124"/>
        <v>6119</v>
      </c>
      <c r="AX32" s="2">
        <f t="shared" ref="AX32:AZ32" si="125">+AX30-AX31</f>
        <v>8235</v>
      </c>
      <c r="AY32" s="2">
        <f t="shared" si="125"/>
        <v>14013</v>
      </c>
      <c r="AZ32" s="2">
        <f t="shared" si="125"/>
        <v>25922</v>
      </c>
      <c r="BA32" s="2">
        <f t="shared" ref="BA32:BF32" si="126">+BA30-BA31</f>
        <v>41733</v>
      </c>
      <c r="BB32" s="2">
        <f t="shared" si="126"/>
        <v>37037</v>
      </c>
      <c r="BC32" s="2">
        <f t="shared" si="126"/>
        <v>39510</v>
      </c>
      <c r="BD32" s="2">
        <f t="shared" si="126"/>
        <v>53394</v>
      </c>
      <c r="BE32" s="2">
        <f t="shared" si="126"/>
        <v>45687</v>
      </c>
      <c r="BF32" s="2">
        <f t="shared" si="126"/>
        <v>48351</v>
      </c>
      <c r="BG32" s="2">
        <f t="shared" ref="BG32:BH32" si="127">+BG30-BG31</f>
        <v>59531</v>
      </c>
      <c r="BH32" s="2">
        <f t="shared" si="127"/>
        <v>55256</v>
      </c>
      <c r="BI32" s="2">
        <f>+BI30-BI31</f>
        <v>57411</v>
      </c>
      <c r="BJ32" s="2">
        <f>+BJ30-BJ31</f>
        <v>94680</v>
      </c>
      <c r="BK32" s="2">
        <f>+BK30-BK31</f>
        <v>99803</v>
      </c>
      <c r="BL32" s="2">
        <f>+BL30-BL31</f>
        <v>93297</v>
      </c>
      <c r="BM32" s="2">
        <f t="shared" ref="BM32:CC32" si="128">+BM30-BM31</f>
        <v>96363.562271999981</v>
      </c>
      <c r="BN32" s="2">
        <f t="shared" si="128"/>
        <v>116400.23997446778</v>
      </c>
      <c r="BO32" s="2">
        <f t="shared" si="128"/>
        <v>126296.22940550317</v>
      </c>
      <c r="BP32" s="2">
        <f t="shared" si="128"/>
        <v>137688.98118430731</v>
      </c>
      <c r="BQ32" s="2">
        <f t="shared" si="128"/>
        <v>150080.89071339756</v>
      </c>
      <c r="BR32" s="2">
        <f t="shared" si="128"/>
        <v>159121.58022016627</v>
      </c>
      <c r="BS32" s="2">
        <f t="shared" si="128"/>
        <v>167753.54914649954</v>
      </c>
      <c r="BT32" s="2">
        <f t="shared" si="128"/>
        <v>176835.82066847521</v>
      </c>
      <c r="BU32" s="2">
        <f t="shared" si="128"/>
        <v>186391.4842639933</v>
      </c>
      <c r="BV32" s="2">
        <f t="shared" si="128"/>
        <v>196444.80659013923</v>
      </c>
      <c r="BW32" s="2">
        <f t="shared" si="128"/>
        <v>206114.14049026818</v>
      </c>
      <c r="BX32" s="2">
        <f t="shared" si="128"/>
        <v>216026.12185350904</v>
      </c>
      <c r="BY32" s="2">
        <f t="shared" si="128"/>
        <v>226410.89850013153</v>
      </c>
      <c r="BZ32" s="2">
        <f t="shared" si="128"/>
        <v>237291.0158396874</v>
      </c>
      <c r="CA32" s="2">
        <f t="shared" si="128"/>
        <v>248690.09838116812</v>
      </c>
      <c r="CB32" s="2">
        <f t="shared" si="128"/>
        <v>260632.90166806459</v>
      </c>
      <c r="CC32" s="2">
        <f t="shared" si="128"/>
        <v>273145.36672800157</v>
      </c>
      <c r="CD32" s="2">
        <f>+CC32*(1+$CF$37)</f>
        <v>270413.91306072153</v>
      </c>
      <c r="CE32" s="2">
        <f t="shared" ref="CE32:EP32" si="129">+CD32*(1+$CF$37)</f>
        <v>267709.77393011434</v>
      </c>
      <c r="CF32" s="2">
        <f t="shared" si="129"/>
        <v>265032.67619081319</v>
      </c>
      <c r="CG32" s="2">
        <f t="shared" si="129"/>
        <v>262382.34942890506</v>
      </c>
      <c r="CH32" s="2">
        <f t="shared" si="129"/>
        <v>259758.52593461602</v>
      </c>
      <c r="CI32" s="2">
        <f t="shared" si="129"/>
        <v>257160.94067526984</v>
      </c>
      <c r="CJ32" s="2">
        <f t="shared" si="129"/>
        <v>254589.33126851715</v>
      </c>
      <c r="CK32" s="2">
        <f t="shared" si="129"/>
        <v>252043.43795583199</v>
      </c>
      <c r="CL32" s="2">
        <f t="shared" si="129"/>
        <v>249523.00357627368</v>
      </c>
      <c r="CM32" s="2">
        <f t="shared" si="129"/>
        <v>247027.77354051094</v>
      </c>
      <c r="CN32" s="2">
        <f t="shared" si="129"/>
        <v>244557.49580510583</v>
      </c>
      <c r="CO32" s="2">
        <f t="shared" si="129"/>
        <v>242111.92084705477</v>
      </c>
      <c r="CP32" s="2">
        <f t="shared" si="129"/>
        <v>239690.80163858423</v>
      </c>
      <c r="CQ32" s="2">
        <f t="shared" si="129"/>
        <v>237293.8936221984</v>
      </c>
      <c r="CR32" s="2">
        <f t="shared" si="129"/>
        <v>234920.95468597641</v>
      </c>
      <c r="CS32" s="2">
        <f t="shared" si="129"/>
        <v>232571.74513911665</v>
      </c>
      <c r="CT32" s="2">
        <f t="shared" si="129"/>
        <v>230246.02768772549</v>
      </c>
      <c r="CU32" s="2">
        <f t="shared" si="129"/>
        <v>227943.56741084825</v>
      </c>
      <c r="CV32" s="2">
        <f t="shared" si="129"/>
        <v>225664.13173673977</v>
      </c>
      <c r="CW32" s="2">
        <f t="shared" si="129"/>
        <v>223407.49041937236</v>
      </c>
      <c r="CX32" s="2">
        <f t="shared" si="129"/>
        <v>221173.41551517864</v>
      </c>
      <c r="CY32" s="2">
        <f t="shared" si="129"/>
        <v>218961.68136002685</v>
      </c>
      <c r="CZ32" s="2">
        <f t="shared" si="129"/>
        <v>216772.06454642658</v>
      </c>
      <c r="DA32" s="2">
        <f t="shared" si="129"/>
        <v>214604.34390096233</v>
      </c>
      <c r="DB32" s="2">
        <f t="shared" si="129"/>
        <v>212458.30046195269</v>
      </c>
      <c r="DC32" s="2">
        <f t="shared" si="129"/>
        <v>210333.71745733317</v>
      </c>
      <c r="DD32" s="2">
        <f t="shared" si="129"/>
        <v>208230.38028275984</v>
      </c>
      <c r="DE32" s="2">
        <f t="shared" si="129"/>
        <v>206148.07647993224</v>
      </c>
      <c r="DF32" s="2">
        <f t="shared" si="129"/>
        <v>204086.59571513292</v>
      </c>
      <c r="DG32" s="2">
        <f t="shared" si="129"/>
        <v>202045.72975798158</v>
      </c>
      <c r="DH32" s="2">
        <f t="shared" si="129"/>
        <v>200025.27246040176</v>
      </c>
      <c r="DI32" s="2">
        <f t="shared" si="129"/>
        <v>198025.01973579774</v>
      </c>
      <c r="DJ32" s="2">
        <f t="shared" si="129"/>
        <v>196044.76953843975</v>
      </c>
      <c r="DK32" s="2">
        <f t="shared" si="129"/>
        <v>194084.32184305534</v>
      </c>
      <c r="DL32" s="2">
        <f t="shared" si="129"/>
        <v>192143.47862462478</v>
      </c>
      <c r="DM32" s="2">
        <f t="shared" si="129"/>
        <v>190222.04383837854</v>
      </c>
      <c r="DN32" s="2">
        <f t="shared" si="129"/>
        <v>188319.82339999476</v>
      </c>
      <c r="DO32" s="2">
        <f t="shared" si="129"/>
        <v>186436.6251659948</v>
      </c>
      <c r="DP32" s="2">
        <f t="shared" si="129"/>
        <v>184572.25891433485</v>
      </c>
      <c r="DQ32" s="2">
        <f t="shared" si="129"/>
        <v>182726.5363251915</v>
      </c>
      <c r="DR32" s="2">
        <f t="shared" si="129"/>
        <v>180899.27096193959</v>
      </c>
      <c r="DS32" s="2">
        <f t="shared" si="129"/>
        <v>179090.27825232019</v>
      </c>
      <c r="DT32" s="2">
        <f t="shared" si="129"/>
        <v>177299.375469797</v>
      </c>
      <c r="DU32" s="2">
        <f t="shared" si="129"/>
        <v>175526.38171509904</v>
      </c>
      <c r="DV32" s="2">
        <f t="shared" si="129"/>
        <v>173771.11789794805</v>
      </c>
      <c r="DW32" s="2">
        <f t="shared" si="129"/>
        <v>172033.40671896856</v>
      </c>
      <c r="DX32" s="2">
        <f t="shared" si="129"/>
        <v>170313.07265177887</v>
      </c>
      <c r="DY32" s="2">
        <f t="shared" si="129"/>
        <v>168609.94192526108</v>
      </c>
      <c r="DZ32" s="2">
        <f t="shared" si="129"/>
        <v>166923.84250600846</v>
      </c>
      <c r="EA32" s="2">
        <f t="shared" si="129"/>
        <v>165254.60408094837</v>
      </c>
      <c r="EB32" s="2">
        <f t="shared" si="129"/>
        <v>163602.05804013889</v>
      </c>
      <c r="EC32" s="2">
        <f t="shared" si="129"/>
        <v>161966.0374597375</v>
      </c>
      <c r="ED32" s="2">
        <f t="shared" si="129"/>
        <v>160346.37708514012</v>
      </c>
      <c r="EE32" s="2">
        <f t="shared" si="129"/>
        <v>158742.91331428871</v>
      </c>
      <c r="EF32" s="2">
        <f t="shared" si="129"/>
        <v>157155.48418114582</v>
      </c>
      <c r="EG32" s="2">
        <f t="shared" si="129"/>
        <v>155583.92933933437</v>
      </c>
      <c r="EH32" s="2">
        <f t="shared" si="129"/>
        <v>154028.09004594103</v>
      </c>
      <c r="EI32" s="2">
        <f t="shared" si="129"/>
        <v>152487.80914548162</v>
      </c>
      <c r="EJ32" s="2">
        <f t="shared" si="129"/>
        <v>150962.93105402679</v>
      </c>
      <c r="EK32" s="2">
        <f t="shared" si="129"/>
        <v>149453.30174348652</v>
      </c>
      <c r="EL32" s="2">
        <f t="shared" si="129"/>
        <v>147958.76872605164</v>
      </c>
      <c r="EM32" s="2">
        <f t="shared" si="129"/>
        <v>146479.18103879111</v>
      </c>
      <c r="EN32" s="2">
        <f t="shared" si="129"/>
        <v>145014.38922840319</v>
      </c>
      <c r="EO32" s="2">
        <f t="shared" si="129"/>
        <v>143564.24533611914</v>
      </c>
      <c r="EP32" s="2">
        <f t="shared" si="129"/>
        <v>142128.60288275796</v>
      </c>
      <c r="EQ32" s="2">
        <f t="shared" ref="EQ32:GK32" si="130">+EP32*(1+$CF$37)</f>
        <v>140707.31685393039</v>
      </c>
      <c r="ER32" s="2">
        <f t="shared" si="130"/>
        <v>139300.24368539109</v>
      </c>
      <c r="ES32" s="2">
        <f t="shared" si="130"/>
        <v>137907.24124853718</v>
      </c>
      <c r="ET32" s="2">
        <f t="shared" si="130"/>
        <v>136528.1688360518</v>
      </c>
      <c r="EU32" s="2">
        <f t="shared" si="130"/>
        <v>135162.88714769128</v>
      </c>
      <c r="EV32" s="2">
        <f t="shared" si="130"/>
        <v>133811.25827621436</v>
      </c>
      <c r="EW32" s="2">
        <f t="shared" si="130"/>
        <v>132473.14569345221</v>
      </c>
      <c r="EX32" s="2">
        <f t="shared" si="130"/>
        <v>131148.41423651768</v>
      </c>
      <c r="EY32" s="2">
        <f t="shared" si="130"/>
        <v>129836.9300941525</v>
      </c>
      <c r="EZ32" s="2">
        <f t="shared" si="130"/>
        <v>128538.56079321097</v>
      </c>
      <c r="FA32" s="2">
        <f t="shared" si="130"/>
        <v>127253.17518527886</v>
      </c>
      <c r="FB32" s="2">
        <f t="shared" si="130"/>
        <v>125980.64343342607</v>
      </c>
      <c r="FC32" s="2">
        <f t="shared" si="130"/>
        <v>124720.83699909181</v>
      </c>
      <c r="FD32" s="2">
        <f t="shared" si="130"/>
        <v>123473.6286291009</v>
      </c>
      <c r="FE32" s="2">
        <f t="shared" si="130"/>
        <v>122238.89234280989</v>
      </c>
      <c r="FF32" s="2">
        <f t="shared" si="130"/>
        <v>121016.5034193818</v>
      </c>
      <c r="FG32" s="2">
        <f t="shared" si="130"/>
        <v>119806.33838518798</v>
      </c>
      <c r="FH32" s="2">
        <f t="shared" si="130"/>
        <v>118608.27500133609</v>
      </c>
      <c r="FI32" s="2">
        <f t="shared" si="130"/>
        <v>117422.19225132273</v>
      </c>
      <c r="FJ32" s="2">
        <f t="shared" si="130"/>
        <v>116247.9703288095</v>
      </c>
      <c r="FK32" s="2">
        <f t="shared" si="130"/>
        <v>115085.4906255214</v>
      </c>
      <c r="FL32" s="2">
        <f t="shared" si="130"/>
        <v>113934.63571926618</v>
      </c>
      <c r="FM32" s="2">
        <f t="shared" si="130"/>
        <v>112795.28936207351</v>
      </c>
      <c r="FN32" s="2">
        <f t="shared" si="130"/>
        <v>111667.33646845278</v>
      </c>
      <c r="FO32" s="2">
        <f t="shared" si="130"/>
        <v>110550.66310376825</v>
      </c>
      <c r="FP32" s="2">
        <f t="shared" si="130"/>
        <v>109445.15647273057</v>
      </c>
      <c r="FQ32" s="2">
        <f t="shared" si="130"/>
        <v>108350.70490800326</v>
      </c>
      <c r="FR32" s="2">
        <f t="shared" si="130"/>
        <v>107267.19785892323</v>
      </c>
      <c r="FS32" s="2">
        <f t="shared" si="130"/>
        <v>106194.525880334</v>
      </c>
      <c r="FT32" s="2">
        <f t="shared" si="130"/>
        <v>105132.58062153065</v>
      </c>
      <c r="FU32" s="2">
        <f t="shared" si="130"/>
        <v>104081.25481531535</v>
      </c>
      <c r="FV32" s="2">
        <f t="shared" si="130"/>
        <v>103040.44226716219</v>
      </c>
      <c r="FW32" s="2">
        <f t="shared" si="130"/>
        <v>102010.03784449057</v>
      </c>
      <c r="FX32" s="2">
        <f t="shared" si="130"/>
        <v>100989.93746604565</v>
      </c>
      <c r="FY32" s="2">
        <f t="shared" si="130"/>
        <v>99980.038091385199</v>
      </c>
      <c r="FZ32" s="2">
        <f t="shared" si="130"/>
        <v>98980.237710471352</v>
      </c>
      <c r="GA32" s="2">
        <f t="shared" si="130"/>
        <v>97990.435333366637</v>
      </c>
      <c r="GB32" s="2">
        <f t="shared" si="130"/>
        <v>97010.530980032971</v>
      </c>
      <c r="GC32" s="2">
        <f t="shared" si="130"/>
        <v>96040.425670232638</v>
      </c>
      <c r="GD32" s="2">
        <f t="shared" si="130"/>
        <v>95080.02141353031</v>
      </c>
      <c r="GE32" s="2">
        <f t="shared" si="130"/>
        <v>94129.221199395004</v>
      </c>
      <c r="GF32" s="2">
        <f t="shared" si="130"/>
        <v>93187.928987401057</v>
      </c>
      <c r="GG32" s="2">
        <f t="shared" si="130"/>
        <v>92256.049697527051</v>
      </c>
      <c r="GH32" s="2">
        <f t="shared" si="130"/>
        <v>91333.489200551776</v>
      </c>
      <c r="GI32" s="2">
        <f t="shared" si="130"/>
        <v>90420.154308546262</v>
      </c>
      <c r="GJ32" s="2">
        <f t="shared" si="130"/>
        <v>89515.952765460795</v>
      </c>
      <c r="GK32" s="2">
        <f t="shared" si="130"/>
        <v>88620.793237806181</v>
      </c>
    </row>
    <row r="33" spans="2:84" s="4" customFormat="1" x14ac:dyDescent="0.25">
      <c r="B33" s="4" t="s">
        <v>36</v>
      </c>
      <c r="C33" s="10">
        <f t="shared" ref="C33" si="131">+C32/C34</f>
        <v>0.97255857987156114</v>
      </c>
      <c r="D33" s="10">
        <f t="shared" ref="D33:F33" si="132">+D32/D34</f>
        <v>0.68176083107937602</v>
      </c>
      <c r="E33" s="10">
        <f t="shared" si="132"/>
        <v>0.58452984598534197</v>
      </c>
      <c r="F33" s="10">
        <f t="shared" si="132"/>
        <v>0.70623460408563088</v>
      </c>
      <c r="G33" s="10"/>
      <c r="H33" s="10"/>
      <c r="I33" s="10"/>
      <c r="J33" s="10"/>
      <c r="K33" s="10">
        <f t="shared" ref="K33:N33" si="133">+K32/K34</f>
        <v>1.2479223042091785</v>
      </c>
      <c r="L33" s="10">
        <f t="shared" si="133"/>
        <v>0.63846699811252383</v>
      </c>
      <c r="M33" s="10">
        <f t="shared" si="133"/>
        <v>0.64601300384622584</v>
      </c>
      <c r="N33" s="10">
        <f t="shared" si="133"/>
        <v>0.73438904632051849</v>
      </c>
      <c r="O33" s="10">
        <f>+O32/O34</f>
        <v>1.6802339741147556</v>
      </c>
      <c r="P33" s="10">
        <f>+P32/P34</f>
        <v>1.3958166966021994</v>
      </c>
      <c r="Q33" s="10">
        <f>+Q32/Q34</f>
        <v>1.2956943963183782</v>
      </c>
      <c r="R33" s="10">
        <f t="shared" ref="R33" si="134">+R32/R34</f>
        <v>1.2354000701047909</v>
      </c>
      <c r="S33" s="10">
        <f t="shared" ref="S33" si="135">+S32/S34</f>
        <v>2.0963369432743812</v>
      </c>
      <c r="T33" s="10">
        <f>+T32/T34</f>
        <v>1.5246917147727936</v>
      </c>
      <c r="U33" s="10">
        <f t="shared" ref="U33:AA33" si="136">+U32/U34</f>
        <v>1.1955329791418789</v>
      </c>
      <c r="V33" s="10">
        <f t="shared" si="136"/>
        <v>1.2855442500262897</v>
      </c>
      <c r="W33" s="10">
        <f t="shared" si="136"/>
        <v>1.8800783518485347</v>
      </c>
      <c r="X33" s="10">
        <f t="shared" si="136"/>
        <v>1.5245739743359175</v>
      </c>
      <c r="Y33" s="10">
        <f t="shared" si="136"/>
        <v>1.2602852614896989</v>
      </c>
      <c r="Z33" s="10">
        <f t="shared" si="136"/>
        <v>1.4518087528459398</v>
      </c>
      <c r="AA33" s="10">
        <f t="shared" si="136"/>
        <v>2.1774524910118132</v>
      </c>
      <c r="AB33" s="10">
        <f t="shared" ref="AB33:AD33" si="137">+AB32/AB34</f>
        <v>1.5283543485289364</v>
      </c>
      <c r="AC33" s="10">
        <f t="shared" si="137"/>
        <v>1.3974299876043894</v>
      </c>
      <c r="AD33" s="10">
        <f t="shared" si="137"/>
        <v>1.618370084036995</v>
      </c>
      <c r="AE33" s="10"/>
      <c r="AF33" s="10"/>
      <c r="AG33" s="10"/>
      <c r="AH33" s="10"/>
      <c r="AI33" s="10"/>
      <c r="AJ33" s="10"/>
      <c r="AK33" s="10"/>
      <c r="AO33" s="10">
        <f t="shared" ref="AO33:AP33" si="138">+AO32/AO34</f>
        <v>1.4348197733151276</v>
      </c>
      <c r="AP33" s="10">
        <f t="shared" si="138"/>
        <v>-0.33563552296933274</v>
      </c>
      <c r="AQ33" s="10">
        <f t="shared" ref="AQ33:AS33" si="139">+AQ32/AQ34</f>
        <v>0.26535096811642273</v>
      </c>
      <c r="AR33" s="10">
        <f t="shared" si="139"/>
        <v>0.12931058200767059</v>
      </c>
      <c r="AS33" s="10">
        <f t="shared" si="139"/>
        <v>0.38599471742346592</v>
      </c>
      <c r="AT33" s="10">
        <f t="shared" ref="AT33:AU33" si="140">+AT32/AT34</f>
        <v>1.5581596209061837</v>
      </c>
      <c r="AU33" s="10">
        <f t="shared" si="140"/>
        <v>2.266599508162721</v>
      </c>
      <c r="AV33" s="10">
        <f t="shared" ref="AV33:AW33" si="141">+AV32/AV34</f>
        <v>3.9312171930029729</v>
      </c>
      <c r="AW33" s="10">
        <f t="shared" si="141"/>
        <v>6.7827685090656757</v>
      </c>
      <c r="AX33" s="10">
        <f t="shared" ref="AX33:AZ33" si="142">+AX32/AX34</f>
        <v>9.0793325284866118</v>
      </c>
      <c r="AY33" s="10">
        <f t="shared" si="142"/>
        <v>15.15390737872981</v>
      </c>
      <c r="AZ33" s="10">
        <f t="shared" si="142"/>
        <v>27.675373273759003</v>
      </c>
      <c r="BA33" s="10">
        <f t="shared" ref="BA33:BF33" si="143">+BA32/BA34</f>
        <v>6.3064763445557777</v>
      </c>
      <c r="BB33" s="10">
        <f t="shared" si="143"/>
        <v>5.6790982137298718</v>
      </c>
      <c r="BC33" s="10">
        <f t="shared" si="143"/>
        <v>6.4530744220284548</v>
      </c>
      <c r="BD33" s="10">
        <f t="shared" si="143"/>
        <v>9.216876236067618</v>
      </c>
      <c r="BE33" s="10">
        <f t="shared" si="143"/>
        <v>8.3063028961611227</v>
      </c>
      <c r="BF33" s="10">
        <f t="shared" si="143"/>
        <v>9.2067470826545037</v>
      </c>
      <c r="BG33" s="10">
        <f t="shared" ref="BG33:BH33" si="144">+BG32/BG34</f>
        <v>2.9764851126245446</v>
      </c>
      <c r="BH33" s="10">
        <f t="shared" si="144"/>
        <v>2.9714474637107351</v>
      </c>
      <c r="BI33" s="10">
        <f>+BI32/BI34</f>
        <v>3.2753479151477172</v>
      </c>
      <c r="BJ33" s="10">
        <f>+BJ32/BJ34</f>
        <v>5.6140203576723327</v>
      </c>
      <c r="BK33" s="10">
        <f>+BK32/BK34</f>
        <v>6.1132002950847406</v>
      </c>
      <c r="BL33" s="10">
        <f>+BL32/BL34</f>
        <v>5.7146904194314905</v>
      </c>
      <c r="BM33" s="10">
        <f t="shared" ref="BM33:CC33" si="145">+BM32/BM34</f>
        <v>5.9025255484966088</v>
      </c>
      <c r="BN33" s="10">
        <f t="shared" si="145"/>
        <v>7.129825569971354</v>
      </c>
      <c r="BO33" s="10">
        <f t="shared" si="145"/>
        <v>7.7359813519614846</v>
      </c>
      <c r="BP33" s="10">
        <f t="shared" si="145"/>
        <v>8.4338178251738398</v>
      </c>
      <c r="BQ33" s="10">
        <f t="shared" si="145"/>
        <v>9.1928553790539631</v>
      </c>
      <c r="BR33" s="10">
        <f t="shared" si="145"/>
        <v>9.7466217564228597</v>
      </c>
      <c r="BS33" s="10">
        <f t="shared" si="145"/>
        <v>10.275352906665065</v>
      </c>
      <c r="BT33" s="10">
        <f t="shared" si="145"/>
        <v>10.831666293518982</v>
      </c>
      <c r="BU33" s="10">
        <f t="shared" si="145"/>
        <v>11.416976209171333</v>
      </c>
      <c r="BV33" s="10">
        <f t="shared" si="145"/>
        <v>12.032769051177858</v>
      </c>
      <c r="BW33" s="10">
        <f t="shared" si="145"/>
        <v>12.62504157656829</v>
      </c>
      <c r="BX33" s="10">
        <f t="shared" si="145"/>
        <v>13.232176907115853</v>
      </c>
      <c r="BY33" s="10">
        <f t="shared" si="145"/>
        <v>13.86827221147065</v>
      </c>
      <c r="BZ33" s="10">
        <f t="shared" si="145"/>
        <v>14.534708456180024</v>
      </c>
      <c r="CA33" s="10">
        <f t="shared" si="145"/>
        <v>15.232932705513964</v>
      </c>
      <c r="CB33" s="10">
        <f t="shared" si="145"/>
        <v>15.964461302626219</v>
      </c>
      <c r="CC33" s="10">
        <f t="shared" si="145"/>
        <v>16.730883204739825</v>
      </c>
    </row>
    <row r="34" spans="2:84" s="2" customFormat="1" x14ac:dyDescent="0.25">
      <c r="B34" s="2" t="s">
        <v>1</v>
      </c>
      <c r="C34" s="2">
        <f>5157.787*4</f>
        <v>20631.148000000001</v>
      </c>
      <c r="D34" s="2">
        <f>5068.493*4</f>
        <v>20273.972000000002</v>
      </c>
      <c r="E34" s="2">
        <f>4926.609*4</f>
        <v>19706.436000000002</v>
      </c>
      <c r="F34" s="2">
        <f>5000.109*4</f>
        <v>20000.436000000002</v>
      </c>
      <c r="K34" s="2">
        <v>17818.417000000001</v>
      </c>
      <c r="L34" s="2">
        <v>17618.764999999999</v>
      </c>
      <c r="M34" s="2">
        <v>17419.153999999999</v>
      </c>
      <c r="N34" s="2">
        <v>17256.521000000001</v>
      </c>
      <c r="O34" s="2">
        <v>17113.687999999998</v>
      </c>
      <c r="P34" s="2">
        <v>16929.156999999999</v>
      </c>
      <c r="Q34" s="2">
        <v>16781.735000000001</v>
      </c>
      <c r="R34" s="2">
        <v>16635.097000000002</v>
      </c>
      <c r="S34" s="2">
        <v>16519.291000000001</v>
      </c>
      <c r="T34" s="2">
        <v>16403.315999999999</v>
      </c>
      <c r="U34" s="2">
        <v>16262.203</v>
      </c>
      <c r="V34" s="2">
        <v>16118.465</v>
      </c>
      <c r="W34" s="2">
        <v>15955.718000000001</v>
      </c>
      <c r="X34" s="2">
        <v>15847.05</v>
      </c>
      <c r="Y34" s="2">
        <v>15775</v>
      </c>
      <c r="Z34" s="2">
        <v>15812</v>
      </c>
      <c r="AA34" s="2">
        <v>15576</v>
      </c>
      <c r="AB34" s="2">
        <v>15465</v>
      </c>
      <c r="AC34" s="2">
        <v>15348.174999999999</v>
      </c>
      <c r="AD34" s="2">
        <v>15408.094999999999</v>
      </c>
      <c r="AO34" s="2">
        <v>360.32400000000001</v>
      </c>
      <c r="AP34" s="2">
        <v>345.613</v>
      </c>
      <c r="AQ34" s="2">
        <v>361.78500000000003</v>
      </c>
      <c r="AR34" s="2">
        <v>726.93200000000002</v>
      </c>
      <c r="AS34" s="2">
        <v>774.62199999999996</v>
      </c>
      <c r="AT34" s="2">
        <v>856.78</v>
      </c>
      <c r="AU34" s="2">
        <v>877.52599999999995</v>
      </c>
      <c r="AV34" s="2">
        <v>889.29200000000003</v>
      </c>
      <c r="AW34" s="2">
        <v>902.13900000000001</v>
      </c>
      <c r="AX34" s="2">
        <v>907.005</v>
      </c>
      <c r="AY34" s="2">
        <v>924.71199999999999</v>
      </c>
      <c r="AZ34" s="2">
        <v>936.64499999999998</v>
      </c>
      <c r="BA34" s="2">
        <v>6617.4830000000002</v>
      </c>
      <c r="BB34" s="2">
        <v>6521.634</v>
      </c>
      <c r="BC34" s="2">
        <v>6122.6629999999996</v>
      </c>
      <c r="BD34" s="2">
        <v>5793.0690000000004</v>
      </c>
      <c r="BE34" s="2">
        <v>5500.2809999999999</v>
      </c>
      <c r="BF34" s="2">
        <v>5251.692</v>
      </c>
      <c r="BG34" s="2">
        <f>5000.109*4</f>
        <v>20000.436000000002</v>
      </c>
      <c r="BH34" s="2">
        <v>18595.651000000002</v>
      </c>
      <c r="BI34" s="2">
        <f>AVERAGE(K34:N34)</f>
        <v>17528.214249999997</v>
      </c>
      <c r="BJ34" s="2">
        <f>AVERAGE(O34:R34)</f>
        <v>16864.919249999999</v>
      </c>
      <c r="BK34" s="2">
        <f>AVERAGE(S34:V34)</f>
        <v>16325.818750000002</v>
      </c>
      <c r="BL34" s="2">
        <f>+BK34</f>
        <v>16325.818750000002</v>
      </c>
      <c r="BM34" s="2">
        <f t="shared" ref="BM34:CC34" si="146">+BL34</f>
        <v>16325.818750000002</v>
      </c>
      <c r="BN34" s="2">
        <f t="shared" si="146"/>
        <v>16325.818750000002</v>
      </c>
      <c r="BO34" s="2">
        <f t="shared" si="146"/>
        <v>16325.818750000002</v>
      </c>
      <c r="BP34" s="2">
        <f t="shared" si="146"/>
        <v>16325.818750000002</v>
      </c>
      <c r="BQ34" s="2">
        <f t="shared" si="146"/>
        <v>16325.818750000002</v>
      </c>
      <c r="BR34" s="2">
        <f t="shared" si="146"/>
        <v>16325.818750000002</v>
      </c>
      <c r="BS34" s="2">
        <f t="shared" si="146"/>
        <v>16325.818750000002</v>
      </c>
      <c r="BT34" s="2">
        <f t="shared" si="146"/>
        <v>16325.818750000002</v>
      </c>
      <c r="BU34" s="2">
        <f t="shared" si="146"/>
        <v>16325.818750000002</v>
      </c>
      <c r="BV34" s="2">
        <f t="shared" si="146"/>
        <v>16325.818750000002</v>
      </c>
      <c r="BW34" s="2">
        <f t="shared" si="146"/>
        <v>16325.818750000002</v>
      </c>
      <c r="BX34" s="2">
        <f t="shared" si="146"/>
        <v>16325.818750000002</v>
      </c>
      <c r="BY34" s="2">
        <f t="shared" si="146"/>
        <v>16325.818750000002</v>
      </c>
      <c r="BZ34" s="2">
        <f t="shared" si="146"/>
        <v>16325.818750000002</v>
      </c>
      <c r="CA34" s="2">
        <f t="shared" si="146"/>
        <v>16325.818750000002</v>
      </c>
      <c r="CB34" s="2">
        <f t="shared" si="146"/>
        <v>16325.818750000002</v>
      </c>
      <c r="CC34" s="2">
        <f t="shared" si="146"/>
        <v>16325.818750000002</v>
      </c>
    </row>
    <row r="36" spans="2:84" s="4" customFormat="1" x14ac:dyDescent="0.25">
      <c r="B36" s="8" t="s">
        <v>41</v>
      </c>
      <c r="L36" s="9"/>
      <c r="M36" s="9"/>
      <c r="N36" s="9"/>
      <c r="O36" s="9">
        <f>O20/K20-1</f>
        <v>0.21368126422635836</v>
      </c>
      <c r="P36" s="9">
        <f t="shared" ref="P36" si="147">P20/L20-1</f>
        <v>0.53626121105070901</v>
      </c>
      <c r="Q36" s="9">
        <f t="shared" ref="Q36" si="148">Q20/M20-1</f>
        <v>0.36439641450950822</v>
      </c>
      <c r="R36" s="9">
        <f t="shared" ref="R36" si="149">R20/N20-1</f>
        <v>0.28844786546724777</v>
      </c>
      <c r="S36" s="9">
        <f>S20/O20-1</f>
        <v>0.11222283042740866</v>
      </c>
      <c r="T36" s="9">
        <f>T20/P20-1</f>
        <v>8.5885872477228009E-2</v>
      </c>
      <c r="U36" s="9">
        <f>U20/Q20-1</f>
        <v>1.8726821720657316E-2</v>
      </c>
      <c r="V36" s="9">
        <f>V20/R20-1</f>
        <v>8.1405950095969182E-2</v>
      </c>
      <c r="W36" s="9">
        <f t="shared" ref="W36:AD36" si="150">W20/S20-1</f>
        <v>-5.4790431239662762E-2</v>
      </c>
      <c r="X36" s="9">
        <f t="shared" si="150"/>
        <v>-2.5103312156911084E-2</v>
      </c>
      <c r="Y36" s="17">
        <f t="shared" si="150"/>
        <v>-1.4006919080509661E-2</v>
      </c>
      <c r="Z36" s="9">
        <f t="shared" si="150"/>
        <v>-7.1883389168682088E-3</v>
      </c>
      <c r="AA36" s="9">
        <f t="shared" si="150"/>
        <v>2.0665107465387411E-2</v>
      </c>
      <c r="AB36" s="9">
        <f t="shared" si="150"/>
        <v>-4.3053270909781061E-2</v>
      </c>
      <c r="AC36" s="9">
        <f t="shared" si="150"/>
        <v>4.8657041211780383E-2</v>
      </c>
      <c r="AD36" s="9">
        <f t="shared" si="150"/>
        <v>6.0694093722764686E-2</v>
      </c>
      <c r="AE36" s="9"/>
      <c r="AF36" s="9"/>
      <c r="AG36" s="9"/>
      <c r="AH36" s="9"/>
      <c r="AI36" s="9"/>
      <c r="AJ36" s="9"/>
      <c r="AK36" s="9"/>
      <c r="AO36" s="9">
        <f t="shared" ref="AO36:AU36" si="151">+AO20/AN20-1</f>
        <v>0.30143462667101395</v>
      </c>
      <c r="AP36" s="9">
        <f t="shared" si="151"/>
        <v>-0.32819741951647252</v>
      </c>
      <c r="AQ36" s="9">
        <f t="shared" si="151"/>
        <v>7.0669401454409808E-2</v>
      </c>
      <c r="AR36" s="9">
        <f t="shared" si="151"/>
        <v>8.0982236154649945E-2</v>
      </c>
      <c r="AS36" s="9">
        <f t="shared" si="151"/>
        <v>0.33381665861124543</v>
      </c>
      <c r="AT36" s="9">
        <f t="shared" si="151"/>
        <v>0.68269114627370464</v>
      </c>
      <c r="AU36" s="9">
        <f t="shared" si="151"/>
        <v>0.38647620414902017</v>
      </c>
      <c r="AV36" s="9">
        <f t="shared" ref="AV36:AW36" si="152">+AV20/AU20-1</f>
        <v>0.24286823712140815</v>
      </c>
      <c r="AW36" s="9">
        <f t="shared" si="152"/>
        <v>0.56173456635841035</v>
      </c>
      <c r="AX36" s="9">
        <f t="shared" ref="AX36:BC36" si="153">+AX20/AW20-1</f>
        <v>0.14440799125123371</v>
      </c>
      <c r="AY36" s="9">
        <f t="shared" si="153"/>
        <v>0.52021908868430256</v>
      </c>
      <c r="AZ36" s="9">
        <f t="shared" si="153"/>
        <v>0.65962437715599842</v>
      </c>
      <c r="BA36" s="9">
        <f t="shared" si="153"/>
        <v>0.44581474193756976</v>
      </c>
      <c r="BB36" s="9">
        <f t="shared" si="153"/>
        <v>9.2020855163953197E-2</v>
      </c>
      <c r="BC36" s="9">
        <f t="shared" si="153"/>
        <v>6.9539523725937524E-2</v>
      </c>
      <c r="BD36" s="9">
        <f t="shared" ref="BD36:BG36" si="154">+BD20/BC20-1</f>
        <v>0.27856341803659834</v>
      </c>
      <c r="BE36" s="9">
        <f t="shared" si="154"/>
        <v>-7.7342061913013738E-2</v>
      </c>
      <c r="BF36" s="9">
        <f t="shared" si="154"/>
        <v>6.304518199398057E-2</v>
      </c>
      <c r="BG36" s="9">
        <f t="shared" si="154"/>
        <v>0.15861957650261305</v>
      </c>
      <c r="BH36" s="9">
        <f>+BH20/BG20-1</f>
        <v>-2.04107758052674E-2</v>
      </c>
      <c r="BI36" s="9">
        <f>+BI20/BH20-1</f>
        <v>5.5120803769784787E-2</v>
      </c>
      <c r="BJ36" s="9">
        <f t="shared" ref="BJ36:CC36" si="155">+BJ20/BI20-1</f>
        <v>0.33259384733074704</v>
      </c>
      <c r="BK36" s="9">
        <f t="shared" si="155"/>
        <v>7.7937876041846099E-2</v>
      </c>
      <c r="BL36" s="9">
        <f t="shared" si="155"/>
        <v>-2.800460530319937E-2</v>
      </c>
      <c r="BM36" s="9">
        <f t="shared" si="155"/>
        <v>2.021994077514111E-2</v>
      </c>
      <c r="BN36" s="9">
        <f t="shared" si="155"/>
        <v>9.7632470053207632E-2</v>
      </c>
      <c r="BO36" s="9">
        <f t="shared" si="155"/>
        <v>6.1541982211463564E-2</v>
      </c>
      <c r="BP36" s="9">
        <f t="shared" si="155"/>
        <v>6.6833155858185167E-2</v>
      </c>
      <c r="BQ36" s="9">
        <f t="shared" si="155"/>
        <v>6.7262307308017411E-2</v>
      </c>
      <c r="BR36" s="9">
        <f t="shared" si="155"/>
        <v>5.361890205511477E-2</v>
      </c>
      <c r="BS36" s="9">
        <f t="shared" si="155"/>
        <v>4.7932657893749786E-2</v>
      </c>
      <c r="BT36" s="9">
        <f t="shared" si="155"/>
        <v>4.7958760023933289E-2</v>
      </c>
      <c r="BU36" s="9">
        <f t="shared" si="155"/>
        <v>4.7984964346059256E-2</v>
      </c>
      <c r="BV36" s="9">
        <f t="shared" si="155"/>
        <v>4.8011271392100152E-2</v>
      </c>
      <c r="BW36" s="9">
        <f t="shared" si="155"/>
        <v>4.3389015612128823E-2</v>
      </c>
      <c r="BX36" s="9">
        <f t="shared" si="155"/>
        <v>4.2313626859802556E-2</v>
      </c>
      <c r="BY36" s="9">
        <f t="shared" si="155"/>
        <v>4.2352637479455613E-2</v>
      </c>
      <c r="BZ36" s="9">
        <f t="shared" si="155"/>
        <v>4.2391720047382675E-2</v>
      </c>
      <c r="CA36" s="9">
        <f t="shared" si="155"/>
        <v>4.2430871909420409E-2</v>
      </c>
      <c r="CB36" s="9">
        <f t="shared" si="155"/>
        <v>4.2470090390990034E-2</v>
      </c>
      <c r="CC36" s="9">
        <f t="shared" si="155"/>
        <v>4.2509372797809419E-2</v>
      </c>
      <c r="CE36" s="4" t="s">
        <v>89</v>
      </c>
      <c r="CF36" s="12">
        <v>6.5000000000000002E-2</v>
      </c>
    </row>
    <row r="37" spans="2:84" s="4" customFormat="1" x14ac:dyDescent="0.25">
      <c r="B37" s="8" t="s">
        <v>42</v>
      </c>
      <c r="L37" s="9"/>
      <c r="M37" s="9"/>
      <c r="N37" s="9"/>
      <c r="O37" s="9">
        <f t="shared" ref="O37:AD37" si="156">+O10/K10-1</f>
        <v>0.1722751398395197</v>
      </c>
      <c r="P37" s="9">
        <f t="shared" si="156"/>
        <v>0.65520336993301576</v>
      </c>
      <c r="Q37" s="9">
        <f t="shared" si="156"/>
        <v>0.49784238019532134</v>
      </c>
      <c r="R37" s="9">
        <f t="shared" si="156"/>
        <v>0.46982302223566785</v>
      </c>
      <c r="S37" s="9">
        <f t="shared" si="156"/>
        <v>9.1940180191167231E-2</v>
      </c>
      <c r="T37" s="9">
        <f t="shared" si="156"/>
        <v>5.4904251324627618E-2</v>
      </c>
      <c r="U37" s="9">
        <f t="shared" si="156"/>
        <v>2.7672479150871787E-2</v>
      </c>
      <c r="V37" s="9">
        <f t="shared" si="156"/>
        <v>9.6686220026757308E-2</v>
      </c>
      <c r="W37" s="9">
        <f t="shared" si="156"/>
        <v>-8.1713854917071505E-2</v>
      </c>
      <c r="X37" s="9">
        <f t="shared" si="156"/>
        <v>1.510777140597197E-2</v>
      </c>
      <c r="Y37" s="17">
        <f>+Y10/U10-1</f>
        <v>-2.4492807082257428E-2</v>
      </c>
      <c r="Z37" s="9">
        <f t="shared" si="156"/>
        <v>2.7659175151315996E-2</v>
      </c>
      <c r="AA37" s="9">
        <f t="shared" si="156"/>
        <v>5.9703534777651113E-2</v>
      </c>
      <c r="AB37" s="9">
        <f t="shared" si="156"/>
        <v>-0.10462851131803486</v>
      </c>
      <c r="AC37" s="9">
        <f t="shared" si="156"/>
        <v>-9.4028082381708566E-3</v>
      </c>
      <c r="AD37" s="9">
        <f t="shared" si="156"/>
        <v>5.5176349731765884E-2</v>
      </c>
      <c r="AE37" s="9"/>
      <c r="AF37" s="9"/>
      <c r="AG37" s="9"/>
      <c r="AH37" s="9"/>
      <c r="AI37" s="9"/>
      <c r="AJ37" s="9"/>
      <c r="AV37" s="9"/>
      <c r="AW37" s="9">
        <f t="shared" ref="AW37" si="157">+AW10/AV10-1</f>
        <v>53.8130081300813</v>
      </c>
      <c r="AX37" s="9">
        <f t="shared" ref="AX37:BE37" si="158">+AX10/AW10-1</f>
        <v>0.93310590329279153</v>
      </c>
      <c r="AY37" s="9">
        <f t="shared" si="158"/>
        <v>0.93194199340136574</v>
      </c>
      <c r="AZ37" s="9">
        <f t="shared" si="158"/>
        <v>0.82683982683982693</v>
      </c>
      <c r="BA37" s="9">
        <f t="shared" si="158"/>
        <v>0.71077003347971646</v>
      </c>
      <c r="BB37" s="9">
        <f t="shared" si="158"/>
        <v>0.15995272708788688</v>
      </c>
      <c r="BC37" s="9">
        <f t="shared" si="158"/>
        <v>0.11735448460215392</v>
      </c>
      <c r="BD37" s="9">
        <f t="shared" si="158"/>
        <v>0.52014393426870997</v>
      </c>
      <c r="BE37" s="9">
        <f t="shared" si="158"/>
        <v>-0.11829774059764842</v>
      </c>
      <c r="BF37" s="9">
        <f t="shared" ref="BF37:BJ37" si="159">+BF10/BE10-1</f>
        <v>3.3789319678127372E-2</v>
      </c>
      <c r="BG37" s="9">
        <f t="shared" si="159"/>
        <v>0.16677870633106662</v>
      </c>
      <c r="BH37" s="9">
        <f>+BH10/BG10-1</f>
        <v>-0.13649871427878313</v>
      </c>
      <c r="BI37" s="9">
        <f>+BI10/BH10-1</f>
        <v>-3.2307681502447672E-2</v>
      </c>
      <c r="BJ37" s="9">
        <f t="shared" si="159"/>
        <v>0.39331983364905176</v>
      </c>
      <c r="BK37" s="9">
        <f>+BK10/BJ10-1</f>
        <v>7.0405734139696641E-2</v>
      </c>
      <c r="BL37" s="9">
        <f>+BL10/BK10-1</f>
        <v>-2.3874757286278081E-2</v>
      </c>
      <c r="BM37" s="9">
        <f t="shared" ref="BM37:CC37" si="160">+BM10/BL10-1</f>
        <v>-1.9900000000000029E-2</v>
      </c>
      <c r="BN37" s="9">
        <f t="shared" si="160"/>
        <v>3.6319999999999908E-2</v>
      </c>
      <c r="BO37" s="9">
        <f t="shared" si="160"/>
        <v>4.6480000000000077E-2</v>
      </c>
      <c r="BP37" s="9">
        <f t="shared" si="160"/>
        <v>5.6640000000000024E-2</v>
      </c>
      <c r="BQ37" s="9">
        <f t="shared" si="160"/>
        <v>5.6640000000000024E-2</v>
      </c>
      <c r="BR37" s="9">
        <f t="shared" si="160"/>
        <v>5.6640000000000024E-2</v>
      </c>
      <c r="BS37" s="9">
        <f t="shared" si="160"/>
        <v>4.6480000000000299E-2</v>
      </c>
      <c r="BT37" s="9">
        <f t="shared" si="160"/>
        <v>4.6479999999999855E-2</v>
      </c>
      <c r="BU37" s="9">
        <f t="shared" si="160"/>
        <v>4.6480000000000077E-2</v>
      </c>
      <c r="BV37" s="9">
        <f t="shared" si="160"/>
        <v>4.6480000000000299E-2</v>
      </c>
      <c r="BW37" s="9">
        <f t="shared" si="160"/>
        <v>3.632000000000013E-2</v>
      </c>
      <c r="BX37" s="9">
        <f t="shared" si="160"/>
        <v>3.6319999999999908E-2</v>
      </c>
      <c r="BY37" s="9">
        <f t="shared" si="160"/>
        <v>3.6319999999999908E-2</v>
      </c>
      <c r="BZ37" s="9">
        <f t="shared" si="160"/>
        <v>3.632000000000013E-2</v>
      </c>
      <c r="CA37" s="9">
        <f t="shared" si="160"/>
        <v>3.632000000000013E-2</v>
      </c>
      <c r="CB37" s="9">
        <f t="shared" si="160"/>
        <v>3.6319999999999908E-2</v>
      </c>
      <c r="CC37" s="9">
        <f t="shared" si="160"/>
        <v>3.632000000000013E-2</v>
      </c>
      <c r="CE37" s="4" t="s">
        <v>91</v>
      </c>
      <c r="CF37" s="12">
        <v>-0.01</v>
      </c>
    </row>
    <row r="38" spans="2:84" s="4" customFormat="1" x14ac:dyDescent="0.25">
      <c r="B38" s="8" t="s">
        <v>72</v>
      </c>
      <c r="L38" s="9"/>
      <c r="M38" s="9"/>
      <c r="N38" s="9"/>
      <c r="O38" s="9">
        <f>+O19/K19-1</f>
        <v>0.23955957530475813</v>
      </c>
      <c r="P38" s="9">
        <f t="shared" ref="P38:W38" si="161">+P19/L19-1</f>
        <v>0.26618219958046141</v>
      </c>
      <c r="Q38" s="9">
        <f t="shared" si="161"/>
        <v>0.32912739434478566</v>
      </c>
      <c r="R38" s="9">
        <f t="shared" si="161"/>
        <v>0.25623754209911342</v>
      </c>
      <c r="S38" s="9">
        <f t="shared" si="161"/>
        <v>0.23824630416851722</v>
      </c>
      <c r="T38" s="9">
        <f t="shared" si="161"/>
        <v>0.17277084196201398</v>
      </c>
      <c r="U38" s="9">
        <f t="shared" si="161"/>
        <v>0.12112547180601618</v>
      </c>
      <c r="V38" s="9">
        <f t="shared" si="161"/>
        <v>4.984406631285232E-2</v>
      </c>
      <c r="W38" s="9">
        <f t="shared" si="161"/>
        <v>6.4050010248001721E-2</v>
      </c>
      <c r="X38" s="9">
        <f t="shared" ref="X38:AD38" si="162">+X19/T19-1</f>
        <v>5.4790373845921003E-2</v>
      </c>
      <c r="Y38" s="17">
        <f t="shared" si="162"/>
        <v>8.2075086716996593E-2</v>
      </c>
      <c r="Z38" s="9">
        <f t="shared" si="162"/>
        <v>0.16291432145090678</v>
      </c>
      <c r="AA38" s="9">
        <f t="shared" si="162"/>
        <v>0.11321390734855052</v>
      </c>
      <c r="AB38" s="9">
        <f t="shared" si="162"/>
        <v>0.14157937532883724</v>
      </c>
      <c r="AC38" s="9">
        <f t="shared" si="162"/>
        <v>0.1414227124876255</v>
      </c>
      <c r="AD38" s="9">
        <f t="shared" si="162"/>
        <v>0.11911804248453883</v>
      </c>
      <c r="AE38" s="9"/>
      <c r="AF38" s="9"/>
      <c r="AG38" s="9"/>
      <c r="AH38" s="9"/>
      <c r="AI38" s="9"/>
      <c r="AJ38" s="9"/>
      <c r="AK38" s="9"/>
      <c r="BH38" s="9">
        <f>+BH19/BG19-1</f>
        <v>0.16461205595250084</v>
      </c>
      <c r="BI38" s="9">
        <f t="shared" ref="BI38:BK38" si="163">+BI19/BH19-1</f>
        <v>0.16152167807997242</v>
      </c>
      <c r="BJ38" s="9">
        <f t="shared" si="163"/>
        <v>0.27259708376729663</v>
      </c>
      <c r="BK38" s="9">
        <f t="shared" si="163"/>
        <v>0.14181951041286078</v>
      </c>
      <c r="BL38" s="9">
        <f>+BL19/BK19-1</f>
        <v>9.0504166186691215E-2</v>
      </c>
      <c r="BM38" s="9">
        <f t="shared" ref="BM38:CC38" si="164">+BM19/BL19-1</f>
        <v>0.12000000000000011</v>
      </c>
      <c r="BN38" s="9">
        <f t="shared" si="164"/>
        <v>0.14999999999999991</v>
      </c>
      <c r="BO38" s="9">
        <f t="shared" si="164"/>
        <v>0.10000000000000009</v>
      </c>
      <c r="BP38" s="9">
        <f t="shared" si="164"/>
        <v>9.9999999999999867E-2</v>
      </c>
      <c r="BQ38" s="9">
        <f t="shared" si="164"/>
        <v>0.10000000000000009</v>
      </c>
      <c r="BR38" s="9">
        <f t="shared" si="164"/>
        <v>5.0000000000000044E-2</v>
      </c>
      <c r="BS38" s="9">
        <f t="shared" si="164"/>
        <v>5.0000000000000044E-2</v>
      </c>
      <c r="BT38" s="9">
        <f t="shared" si="164"/>
        <v>5.0000000000000044E-2</v>
      </c>
      <c r="BU38" s="9">
        <f t="shared" si="164"/>
        <v>5.0000000000000044E-2</v>
      </c>
      <c r="BV38" s="9">
        <f t="shared" si="164"/>
        <v>5.0000000000000044E-2</v>
      </c>
      <c r="BW38" s="9">
        <f t="shared" si="164"/>
        <v>5.0000000000000044E-2</v>
      </c>
      <c r="BX38" s="9">
        <f t="shared" si="164"/>
        <v>5.0000000000000044E-2</v>
      </c>
      <c r="BY38" s="9">
        <f t="shared" si="164"/>
        <v>5.0000000000000044E-2</v>
      </c>
      <c r="BZ38" s="9">
        <f t="shared" si="164"/>
        <v>5.0000000000000044E-2</v>
      </c>
      <c r="CA38" s="9">
        <f t="shared" si="164"/>
        <v>5.0000000000000044E-2</v>
      </c>
      <c r="CB38" s="9">
        <f t="shared" si="164"/>
        <v>5.0000000000000044E-2</v>
      </c>
      <c r="CC38" s="9">
        <f t="shared" si="164"/>
        <v>5.0000000000000044E-2</v>
      </c>
      <c r="CE38" s="4" t="s">
        <v>90</v>
      </c>
      <c r="CF38" s="8">
        <f>NPV(CF36,BM32:GK32)+Main!D5-Main!D6</f>
        <v>3022344.3690111763</v>
      </c>
    </row>
    <row r="39" spans="2:84" x14ac:dyDescent="0.25">
      <c r="B39" t="s">
        <v>31</v>
      </c>
      <c r="C39" s="5"/>
      <c r="D39" s="5"/>
      <c r="E39" s="5">
        <f t="shared" ref="E39" si="165">+E24/E20</f>
        <v>0.38338496198254013</v>
      </c>
      <c r="K39" s="5">
        <f t="shared" ref="K39" si="166">+K24/K20</f>
        <v>0.38354806739345887</v>
      </c>
      <c r="L39" s="5">
        <f t="shared" ref="L39:N39" si="167">+L24/L20</f>
        <v>0.38361943305952362</v>
      </c>
      <c r="M39" s="5">
        <f t="shared" si="167"/>
        <v>0.37999497361146017</v>
      </c>
      <c r="N39" s="5">
        <f t="shared" si="167"/>
        <v>0.38160375900336951</v>
      </c>
      <c r="O39" s="5">
        <f t="shared" ref="O39:Q39" si="168">+O24/O20</f>
        <v>0.39777815665969724</v>
      </c>
      <c r="P39" s="5">
        <f t="shared" si="168"/>
        <v>0.42506474370423292</v>
      </c>
      <c r="Q39" s="5">
        <f t="shared" si="168"/>
        <v>0.43292727853230839</v>
      </c>
      <c r="R39" s="5">
        <f t="shared" ref="R39" si="169">+R24/R20</f>
        <v>0.42195297504798462</v>
      </c>
      <c r="S39" s="5">
        <f>+S24/S20</f>
        <v>0.43763766186615033</v>
      </c>
      <c r="T39" s="5">
        <f>+T24/T20</f>
        <v>0.43749871502292398</v>
      </c>
      <c r="U39" s="5">
        <f>+U24/U20</f>
        <v>0.43256307332537758</v>
      </c>
      <c r="V39" s="5">
        <f t="shared" ref="V39:X39" si="170">+V24/V20</f>
        <v>0.4225922392563175</v>
      </c>
      <c r="W39" s="5">
        <f t="shared" si="170"/>
        <v>0.42962254809908323</v>
      </c>
      <c r="X39" s="5">
        <f t="shared" si="170"/>
        <v>0.44261672782487665</v>
      </c>
      <c r="Y39" s="18">
        <f t="shared" ref="Y39:Z39" si="171">+Y24/Y20</f>
        <v>0.44516302553883397</v>
      </c>
      <c r="Z39" s="5">
        <f t="shared" si="171"/>
        <v>0.45170841806520817</v>
      </c>
      <c r="AA39" s="5">
        <f t="shared" ref="AA39:AB39" si="172">+AA24/AA20</f>
        <v>0.45874973865774621</v>
      </c>
      <c r="AB39" s="5">
        <f t="shared" si="172"/>
        <v>0.46578074554009236</v>
      </c>
      <c r="AC39" s="5">
        <f t="shared" ref="AC39:AD39" si="173">+AC24/AC20</f>
        <v>0.46257155181458898</v>
      </c>
      <c r="AD39" s="5">
        <f t="shared" si="173"/>
        <v>0.4622247972190035</v>
      </c>
      <c r="AE39" s="5"/>
      <c r="AF39" s="5"/>
      <c r="AG39" s="5"/>
      <c r="AH39" s="5"/>
      <c r="AI39" s="5"/>
      <c r="AJ39" s="5"/>
      <c r="AK39" s="5"/>
      <c r="AO39" s="5">
        <f t="shared" ref="AO39:AP39" si="174">+AO24/AO20</f>
        <v>0.27132656895903795</v>
      </c>
      <c r="AP39" s="5">
        <f t="shared" si="174"/>
        <v>0.23028155882901361</v>
      </c>
      <c r="AQ39" s="5">
        <f t="shared" ref="AQ39:AT39" si="175">+AQ24/AQ20</f>
        <v>0.27917102055033088</v>
      </c>
      <c r="AR39" s="5">
        <f t="shared" si="175"/>
        <v>0.27517319155791847</v>
      </c>
      <c r="AS39" s="5">
        <f t="shared" si="175"/>
        <v>0.27285904094697427</v>
      </c>
      <c r="AT39" s="5">
        <f t="shared" si="175"/>
        <v>0.29021606489124974</v>
      </c>
      <c r="AU39" s="5">
        <f t="shared" ref="AU39:AW39" si="176">+AU24/AU20</f>
        <v>0.28982655966865128</v>
      </c>
      <c r="AV39" s="5">
        <f t="shared" si="176"/>
        <v>0.33966508372906773</v>
      </c>
      <c r="AW39" s="5">
        <f t="shared" si="176"/>
        <v>0.35200448107545812</v>
      </c>
      <c r="AX39" s="5">
        <f t="shared" ref="AX39:AY39" si="177">+AX24/AX20</f>
        <v>0.40139843841044165</v>
      </c>
      <c r="AY39" s="5">
        <f t="shared" si="177"/>
        <v>0.39377539287083174</v>
      </c>
      <c r="AZ39" s="5">
        <f t="shared" ref="AZ39:BC39" si="178">+AZ24/AZ20</f>
        <v>0.40478895878945764</v>
      </c>
      <c r="BA39" s="5">
        <f t="shared" si="178"/>
        <v>0.43871239808827661</v>
      </c>
      <c r="BB39" s="5">
        <f t="shared" si="178"/>
        <v>0.37624480720847231</v>
      </c>
      <c r="BC39" s="5">
        <f t="shared" si="178"/>
        <v>0.38588035777783858</v>
      </c>
      <c r="BD39" s="5">
        <f>+BD24/BD20</f>
        <v>0.40059902017414373</v>
      </c>
      <c r="BE39" s="5">
        <f>+BE24/BE20</f>
        <v>0.39075955648097049</v>
      </c>
      <c r="BF39" s="5">
        <f>+BF24/BF20</f>
        <v>0.38469860491899105</v>
      </c>
      <c r="BG39" s="5">
        <f t="shared" ref="BG39:BK39" si="179">+BG24/BG20</f>
        <v>0.38343718820007905</v>
      </c>
      <c r="BH39" s="5">
        <f t="shared" si="179"/>
        <v>0.37817768109034722</v>
      </c>
      <c r="BI39" s="5">
        <f t="shared" si="179"/>
        <v>0.38233247727810865</v>
      </c>
      <c r="BJ39" s="5">
        <f t="shared" si="179"/>
        <v>0.41779359625167778</v>
      </c>
      <c r="BK39" s="5">
        <f t="shared" si="179"/>
        <v>0.43309630561360085</v>
      </c>
      <c r="BL39" s="5">
        <f>+BL24/BL20</f>
        <v>0.44224689199942602</v>
      </c>
      <c r="BM39" s="5">
        <f t="shared" ref="BM39:BV39" si="180">+BM24/BM20</f>
        <v>0.44734196002915333</v>
      </c>
      <c r="BN39" s="5">
        <f t="shared" si="180"/>
        <v>0.4697120139059196</v>
      </c>
      <c r="BO39" s="5">
        <f t="shared" si="180"/>
        <v>0.47332442534963465</v>
      </c>
      <c r="BP39" s="5">
        <f t="shared" si="180"/>
        <v>0.47653668501066587</v>
      </c>
      <c r="BQ39" s="5">
        <f t="shared" si="180"/>
        <v>0.4798046400676555</v>
      </c>
      <c r="BR39" s="5">
        <f t="shared" si="180"/>
        <v>0.47942749019228126</v>
      </c>
      <c r="BS39" s="5">
        <f t="shared" si="180"/>
        <v>0.47964336671483426</v>
      </c>
      <c r="BT39" s="5">
        <f t="shared" si="180"/>
        <v>0.47985693277467018</v>
      </c>
      <c r="BU39" s="5">
        <f t="shared" si="180"/>
        <v>0.48006816255744827</v>
      </c>
      <c r="BV39" s="5">
        <f t="shared" si="180"/>
        <v>0.48027703025732171</v>
      </c>
      <c r="BW39" s="5">
        <f t="shared" ref="BW39:CC39" si="181">+BW24/BW20</f>
        <v>0.48097575308693119</v>
      </c>
      <c r="BX39" s="5">
        <f t="shared" si="181"/>
        <v>0.4817941258163661</v>
      </c>
      <c r="BY39" s="5">
        <f t="shared" si="181"/>
        <v>0.4826143186926008</v>
      </c>
      <c r="BZ39" s="5">
        <f t="shared" si="181"/>
        <v>0.48343627578110071</v>
      </c>
      <c r="CA39" s="5">
        <f t="shared" si="181"/>
        <v>0.48425994066348543</v>
      </c>
      <c r="CB39" s="5">
        <f t="shared" si="181"/>
        <v>0.48508525645245382</v>
      </c>
      <c r="CC39" s="5">
        <f t="shared" si="181"/>
        <v>0.48591216580698571</v>
      </c>
      <c r="CE39" s="4" t="s">
        <v>92</v>
      </c>
      <c r="CF39" s="6">
        <f>CF38/Main!D3</f>
        <v>196.15302015019873</v>
      </c>
    </row>
    <row r="40" spans="2:84" x14ac:dyDescent="0.25">
      <c r="B40" s="2" t="s">
        <v>73</v>
      </c>
      <c r="C40" s="11"/>
      <c r="D40" s="11"/>
      <c r="E40" s="11" t="s">
        <v>82</v>
      </c>
      <c r="K40" s="5">
        <f>(K19-K22)/K19</f>
        <v>0.64396382225717652</v>
      </c>
      <c r="L40" s="5">
        <f t="shared" ref="L40:U40" si="182">(L19-L22)/L19</f>
        <v>0.65373089601438417</v>
      </c>
      <c r="M40" s="5">
        <f t="shared" si="182"/>
        <v>0.67224080267558528</v>
      </c>
      <c r="N40" s="5">
        <f t="shared" si="182"/>
        <v>0.66925561894288266</v>
      </c>
      <c r="O40" s="5">
        <f t="shared" si="182"/>
        <v>0.6839667533785927</v>
      </c>
      <c r="P40" s="5">
        <f t="shared" si="182"/>
        <v>0.70072776758771671</v>
      </c>
      <c r="Q40" s="5">
        <f t="shared" si="182"/>
        <v>0.69804414960539862</v>
      </c>
      <c r="R40" s="5">
        <f t="shared" si="182"/>
        <v>0.704765552333534</v>
      </c>
      <c r="S40" s="5">
        <f t="shared" si="182"/>
        <v>0.72366263578602175</v>
      </c>
      <c r="T40" s="5">
        <f t="shared" si="182"/>
        <v>0.72609858231168967</v>
      </c>
      <c r="U40" s="5">
        <f t="shared" si="182"/>
        <v>0.71490512140379514</v>
      </c>
      <c r="V40" s="5">
        <f t="shared" ref="V40:X40" si="183">(V19-V22)/V19</f>
        <v>0.70481550969355844</v>
      </c>
      <c r="W40" s="5">
        <f t="shared" si="183"/>
        <v>0.70832129442357705</v>
      </c>
      <c r="X40" s="5">
        <f t="shared" si="183"/>
        <v>0.70990577318601422</v>
      </c>
      <c r="Y40" s="18">
        <f t="shared" ref="Y40:Z40" si="184">(Y19-Y22)/Y19</f>
        <v>0.70546363079243857</v>
      </c>
      <c r="Z40" s="5">
        <f t="shared" si="184"/>
        <v>0.70937528009321504</v>
      </c>
      <c r="AA40" s="5">
        <f t="shared" ref="AA40:AB40" si="185">(AA19-AA22)/AA19</f>
        <v>0.728338452221309</v>
      </c>
      <c r="AB40" s="5">
        <f t="shared" si="185"/>
        <v>0.74617672937528801</v>
      </c>
      <c r="AC40" s="5">
        <f t="shared" ref="AC40:AD40" si="186">(AC19-AC22)/AC19</f>
        <v>0.73997439392062114</v>
      </c>
      <c r="AD40" s="5">
        <f t="shared" si="186"/>
        <v>0.74030914624379307</v>
      </c>
      <c r="AE40" s="5"/>
      <c r="AF40" s="5"/>
      <c r="AG40" s="5"/>
      <c r="AH40" s="5"/>
      <c r="AI40" s="5"/>
      <c r="AJ40" s="5"/>
      <c r="AK40" s="5"/>
      <c r="AO40" s="5">
        <f t="shared" ref="AO40:AP40" si="187">(AO19-AO22)/AO19</f>
        <v>1</v>
      </c>
      <c r="AP40" s="5">
        <f t="shared" si="187"/>
        <v>1</v>
      </c>
      <c r="AQ40" s="5">
        <f t="shared" ref="AQ40:AT40" si="188">(AQ19-AQ22)/AQ19</f>
        <v>1</v>
      </c>
      <c r="AR40" s="5">
        <f t="shared" si="188"/>
        <v>1</v>
      </c>
      <c r="AS40" s="5">
        <f t="shared" si="188"/>
        <v>1</v>
      </c>
      <c r="AT40" s="5">
        <f t="shared" si="188"/>
        <v>1</v>
      </c>
      <c r="AU40" s="5">
        <f t="shared" ref="AU40:AW40" si="189">(AU19-AU22)/AU19</f>
        <v>1</v>
      </c>
      <c r="AV40" s="5">
        <f t="shared" si="189"/>
        <v>1</v>
      </c>
      <c r="AW40" s="5">
        <f t="shared" si="189"/>
        <v>1</v>
      </c>
      <c r="AX40" s="5">
        <f t="shared" ref="AX40:AY40" si="190">(AX19-AX22)/AX19</f>
        <v>1</v>
      </c>
      <c r="AY40" s="5">
        <f t="shared" si="190"/>
        <v>1</v>
      </c>
      <c r="AZ40" s="5">
        <f t="shared" ref="AZ40:BC40" si="191">(AZ19-AZ22)/AZ19</f>
        <v>1</v>
      </c>
      <c r="BA40" s="5">
        <f t="shared" si="191"/>
        <v>1</v>
      </c>
      <c r="BB40" s="5">
        <f t="shared" si="191"/>
        <v>1</v>
      </c>
      <c r="BC40" s="5">
        <f t="shared" si="191"/>
        <v>1</v>
      </c>
      <c r="BD40" s="5">
        <f>(BD19-BD22)/BD19</f>
        <v>1</v>
      </c>
      <c r="BE40" s="5">
        <f>(BE19-BE22)/BE19</f>
        <v>1</v>
      </c>
      <c r="BF40" s="5">
        <f>(BF19-BF22)/BF19</f>
        <v>1</v>
      </c>
      <c r="BG40" s="5">
        <f t="shared" ref="BG40:BK40" si="192">(BG19-BG22)/BG19</f>
        <v>0.60772869075173597</v>
      </c>
      <c r="BH40" s="5">
        <f t="shared" si="192"/>
        <v>0.63738091637683347</v>
      </c>
      <c r="BI40" s="5">
        <f t="shared" si="192"/>
        <v>0.66015101919357233</v>
      </c>
      <c r="BJ40" s="5">
        <f t="shared" si="192"/>
        <v>0.69725977347460721</v>
      </c>
      <c r="BK40" s="5">
        <f t="shared" si="192"/>
        <v>0.71745446633132381</v>
      </c>
      <c r="BL40" s="5">
        <f>(BL19-BL22)/BL19</f>
        <v>0.73</v>
      </c>
      <c r="BM40" s="5">
        <f t="shared" ref="BM40:BV40" si="193">(BM19-BM22)/BM19</f>
        <v>0.76000000000000012</v>
      </c>
      <c r="BN40" s="5">
        <f t="shared" si="193"/>
        <v>0.76</v>
      </c>
      <c r="BO40" s="5">
        <f t="shared" si="193"/>
        <v>0.76</v>
      </c>
      <c r="BP40" s="5">
        <f t="shared" si="193"/>
        <v>0.76</v>
      </c>
      <c r="BQ40" s="5">
        <f t="shared" si="193"/>
        <v>0.76</v>
      </c>
      <c r="BR40" s="5">
        <f t="shared" si="193"/>
        <v>0.76</v>
      </c>
      <c r="BS40" s="5">
        <f t="shared" si="193"/>
        <v>0.76</v>
      </c>
      <c r="BT40" s="5">
        <f t="shared" si="193"/>
        <v>0.76</v>
      </c>
      <c r="BU40" s="5">
        <f t="shared" si="193"/>
        <v>0.76</v>
      </c>
      <c r="BV40" s="5">
        <f t="shared" si="193"/>
        <v>0.76</v>
      </c>
      <c r="BW40" s="5">
        <f t="shared" ref="BW40:CC40" si="194">(BW19-BW22)/BW19</f>
        <v>0.76</v>
      </c>
      <c r="BX40" s="5">
        <f t="shared" si="194"/>
        <v>0.76</v>
      </c>
      <c r="BY40" s="5">
        <f t="shared" si="194"/>
        <v>0.76</v>
      </c>
      <c r="BZ40" s="5">
        <f t="shared" si="194"/>
        <v>0.76</v>
      </c>
      <c r="CA40" s="5">
        <f t="shared" si="194"/>
        <v>0.76</v>
      </c>
      <c r="CB40" s="5">
        <f t="shared" si="194"/>
        <v>0.76</v>
      </c>
      <c r="CC40" s="5">
        <f t="shared" si="194"/>
        <v>0.76</v>
      </c>
      <c r="CE40" s="4" t="s">
        <v>93</v>
      </c>
      <c r="CF40" s="5">
        <f>CF39/Main!D2-1</f>
        <v>-0.12003490130456806</v>
      </c>
    </row>
    <row r="41" spans="2:84" x14ac:dyDescent="0.25">
      <c r="B41" s="2" t="s">
        <v>74</v>
      </c>
      <c r="C41" s="11"/>
      <c r="D41" s="11"/>
      <c r="E41" s="11" t="s">
        <v>82</v>
      </c>
      <c r="K41" s="5">
        <f>(K18-K21)/K18</f>
        <v>0.3416894215210356</v>
      </c>
      <c r="L41" s="5">
        <f t="shared" ref="L41:V41" si="195">(L18-L21)/L18</f>
        <v>0.30343600578227509</v>
      </c>
      <c r="M41" s="5">
        <f t="shared" si="195"/>
        <v>0.29736293494379851</v>
      </c>
      <c r="N41" s="5">
        <f t="shared" si="195"/>
        <v>0.2981515085046561</v>
      </c>
      <c r="O41" s="5">
        <f t="shared" si="195"/>
        <v>0.35063441961579467</v>
      </c>
      <c r="P41" s="5">
        <f t="shared" si="195"/>
        <v>0.3609647372838215</v>
      </c>
      <c r="Q41" s="5">
        <f t="shared" si="195"/>
        <v>0.36043347720022517</v>
      </c>
      <c r="R41" s="5">
        <f t="shared" si="195"/>
        <v>0.34253184395310604</v>
      </c>
      <c r="S41" s="5">
        <f t="shared" si="195"/>
        <v>0.38418446983117716</v>
      </c>
      <c r="T41" s="5">
        <f t="shared" si="195"/>
        <v>0.36364692668190091</v>
      </c>
      <c r="U41" s="5">
        <f t="shared" si="195"/>
        <v>0.34519769552521506</v>
      </c>
      <c r="V41" s="5">
        <f t="shared" si="195"/>
        <v>0.34627526142224979</v>
      </c>
      <c r="W41" s="5">
        <f t="shared" ref="W41:X41" si="196">(W18-W21)/W18</f>
        <v>0.36957920073038136</v>
      </c>
      <c r="X41" s="5">
        <f t="shared" si="196"/>
        <v>0.36702782399329087</v>
      </c>
      <c r="Y41" s="18">
        <f t="shared" ref="Y41:Z41" si="197">(Y18-Y21)/Y18</f>
        <v>0.35402086359434837</v>
      </c>
      <c r="Z41" s="5">
        <f t="shared" si="197"/>
        <v>0.36612884020004766</v>
      </c>
      <c r="AA41" s="5">
        <f t="shared" ref="AA41:AB41" si="198">(AA18-AA21)/AA18</f>
        <v>0.39414045491301913</v>
      </c>
      <c r="AB41" s="5">
        <f t="shared" si="198"/>
        <v>0.36572675896301171</v>
      </c>
      <c r="AC41" s="5">
        <f t="shared" ref="AC41:AD41" si="199">(AC18-AC21)/AC18</f>
        <v>0.35346956013254499</v>
      </c>
      <c r="AD41" s="5">
        <f t="shared" si="199"/>
        <v>0.36296063352297092</v>
      </c>
      <c r="AE41" s="5"/>
      <c r="AF41" s="5"/>
      <c r="AG41" s="5"/>
      <c r="AH41" s="5"/>
      <c r="AI41" s="5"/>
      <c r="AJ41" s="5"/>
      <c r="AK41" s="5"/>
      <c r="AO41" s="5">
        <f t="shared" ref="AO41:AP41" si="200">(AO18-AO21)/AO18</f>
        <v>1</v>
      </c>
      <c r="AP41" s="5">
        <f t="shared" si="200"/>
        <v>1</v>
      </c>
      <c r="AQ41" s="5">
        <f t="shared" ref="AQ41:AT41" si="201">(AQ18-AQ21)/AQ18</f>
        <v>1</v>
      </c>
      <c r="AR41" s="5">
        <f t="shared" si="201"/>
        <v>1</v>
      </c>
      <c r="AS41" s="5">
        <f t="shared" si="201"/>
        <v>1</v>
      </c>
      <c r="AT41" s="5">
        <f t="shared" si="201"/>
        <v>1</v>
      </c>
      <c r="AU41" s="5">
        <f t="shared" ref="AU41:AW41" si="202">(AU18-AU21)/AU18</f>
        <v>1</v>
      </c>
      <c r="AV41" s="5">
        <f t="shared" si="202"/>
        <v>1</v>
      </c>
      <c r="AW41" s="5">
        <f t="shared" si="202"/>
        <v>1</v>
      </c>
      <c r="AX41" s="5">
        <f t="shared" ref="AX41:AY41" si="203">(AX18-AX21)/AX18</f>
        <v>1</v>
      </c>
      <c r="AY41" s="5">
        <f t="shared" si="203"/>
        <v>1</v>
      </c>
      <c r="AZ41" s="5">
        <f t="shared" ref="AZ41:BC41" si="204">(AZ18-AZ21)/AZ18</f>
        <v>1</v>
      </c>
      <c r="BA41" s="5">
        <f t="shared" si="204"/>
        <v>1</v>
      </c>
      <c r="BB41" s="5">
        <f t="shared" si="204"/>
        <v>1</v>
      </c>
      <c r="BC41" s="5">
        <f t="shared" si="204"/>
        <v>1</v>
      </c>
      <c r="BD41" s="5">
        <f>(BD18-BD21)/BD18</f>
        <v>1</v>
      </c>
      <c r="BE41" s="5">
        <f>(BE18-BE21)/BE18</f>
        <v>1</v>
      </c>
      <c r="BF41" s="5">
        <f>(BF18-BF21)/BF18</f>
        <v>1</v>
      </c>
      <c r="BG41" s="5">
        <f t="shared" ref="BG41:BK41" si="205">(BG18-BG21)/BG18</f>
        <v>0.34396294836770025</v>
      </c>
      <c r="BH41" s="5">
        <f t="shared" si="205"/>
        <v>0.32207795851002652</v>
      </c>
      <c r="BI41" s="5">
        <f t="shared" si="205"/>
        <v>0.31466339293399231</v>
      </c>
      <c r="BJ41" s="5">
        <f t="shared" si="205"/>
        <v>0.35349303276483562</v>
      </c>
      <c r="BK41" s="5">
        <f t="shared" si="205"/>
        <v>0.36283479707399452</v>
      </c>
      <c r="BL41" s="5">
        <f>(BL18-BL21)/BL18</f>
        <v>0.36000000000000004</v>
      </c>
      <c r="BM41" s="5">
        <f t="shared" ref="BM41:BV41" si="206">(BM18-BM21)/BM18</f>
        <v>0.36999999999999994</v>
      </c>
      <c r="BN41" s="5">
        <f t="shared" si="206"/>
        <v>0.37</v>
      </c>
      <c r="BO41" s="5">
        <f t="shared" si="206"/>
        <v>0.37000000000000005</v>
      </c>
      <c r="BP41" s="5">
        <f t="shared" si="206"/>
        <v>0.37</v>
      </c>
      <c r="BQ41" s="5">
        <f t="shared" si="206"/>
        <v>0.37</v>
      </c>
      <c r="BR41" s="5">
        <f t="shared" si="206"/>
        <v>0.37</v>
      </c>
      <c r="BS41" s="5">
        <f t="shared" si="206"/>
        <v>0.37</v>
      </c>
      <c r="BT41" s="5">
        <f t="shared" si="206"/>
        <v>0.37000000000000005</v>
      </c>
      <c r="BU41" s="5">
        <f t="shared" si="206"/>
        <v>0.36999999999999994</v>
      </c>
      <c r="BV41" s="5">
        <f t="shared" si="206"/>
        <v>0.37000000000000005</v>
      </c>
      <c r="BW41" s="5">
        <f t="shared" ref="BW41:CC41" si="207">(BW18-BW21)/BW18</f>
        <v>0.37000000000000005</v>
      </c>
      <c r="BX41" s="5">
        <f t="shared" si="207"/>
        <v>0.36999999999999994</v>
      </c>
      <c r="BY41" s="5">
        <f t="shared" si="207"/>
        <v>0.37</v>
      </c>
      <c r="BZ41" s="5">
        <f t="shared" si="207"/>
        <v>0.37</v>
      </c>
      <c r="CA41" s="5">
        <f t="shared" si="207"/>
        <v>0.36999999999999994</v>
      </c>
      <c r="CB41" s="5">
        <f t="shared" si="207"/>
        <v>0.37</v>
      </c>
      <c r="CC41" s="5">
        <f t="shared" si="207"/>
        <v>0.36999999999999994</v>
      </c>
    </row>
    <row r="42" spans="2:84" x14ac:dyDescent="0.25">
      <c r="B42" t="s">
        <v>30</v>
      </c>
      <c r="C42" s="5"/>
      <c r="D42" s="5"/>
      <c r="E42" s="5">
        <f t="shared" ref="E42" si="208">+E28/E20</f>
        <v>0.23677837228949591</v>
      </c>
      <c r="K42" s="5">
        <f t="shared" ref="K42" si="209">+K28/K20</f>
        <v>0.2784717759940753</v>
      </c>
      <c r="L42" s="5">
        <f t="shared" ref="L42:N42" si="210">+L28/L20</f>
        <v>0.22041397287054346</v>
      </c>
      <c r="M42" s="5">
        <f t="shared" si="210"/>
        <v>0.21933484124989527</v>
      </c>
      <c r="N42" s="5">
        <f t="shared" si="210"/>
        <v>0.2283687285542057</v>
      </c>
      <c r="O42" s="5">
        <f t="shared" ref="O42:Q42" si="211">+O28/O20</f>
        <v>0.30091799100853384</v>
      </c>
      <c r="P42" s="5">
        <f t="shared" si="211"/>
        <v>0.30700794784782998</v>
      </c>
      <c r="Q42" s="5">
        <f t="shared" si="211"/>
        <v>0.29626445956234498</v>
      </c>
      <c r="R42" s="5">
        <f t="shared" ref="R42" si="212">+R28/R20</f>
        <v>0.28534069097888676</v>
      </c>
      <c r="S42" s="5">
        <f>+S28/S20</f>
        <v>0.33472911371979508</v>
      </c>
      <c r="T42" s="5">
        <f>+T28/T20</f>
        <v>0.30817862209338187</v>
      </c>
      <c r="U42" s="5">
        <f>+U28/U20</f>
        <v>0.27816150146457891</v>
      </c>
      <c r="V42" s="5">
        <f t="shared" ref="V42:X42" si="213">+V28/V20</f>
        <v>0.27615202005635303</v>
      </c>
      <c r="W42" s="5">
        <f t="shared" si="213"/>
        <v>0.30742441572630896</v>
      </c>
      <c r="X42" s="5">
        <f t="shared" si="213"/>
        <v>0.29859968788223878</v>
      </c>
      <c r="Y42" s="18">
        <f t="shared" ref="Y42:Z42" si="214">+Y28/Y20</f>
        <v>0.28115945572576012</v>
      </c>
      <c r="Z42" s="5">
        <f t="shared" si="214"/>
        <v>0.30133634271156895</v>
      </c>
      <c r="AA42" s="5">
        <f t="shared" ref="AA42:AB42" si="215">+AA28/AA20</f>
        <v>0.33763746602550698</v>
      </c>
      <c r="AB42" s="5">
        <f t="shared" si="215"/>
        <v>0.30742785362467356</v>
      </c>
      <c r="AC42" s="5">
        <f t="shared" ref="AC42:AD42" si="216">+AC28/AC20</f>
        <v>0.29555708406682446</v>
      </c>
      <c r="AD42" s="5">
        <f t="shared" si="216"/>
        <v>0.31171389444854103</v>
      </c>
      <c r="AE42" s="5"/>
      <c r="AF42" s="5"/>
      <c r="AG42" s="5"/>
      <c r="AH42" s="5"/>
      <c r="AI42" s="5"/>
      <c r="AJ42" s="5"/>
      <c r="AK42" s="5"/>
      <c r="AO42" s="5">
        <f t="shared" ref="AO42:AP42" si="217">+AO28/AO20</f>
        <v>7.7665038206188156E-2</v>
      </c>
      <c r="AP42" s="5">
        <f t="shared" si="217"/>
        <v>-6.2092112623531606E-2</v>
      </c>
      <c r="AQ42" s="5">
        <f t="shared" ref="AQ42:AT42" si="218">+AQ28/AQ20</f>
        <v>8.3594566353187051E-3</v>
      </c>
      <c r="AR42" s="5">
        <f t="shared" si="218"/>
        <v>4.0277106492669565E-3</v>
      </c>
      <c r="AS42" s="5">
        <f t="shared" si="218"/>
        <v>4.2154849619519263E-2</v>
      </c>
      <c r="AT42" s="5">
        <f t="shared" si="218"/>
        <v>0.11844088722991888</v>
      </c>
      <c r="AU42" s="5">
        <f t="shared" ref="AU42:AW42" si="219">+AU28/AU20</f>
        <v>0.1269997411338338</v>
      </c>
      <c r="AV42" s="5">
        <f t="shared" si="219"/>
        <v>0.1836624177289011</v>
      </c>
      <c r="AW42" s="5">
        <f t="shared" si="219"/>
        <v>0.22210663892667573</v>
      </c>
      <c r="AX42" s="5">
        <f t="shared" ref="AX42:AY42" si="220">+AX28/AX20</f>
        <v>0.2736277823097541</v>
      </c>
      <c r="AY42" s="5">
        <f t="shared" si="220"/>
        <v>0.28187044844768111</v>
      </c>
      <c r="AZ42" s="5">
        <f t="shared" ref="AZ42:BC42" si="221">+AZ28/AZ20</f>
        <v>0.31215068961376086</v>
      </c>
      <c r="BA42" s="5">
        <f t="shared" si="221"/>
        <v>0.35295959311984054</v>
      </c>
      <c r="BB42" s="5">
        <f t="shared" si="221"/>
        <v>0.28669475162366159</v>
      </c>
      <c r="BC42" s="5">
        <f t="shared" si="221"/>
        <v>0.28722339232473537</v>
      </c>
      <c r="BD42" s="5">
        <f>+BD28/BD20</f>
        <v>0.30477290717326661</v>
      </c>
      <c r="BE42" s="5">
        <f>+BE28/BE20</f>
        <v>0.27835410106706115</v>
      </c>
      <c r="BF42" s="5">
        <f>+BF28/BF20</f>
        <v>0.26760428208729942</v>
      </c>
      <c r="BG42" s="5">
        <f t="shared" ref="BG42:BK42" si="222">+BG28/BG20</f>
        <v>0.26694026619477024</v>
      </c>
      <c r="BH42" s="5">
        <f t="shared" si="222"/>
        <v>0.24572017188496928</v>
      </c>
      <c r="BI42" s="5">
        <f t="shared" si="222"/>
        <v>0.24147314354406862</v>
      </c>
      <c r="BJ42" s="5">
        <f t="shared" si="222"/>
        <v>0.29782377527561593</v>
      </c>
      <c r="BK42" s="5">
        <f t="shared" si="222"/>
        <v>0.30288744395528594</v>
      </c>
      <c r="BL42" s="5">
        <f>+BL28/BL20</f>
        <v>0.30426771201586289</v>
      </c>
      <c r="BM42" s="5">
        <f t="shared" ref="BM42:BV42" si="223">+BM28/BM20</f>
        <v>0.30804008040201003</v>
      </c>
      <c r="BN42" s="5">
        <f t="shared" si="223"/>
        <v>0.338993453795355</v>
      </c>
      <c r="BO42" s="5">
        <f t="shared" si="223"/>
        <v>0.34648995326084203</v>
      </c>
      <c r="BP42" s="5">
        <f t="shared" si="223"/>
        <v>0.35408126118540334</v>
      </c>
      <c r="BQ42" s="5">
        <f t="shared" si="223"/>
        <v>0.36162461471085361</v>
      </c>
      <c r="BR42" s="5">
        <f t="shared" si="223"/>
        <v>0.36389669829012677</v>
      </c>
      <c r="BS42" s="5">
        <f t="shared" si="223"/>
        <v>0.36608958559841037</v>
      </c>
      <c r="BT42" s="5">
        <f t="shared" si="223"/>
        <v>0.36824911096759316</v>
      </c>
      <c r="BU42" s="5">
        <f t="shared" si="223"/>
        <v>0.37037569522990249</v>
      </c>
      <c r="BV42" s="5">
        <f t="shared" si="223"/>
        <v>0.37246975334006716</v>
      </c>
      <c r="BW42" s="5">
        <f t="shared" ref="BW42:CC42" si="224">+BW28/BW20</f>
        <v>0.3745518847470608</v>
      </c>
      <c r="BX42" s="5">
        <f t="shared" si="224"/>
        <v>0.37662752186405046</v>
      </c>
      <c r="BY42" s="5">
        <f t="shared" si="224"/>
        <v>0.37869401554757226</v>
      </c>
      <c r="BZ42" s="5">
        <f t="shared" si="224"/>
        <v>0.38075135399899568</v>
      </c>
      <c r="CA42" s="5">
        <f t="shared" si="224"/>
        <v>0.38279952512356807</v>
      </c>
      <c r="CB42" s="5">
        <f t="shared" si="224"/>
        <v>0.38483851655134121</v>
      </c>
      <c r="CC42" s="5">
        <f t="shared" si="224"/>
        <v>0.38686831565814711</v>
      </c>
    </row>
    <row r="43" spans="2:84" x14ac:dyDescent="0.25">
      <c r="B43" t="s">
        <v>70</v>
      </c>
      <c r="C43" s="5"/>
      <c r="D43" s="5"/>
      <c r="E43" s="5">
        <f>E31/E30</f>
        <v>0.13286660644384221</v>
      </c>
      <c r="K43" s="5">
        <f>K31/K30</f>
        <v>0.14206343082027933</v>
      </c>
      <c r="L43" s="5">
        <f t="shared" ref="L43:U43" si="225">L31/L30</f>
        <v>0.14358583936048724</v>
      </c>
      <c r="M43" s="5">
        <f t="shared" si="225"/>
        <v>0.14341173783968944</v>
      </c>
      <c r="N43" s="5">
        <f t="shared" si="225"/>
        <v>0.14952016643178309</v>
      </c>
      <c r="O43" s="5">
        <f t="shared" si="225"/>
        <v>0.14366121683194855</v>
      </c>
      <c r="P43" s="5">
        <f t="shared" si="225"/>
        <v>0.1564028417407447</v>
      </c>
      <c r="Q43" s="5">
        <f t="shared" si="225"/>
        <v>0.10771882309491568</v>
      </c>
      <c r="R43" s="5">
        <f t="shared" si="225"/>
        <v>0.11600997935306263</v>
      </c>
      <c r="S43" s="5">
        <f t="shared" si="225"/>
        <v>0.16030164157028201</v>
      </c>
      <c r="T43" s="5">
        <f t="shared" si="225"/>
        <v>0.17017817445834302</v>
      </c>
      <c r="U43" s="5">
        <f t="shared" si="225"/>
        <v>0.15711436746726784</v>
      </c>
      <c r="V43" s="5">
        <f t="shared" ref="V43:X43" si="226">V31/V30</f>
        <v>0.15963012531938192</v>
      </c>
      <c r="W43" s="5">
        <f t="shared" si="226"/>
        <v>0.15790360160570419</v>
      </c>
      <c r="X43" s="5">
        <f t="shared" si="226"/>
        <v>0.14875625396377987</v>
      </c>
      <c r="Y43" s="18">
        <f t="shared" ref="Y43:Z43" si="227">Y31/Y30</f>
        <v>0.12545638499098227</v>
      </c>
      <c r="Z43" s="5">
        <f t="shared" si="227"/>
        <v>0.14971479368842136</v>
      </c>
      <c r="AA43" s="5">
        <f t="shared" ref="AA43:AB43" si="228">AA31/AA30</f>
        <v>0.15889194752374575</v>
      </c>
      <c r="AB43" s="5">
        <f t="shared" si="228"/>
        <v>0.1576021099151757</v>
      </c>
      <c r="AC43" s="5">
        <f t="shared" ref="AC43:AD43" si="229">AC31/AC30</f>
        <v>0.15870400878638111</v>
      </c>
      <c r="AD43" s="5">
        <f t="shared" si="229"/>
        <v>0.15785207700101317</v>
      </c>
      <c r="AE43" s="5"/>
      <c r="AF43" s="5"/>
      <c r="AG43" s="5"/>
      <c r="AH43" s="5"/>
      <c r="AI43" s="5"/>
      <c r="AJ43" s="5"/>
      <c r="AK43" s="5"/>
      <c r="AO43" s="5">
        <f t="shared" ref="AO43:AP43" si="230">AO31/AO30</f>
        <v>0.37181044957472659</v>
      </c>
      <c r="AP43" s="5">
        <f t="shared" si="230"/>
        <v>0</v>
      </c>
      <c r="AQ43" s="5">
        <f t="shared" ref="AQ43:AT43" si="231">AQ31/AQ30</f>
        <v>0.1864406779661017</v>
      </c>
      <c r="AR43" s="5">
        <f t="shared" si="231"/>
        <v>0.20338983050847459</v>
      </c>
      <c r="AS43" s="5">
        <f t="shared" si="231"/>
        <v>0.26354679802955666</v>
      </c>
      <c r="AT43" s="5">
        <f t="shared" si="231"/>
        <v>0.26446280991735538</v>
      </c>
      <c r="AU43" s="5">
        <f t="shared" ref="AU43:AW43" si="232">AU31/AU30</f>
        <v>0.29418026969481903</v>
      </c>
      <c r="AV43" s="5">
        <f t="shared" si="232"/>
        <v>0.30191693290734822</v>
      </c>
      <c r="AW43" s="5">
        <f t="shared" si="232"/>
        <v>0.3160836034424947</v>
      </c>
      <c r="AX43" s="5">
        <f t="shared" ref="AX43:AY43" si="233">AX31/AX30</f>
        <v>0.31750372948781702</v>
      </c>
      <c r="AY43" s="5">
        <f t="shared" si="233"/>
        <v>0.24417475728155341</v>
      </c>
      <c r="AZ43" s="5">
        <f t="shared" ref="AZ43:BC43" si="234">AZ31/AZ30</f>
        <v>0.24215757930127174</v>
      </c>
      <c r="BA43" s="5">
        <f t="shared" si="234"/>
        <v>0.25160052364471064</v>
      </c>
      <c r="BB43" s="5">
        <f t="shared" si="234"/>
        <v>0.26154919748778788</v>
      </c>
      <c r="BC43" s="5">
        <f t="shared" si="234"/>
        <v>0.26126058747639436</v>
      </c>
      <c r="BD43" s="5">
        <f t="shared" ref="BD43:BE43" si="235">BD31/BD30</f>
        <v>0.26368337585327173</v>
      </c>
      <c r="BE43" s="5">
        <f t="shared" si="235"/>
        <v>0.25557257381216192</v>
      </c>
      <c r="BF43" s="5">
        <f t="shared" ref="BF43" si="236">BF31/BF30</f>
        <v>0.24556476150353415</v>
      </c>
      <c r="BG43" s="5">
        <f t="shared" ref="BG43:BK43" si="237">BG31/BG30</f>
        <v>0.18342180705869443</v>
      </c>
      <c r="BH43" s="5">
        <f t="shared" si="237"/>
        <v>0.15943836804235059</v>
      </c>
      <c r="BI43" s="5">
        <f t="shared" si="237"/>
        <v>0.14428164731484103</v>
      </c>
      <c r="BJ43" s="5">
        <f t="shared" si="237"/>
        <v>0.13302260844085087</v>
      </c>
      <c r="BK43" s="5">
        <f t="shared" si="237"/>
        <v>0.16204461684424407</v>
      </c>
      <c r="BL43" s="5">
        <f>BL31/BL30</f>
        <v>0.2</v>
      </c>
      <c r="BM43" s="5">
        <f t="shared" ref="BM43:BV43" si="238">BM31/BM30</f>
        <v>0.2</v>
      </c>
      <c r="BN43" s="5">
        <f t="shared" si="238"/>
        <v>0.2</v>
      </c>
      <c r="BO43" s="5">
        <f t="shared" si="238"/>
        <v>0.2</v>
      </c>
      <c r="BP43" s="5">
        <f t="shared" si="238"/>
        <v>0.20000000000000004</v>
      </c>
      <c r="BQ43" s="5">
        <f t="shared" si="238"/>
        <v>0.2</v>
      </c>
      <c r="BR43" s="5">
        <f t="shared" si="238"/>
        <v>0.2</v>
      </c>
      <c r="BS43" s="5">
        <f t="shared" si="238"/>
        <v>0.2</v>
      </c>
      <c r="BT43" s="5">
        <f t="shared" si="238"/>
        <v>0.20000000000000004</v>
      </c>
      <c r="BU43" s="5">
        <f t="shared" si="238"/>
        <v>0.2</v>
      </c>
      <c r="BV43" s="5">
        <f t="shared" si="238"/>
        <v>0.2</v>
      </c>
      <c r="BW43" s="5">
        <f t="shared" ref="BW43:CC43" si="239">BW31/BW30</f>
        <v>0.2</v>
      </c>
      <c r="BX43" s="5">
        <f t="shared" si="239"/>
        <v>0.2</v>
      </c>
      <c r="BY43" s="5">
        <f t="shared" si="239"/>
        <v>0.2</v>
      </c>
      <c r="BZ43" s="5">
        <f t="shared" si="239"/>
        <v>0.2</v>
      </c>
      <c r="CA43" s="5">
        <f t="shared" si="239"/>
        <v>0.2</v>
      </c>
      <c r="CB43" s="5">
        <f t="shared" si="239"/>
        <v>0.2</v>
      </c>
      <c r="CC43" s="5">
        <f t="shared" si="239"/>
        <v>0.2</v>
      </c>
    </row>
    <row r="45" spans="2:84" s="2" customFormat="1" x14ac:dyDescent="0.25">
      <c r="B45" s="2" t="s">
        <v>105</v>
      </c>
      <c r="R45" s="19">
        <v>154000</v>
      </c>
      <c r="V45" s="2">
        <v>164000</v>
      </c>
      <c r="Z45" s="2">
        <v>161000</v>
      </c>
      <c r="AB45" s="20">
        <v>150000</v>
      </c>
      <c r="AQ45" s="2">
        <v>10211</v>
      </c>
      <c r="AR45" s="2">
        <v>10912</v>
      </c>
      <c r="AS45" s="2">
        <v>11695</v>
      </c>
      <c r="AT45" s="2">
        <v>14800</v>
      </c>
      <c r="AU45" s="2">
        <v>17787</v>
      </c>
    </row>
    <row r="46" spans="2:84" s="2" customFormat="1" x14ac:dyDescent="0.25"/>
    <row r="47" spans="2:84" x14ac:dyDescent="0.25">
      <c r="B47" t="s">
        <v>124</v>
      </c>
      <c r="W47" s="2">
        <f>W48-W60</f>
        <v>54340</v>
      </c>
      <c r="X47" s="2">
        <f t="shared" ref="X47:AD47" si="240">X48-X60</f>
        <v>56718</v>
      </c>
      <c r="Y47" s="2">
        <f t="shared" si="240"/>
        <v>57263</v>
      </c>
      <c r="Z47" s="2">
        <f t="shared" si="240"/>
        <v>51011</v>
      </c>
      <c r="AA47" s="2">
        <f t="shared" si="240"/>
        <v>64535</v>
      </c>
      <c r="AB47" s="2">
        <f t="shared" si="240"/>
        <v>57747</v>
      </c>
      <c r="AC47" s="2">
        <f t="shared" si="240"/>
        <v>51737</v>
      </c>
      <c r="AD47" s="2">
        <f t="shared" si="240"/>
        <v>50021</v>
      </c>
      <c r="AE47" s="2"/>
      <c r="AF47" s="2"/>
      <c r="AG47" s="2"/>
      <c r="AH47" s="2"/>
      <c r="AI47" s="2"/>
      <c r="AJ47" s="2"/>
    </row>
    <row r="48" spans="2:84" s="2" customFormat="1" x14ac:dyDescent="0.25">
      <c r="B48" s="2" t="s">
        <v>3</v>
      </c>
      <c r="W48" s="2">
        <f>20535+30820+114095</f>
        <v>165450</v>
      </c>
      <c r="X48" s="2">
        <f>24687+31185+110461</f>
        <v>166333</v>
      </c>
      <c r="Y48" s="2">
        <f>28408+34074+104061</f>
        <v>166543</v>
      </c>
      <c r="Z48" s="2">
        <f>29965+31590+100544</f>
        <v>162099</v>
      </c>
      <c r="AA48" s="2">
        <f>40760+32340+99475</f>
        <v>172575</v>
      </c>
      <c r="AB48" s="2">
        <f>32695+34455+95187</f>
        <v>162337</v>
      </c>
      <c r="AC48" s="2">
        <f>25565+36236+91240</f>
        <v>153041</v>
      </c>
      <c r="AD48" s="2">
        <f>29943+35228+91479</f>
        <v>156650</v>
      </c>
    </row>
    <row r="49" spans="2:36" s="2" customFormat="1" x14ac:dyDescent="0.25">
      <c r="B49" s="2" t="s">
        <v>111</v>
      </c>
      <c r="W49" s="2">
        <v>23752</v>
      </c>
      <c r="X49" s="2">
        <v>17936</v>
      </c>
      <c r="Y49" s="2">
        <v>19549</v>
      </c>
      <c r="Z49" s="2">
        <v>29508</v>
      </c>
      <c r="AA49" s="2">
        <v>23194</v>
      </c>
      <c r="AB49" s="2">
        <v>21837</v>
      </c>
      <c r="AC49" s="2">
        <v>22795</v>
      </c>
      <c r="AD49" s="2">
        <v>33410</v>
      </c>
    </row>
    <row r="50" spans="2:36" s="2" customFormat="1" x14ac:dyDescent="0.25">
      <c r="B50" s="2" t="s">
        <v>112</v>
      </c>
      <c r="W50" s="2">
        <v>6820</v>
      </c>
      <c r="X50" s="2">
        <v>7482</v>
      </c>
      <c r="Y50" s="2">
        <v>7351</v>
      </c>
      <c r="Z50" s="2">
        <v>6331</v>
      </c>
      <c r="AA50" s="2">
        <v>6511</v>
      </c>
      <c r="AB50" s="2">
        <v>6232</v>
      </c>
      <c r="AC50" s="2">
        <v>6165</v>
      </c>
      <c r="AD50" s="2">
        <v>7286</v>
      </c>
    </row>
    <row r="51" spans="2:36" s="2" customFormat="1" x14ac:dyDescent="0.25">
      <c r="B51" s="2" t="s">
        <v>113</v>
      </c>
      <c r="W51" s="2">
        <v>30428</v>
      </c>
      <c r="X51" s="2">
        <v>17963</v>
      </c>
      <c r="Y51" s="2">
        <v>19637</v>
      </c>
      <c r="Z51" s="2">
        <v>31477</v>
      </c>
      <c r="AA51" s="2">
        <v>26908</v>
      </c>
      <c r="AB51" s="2">
        <v>19313</v>
      </c>
      <c r="AC51" s="2">
        <v>20377</v>
      </c>
      <c r="AD51" s="2">
        <v>32833</v>
      </c>
    </row>
    <row r="52" spans="2:36" s="2" customFormat="1" x14ac:dyDescent="0.25">
      <c r="B52" s="2" t="s">
        <v>114</v>
      </c>
      <c r="W52" s="2">
        <v>16422</v>
      </c>
      <c r="X52" s="2">
        <v>13660</v>
      </c>
      <c r="Y52" s="2">
        <v>13640</v>
      </c>
      <c r="Z52" s="2">
        <v>14695</v>
      </c>
      <c r="AA52" s="2">
        <v>13979</v>
      </c>
      <c r="AB52" s="2">
        <v>13884</v>
      </c>
      <c r="AC52" s="2">
        <v>14297</v>
      </c>
      <c r="AD52" s="2">
        <v>14287</v>
      </c>
    </row>
    <row r="53" spans="2:36" s="2" customFormat="1" x14ac:dyDescent="0.25">
      <c r="B53" s="2" t="s">
        <v>115</v>
      </c>
      <c r="W53" s="2">
        <v>42951</v>
      </c>
      <c r="X53" s="2">
        <v>43398</v>
      </c>
      <c r="Y53" s="2">
        <v>43550</v>
      </c>
      <c r="Z53" s="2">
        <v>43715</v>
      </c>
      <c r="AA53" s="2">
        <v>43666</v>
      </c>
      <c r="AB53" s="2">
        <v>43546</v>
      </c>
      <c r="AC53" s="2">
        <v>44502</v>
      </c>
      <c r="AD53" s="2">
        <v>45680</v>
      </c>
    </row>
    <row r="54" spans="2:36" s="2" customFormat="1" x14ac:dyDescent="0.25">
      <c r="B54" s="2" t="s">
        <v>116</v>
      </c>
      <c r="W54" s="2">
        <v>60924</v>
      </c>
      <c r="X54" s="2">
        <v>65388</v>
      </c>
      <c r="Y54" s="2">
        <v>64768</v>
      </c>
      <c r="Z54" s="2">
        <v>64758</v>
      </c>
      <c r="AA54" s="2">
        <v>66681</v>
      </c>
      <c r="AB54" s="2">
        <v>70262</v>
      </c>
      <c r="AC54" s="2">
        <v>70435</v>
      </c>
      <c r="AD54" s="2">
        <v>74834</v>
      </c>
    </row>
    <row r="55" spans="2:36" s="2" customFormat="1" x14ac:dyDescent="0.25">
      <c r="B55" s="2" t="s">
        <v>117</v>
      </c>
      <c r="W55" s="2">
        <f t="shared" ref="W55:AD55" si="241">SUM(W48:W54)</f>
        <v>346747</v>
      </c>
      <c r="X55" s="2">
        <f>SUM(X48:X54)</f>
        <v>332160</v>
      </c>
      <c r="Y55" s="2">
        <f t="shared" si="241"/>
        <v>335038</v>
      </c>
      <c r="Z55" s="2">
        <f t="shared" si="241"/>
        <v>352583</v>
      </c>
      <c r="AA55" s="2">
        <f t="shared" si="241"/>
        <v>353514</v>
      </c>
      <c r="AB55" s="2">
        <f t="shared" si="241"/>
        <v>337411</v>
      </c>
      <c r="AC55" s="2">
        <f t="shared" si="241"/>
        <v>331612</v>
      </c>
      <c r="AD55" s="2">
        <f t="shared" si="241"/>
        <v>364980</v>
      </c>
    </row>
    <row r="57" spans="2:36" x14ac:dyDescent="0.25">
      <c r="B57" s="2" t="s">
        <v>118</v>
      </c>
      <c r="W57" s="2">
        <v>57918</v>
      </c>
      <c r="X57" s="2">
        <v>42945</v>
      </c>
      <c r="Y57" s="2">
        <v>46699</v>
      </c>
      <c r="Z57" s="2">
        <v>62611</v>
      </c>
      <c r="AA57" s="2">
        <v>58146</v>
      </c>
      <c r="AB57" s="2">
        <v>45753</v>
      </c>
      <c r="AC57" s="2">
        <v>47574</v>
      </c>
      <c r="AD57" s="2">
        <v>68960</v>
      </c>
      <c r="AE57" s="2"/>
      <c r="AF57" s="2"/>
      <c r="AG57" s="2"/>
      <c r="AH57" s="2"/>
      <c r="AI57" s="2"/>
      <c r="AJ57" s="2"/>
    </row>
    <row r="58" spans="2:36" x14ac:dyDescent="0.25">
      <c r="B58" s="2" t="s">
        <v>119</v>
      </c>
      <c r="W58" s="2">
        <v>59893</v>
      </c>
      <c r="X58" s="2">
        <v>56425</v>
      </c>
      <c r="Y58" s="2">
        <v>58897</v>
      </c>
      <c r="Z58" s="2">
        <v>58829</v>
      </c>
      <c r="AA58" s="2">
        <v>54611</v>
      </c>
      <c r="AB58" s="2">
        <v>57298</v>
      </c>
      <c r="AC58" s="2">
        <v>60889</v>
      </c>
      <c r="AD58" s="2">
        <v>78304</v>
      </c>
      <c r="AE58" s="2"/>
      <c r="AF58" s="2"/>
      <c r="AG58" s="2"/>
      <c r="AH58" s="2"/>
      <c r="AI58" s="2"/>
      <c r="AJ58" s="2"/>
    </row>
    <row r="59" spans="2:36" x14ac:dyDescent="0.25">
      <c r="B59" s="2" t="s">
        <v>120</v>
      </c>
      <c r="W59" s="2">
        <v>7992</v>
      </c>
      <c r="X59" s="2">
        <v>8131</v>
      </c>
      <c r="Y59" s="2">
        <v>8158</v>
      </c>
      <c r="Z59" s="2">
        <v>8061</v>
      </c>
      <c r="AA59" s="2">
        <v>8264</v>
      </c>
      <c r="AB59" s="2">
        <v>8012</v>
      </c>
      <c r="AC59" s="2">
        <v>8053</v>
      </c>
      <c r="AD59" s="2">
        <v>8249</v>
      </c>
      <c r="AE59" s="2"/>
      <c r="AF59" s="2"/>
      <c r="AG59" s="2"/>
      <c r="AH59" s="2"/>
      <c r="AI59" s="2"/>
      <c r="AJ59" s="2"/>
    </row>
    <row r="60" spans="2:36" s="2" customFormat="1" x14ac:dyDescent="0.25">
      <c r="B60" s="2" t="s">
        <v>4</v>
      </c>
      <c r="W60" s="2">
        <f>1743+9740+99627</f>
        <v>111110</v>
      </c>
      <c r="X60" s="2">
        <f>1996+10578+97041</f>
        <v>109615</v>
      </c>
      <c r="Y60" s="2">
        <f>7216+98071+3993</f>
        <v>109280</v>
      </c>
      <c r="Z60" s="2">
        <f>5985+9822+95281</f>
        <v>111088</v>
      </c>
      <c r="AA60" s="2">
        <f>1998+10954+95088</f>
        <v>108040</v>
      </c>
      <c r="AB60" s="2">
        <f>1997+10762+91831</f>
        <v>104590</v>
      </c>
      <c r="AC60" s="2">
        <f>2994+12114+86196</f>
        <v>101304</v>
      </c>
      <c r="AD60" s="2">
        <f>9967+10912+85750</f>
        <v>106629</v>
      </c>
    </row>
    <row r="61" spans="2:36" x14ac:dyDescent="0.25">
      <c r="B61" s="2" t="s">
        <v>123</v>
      </c>
      <c r="W61" s="2">
        <v>53107</v>
      </c>
      <c r="X61" s="2">
        <v>52886</v>
      </c>
      <c r="Y61" s="2">
        <v>51730</v>
      </c>
      <c r="Z61" s="2">
        <v>49848</v>
      </c>
      <c r="AA61" s="2">
        <v>50353</v>
      </c>
      <c r="AB61" s="2">
        <v>47564</v>
      </c>
      <c r="AC61" s="2">
        <v>47084</v>
      </c>
      <c r="AD61" s="2">
        <v>45888</v>
      </c>
      <c r="AE61" s="2"/>
      <c r="AF61" s="2"/>
      <c r="AG61" s="2"/>
      <c r="AH61" s="2"/>
      <c r="AI61" s="2"/>
      <c r="AJ61" s="2"/>
    </row>
    <row r="62" spans="2:36" x14ac:dyDescent="0.25">
      <c r="B62" s="2" t="s">
        <v>122</v>
      </c>
      <c r="W62" s="2">
        <v>56727</v>
      </c>
      <c r="X62" s="2">
        <v>62158</v>
      </c>
      <c r="Y62" s="2">
        <v>60274</v>
      </c>
      <c r="Z62" s="2">
        <v>62146</v>
      </c>
      <c r="AA62" s="2">
        <v>74100</v>
      </c>
      <c r="AB62" s="2">
        <v>74194</v>
      </c>
      <c r="AC62" s="2">
        <v>66708</v>
      </c>
      <c r="AD62" s="2">
        <v>56950</v>
      </c>
      <c r="AE62" s="2"/>
      <c r="AF62" s="2"/>
      <c r="AG62" s="2"/>
      <c r="AH62" s="2"/>
      <c r="AI62" s="2"/>
      <c r="AJ62" s="2"/>
    </row>
    <row r="63" spans="2:36" x14ac:dyDescent="0.25">
      <c r="B63" s="2" t="s">
        <v>121</v>
      </c>
      <c r="W63" s="2">
        <f t="shared" ref="W63:AD63" si="242">SUM(W57:W62)</f>
        <v>346747</v>
      </c>
      <c r="X63" s="2">
        <f t="shared" si="242"/>
        <v>332160</v>
      </c>
      <c r="Y63" s="2">
        <f t="shared" si="242"/>
        <v>335038</v>
      </c>
      <c r="Z63" s="2">
        <f t="shared" si="242"/>
        <v>352583</v>
      </c>
      <c r="AA63" s="2">
        <f t="shared" si="242"/>
        <v>353514</v>
      </c>
      <c r="AB63" s="2">
        <f t="shared" si="242"/>
        <v>337411</v>
      </c>
      <c r="AC63" s="2">
        <f t="shared" si="242"/>
        <v>331612</v>
      </c>
      <c r="AD63" s="2">
        <f t="shared" si="242"/>
        <v>364980</v>
      </c>
      <c r="AE63" s="2"/>
      <c r="AF63" s="2"/>
      <c r="AG63" s="2"/>
      <c r="AH63" s="2"/>
      <c r="AI63" s="2"/>
      <c r="AJ63" s="2"/>
    </row>
    <row r="65" spans="2:36" x14ac:dyDescent="0.25">
      <c r="B65" s="2" t="s">
        <v>125</v>
      </c>
      <c r="W65" s="2">
        <f t="shared" ref="W65:AD65" si="243">W32</f>
        <v>29998</v>
      </c>
      <c r="X65" s="2">
        <f t="shared" si="243"/>
        <v>24160</v>
      </c>
      <c r="Y65" s="2">
        <f t="shared" si="243"/>
        <v>19881</v>
      </c>
      <c r="Z65" s="2">
        <f t="shared" si="243"/>
        <v>22956</v>
      </c>
      <c r="AA65" s="2">
        <f t="shared" si="243"/>
        <v>33916</v>
      </c>
      <c r="AB65" s="2">
        <f t="shared" si="243"/>
        <v>23636</v>
      </c>
      <c r="AC65" s="2">
        <f t="shared" si="243"/>
        <v>21448</v>
      </c>
      <c r="AD65" s="2">
        <f t="shared" si="243"/>
        <v>24936</v>
      </c>
      <c r="AE65" s="2"/>
      <c r="AF65" s="2"/>
      <c r="AG65" s="2"/>
      <c r="AH65" s="2"/>
      <c r="AI65" s="2"/>
      <c r="AJ65" s="2"/>
    </row>
    <row r="66" spans="2:36" x14ac:dyDescent="0.25">
      <c r="B66" s="2" t="s">
        <v>126</v>
      </c>
      <c r="W66" s="2">
        <v>29998</v>
      </c>
      <c r="X66" s="2">
        <f>54158-W66</f>
        <v>24160</v>
      </c>
      <c r="Y66" s="2">
        <v>19881</v>
      </c>
      <c r="Z66" s="2">
        <f>96995-Y66-X66-W66</f>
        <v>22956</v>
      </c>
      <c r="AA66" s="2">
        <v>33916</v>
      </c>
      <c r="AB66" s="2">
        <f>57552-AA66</f>
        <v>23636</v>
      </c>
      <c r="AC66" s="2">
        <f>79000-AB66-AA66</f>
        <v>21448</v>
      </c>
      <c r="AD66" s="2">
        <f>93736-AC66-AB66-AA66</f>
        <v>14736</v>
      </c>
      <c r="AE66" s="2"/>
      <c r="AF66" s="2"/>
      <c r="AG66" s="2"/>
      <c r="AH66" s="2"/>
      <c r="AI66" s="2"/>
      <c r="AJ66" s="2"/>
    </row>
    <row r="67" spans="2:36" x14ac:dyDescent="0.25">
      <c r="B67" s="2" t="s">
        <v>128</v>
      </c>
      <c r="W67" s="2">
        <v>2916</v>
      </c>
      <c r="X67" s="2">
        <f>5814-W67</f>
        <v>2898</v>
      </c>
      <c r="Y67" s="2">
        <f>8866-X67-W67</f>
        <v>3052</v>
      </c>
      <c r="Z67" s="2">
        <f>11519-Y67-X67-W67</f>
        <v>2653</v>
      </c>
      <c r="AA67">
        <v>2848</v>
      </c>
      <c r="AB67">
        <f>5684-AA67</f>
        <v>2836</v>
      </c>
      <c r="AC67">
        <f>8534-AB67-AA67</f>
        <v>2850</v>
      </c>
      <c r="AD67">
        <f>11445-AC67-AA67-AB67</f>
        <v>2911</v>
      </c>
    </row>
    <row r="68" spans="2:36" x14ac:dyDescent="0.25">
      <c r="B68" s="2" t="s">
        <v>129</v>
      </c>
      <c r="W68" s="2">
        <v>2905</v>
      </c>
      <c r="X68" s="2">
        <f>5591-W68</f>
        <v>2686</v>
      </c>
      <c r="Y68" s="2">
        <f>8208-X68-W68</f>
        <v>2617</v>
      </c>
      <c r="Z68" s="2">
        <f>10833-X68-Y68-W68</f>
        <v>2625</v>
      </c>
      <c r="AA68">
        <v>2997</v>
      </c>
      <c r="AB68">
        <f>5961-AA68</f>
        <v>2964</v>
      </c>
      <c r="AC68">
        <f>8830-AB68-AA68</f>
        <v>2869</v>
      </c>
      <c r="AD68">
        <f>11688-AC68-AB68-AA68</f>
        <v>2858</v>
      </c>
    </row>
    <row r="69" spans="2:36" x14ac:dyDescent="0.25">
      <c r="B69" s="2" t="s">
        <v>130</v>
      </c>
      <c r="W69" s="2">
        <v>-317</v>
      </c>
      <c r="X69" s="2">
        <f>-1732-W69</f>
        <v>-1415</v>
      </c>
      <c r="Y69" s="2">
        <f>-1651-X69-W69</f>
        <v>81</v>
      </c>
      <c r="Z69" s="2">
        <f>-2227-Y69-X69-W69</f>
        <v>-576</v>
      </c>
      <c r="AA69">
        <v>-989</v>
      </c>
      <c r="AB69">
        <f>-1971-AA69</f>
        <v>-982</v>
      </c>
      <c r="AC69">
        <f>-1964-AB69-AA69</f>
        <v>7</v>
      </c>
      <c r="AD69">
        <f>-2266-AC69-AB69-AA69</f>
        <v>-302</v>
      </c>
    </row>
    <row r="70" spans="2:36" x14ac:dyDescent="0.25">
      <c r="B70" s="2" t="s">
        <v>131</v>
      </c>
      <c r="W70" s="2">
        <f>4275-1807+2320-4099-6075+131+3758</f>
        <v>-1497</v>
      </c>
      <c r="X70" s="2">
        <f>9596-2548+14785-4092-20764+1757-W70</f>
        <v>231</v>
      </c>
      <c r="Y70" s="2">
        <f>7609-2570+13111-4863-16790+2986-X70-W70</f>
        <v>749</v>
      </c>
      <c r="Z70" s="2">
        <f>-1668+1271-1618-5684-1889+3031-Y70-X70-W70</f>
        <v>-6040</v>
      </c>
      <c r="AA70">
        <f>6555+4569-137-1457-4542-3865</f>
        <v>1123</v>
      </c>
      <c r="AB70">
        <f>7727+12164+53-4438-16710-3437-AA70</f>
        <v>-5764</v>
      </c>
      <c r="AC70">
        <f>6697+11100+41-5626-15171-AB70-AA70</f>
        <v>1682</v>
      </c>
      <c r="AD70">
        <f>-3788-1356-1046-11731+6020+15552-AC70-AB70-AA70</f>
        <v>6610</v>
      </c>
    </row>
    <row r="71" spans="2:36" x14ac:dyDescent="0.25">
      <c r="B71" t="s">
        <v>127</v>
      </c>
      <c r="W71" s="2">
        <f t="shared" ref="W71:AD71" si="244">SUM(W66:W70)</f>
        <v>34005</v>
      </c>
      <c r="X71" s="2">
        <f t="shared" si="244"/>
        <v>28560</v>
      </c>
      <c r="Y71" s="2">
        <f t="shared" si="244"/>
        <v>26380</v>
      </c>
      <c r="Z71" s="2">
        <f t="shared" si="244"/>
        <v>21618</v>
      </c>
      <c r="AA71" s="2">
        <f t="shared" si="244"/>
        <v>39895</v>
      </c>
      <c r="AB71" s="2">
        <f t="shared" si="244"/>
        <v>22690</v>
      </c>
      <c r="AC71" s="2">
        <f t="shared" si="244"/>
        <v>28856</v>
      </c>
      <c r="AD71" s="2">
        <f t="shared" si="244"/>
        <v>26813</v>
      </c>
      <c r="AE71" s="2"/>
      <c r="AF71" s="2"/>
      <c r="AG71" s="2"/>
      <c r="AH71" s="2"/>
      <c r="AI71" s="2"/>
      <c r="AJ71" s="2"/>
    </row>
    <row r="73" spans="2:36" x14ac:dyDescent="0.25">
      <c r="B73" s="2" t="s">
        <v>132</v>
      </c>
      <c r="W73" s="2">
        <f>-5153+7127+509</f>
        <v>2483</v>
      </c>
      <c r="X73" s="2">
        <f>-11197+17124+1897-W73</f>
        <v>5341</v>
      </c>
      <c r="Y73" s="2">
        <f>-20956+27857+3959-X73-W73</f>
        <v>3036</v>
      </c>
      <c r="Z73" s="2">
        <f>39686-29513+6828-Y73-X73-W73</f>
        <v>6141</v>
      </c>
      <c r="AA73">
        <f>-9770+13046+1337</f>
        <v>4613</v>
      </c>
      <c r="AB73">
        <f>-25042+27462+4314-AA73</f>
        <v>2121</v>
      </c>
      <c r="AC73">
        <f>-38074+39838+7382-AB73-AA73</f>
        <v>2412</v>
      </c>
      <c r="AD73">
        <f>-48656+51211+11135-AC73-AB73-AA73</f>
        <v>4544</v>
      </c>
    </row>
    <row r="74" spans="2:36" x14ac:dyDescent="0.25">
      <c r="B74" s="2" t="s">
        <v>133</v>
      </c>
      <c r="W74" s="2">
        <v>-3787</v>
      </c>
      <c r="X74" s="2">
        <f>-6703-W74</f>
        <v>-2916</v>
      </c>
      <c r="Y74" s="2">
        <f>-8796-X74-W74</f>
        <v>-2093</v>
      </c>
      <c r="Z74" s="2">
        <f>-10959-Y74-X74-W74</f>
        <v>-2163</v>
      </c>
      <c r="AA74">
        <v>-2392</v>
      </c>
      <c r="AB74">
        <f>-4388-AA74</f>
        <v>-1996</v>
      </c>
      <c r="AC74">
        <f>-6539-AB74-AA74</f>
        <v>-2151</v>
      </c>
      <c r="AD74">
        <f>-9447-AC74-AB74-AA74</f>
        <v>-2908</v>
      </c>
    </row>
    <row r="75" spans="2:36" x14ac:dyDescent="0.25">
      <c r="B75" s="2" t="s">
        <v>130</v>
      </c>
      <c r="W75" s="2">
        <v>-141</v>
      </c>
      <c r="X75" s="2">
        <f>-247-W75</f>
        <v>-106</v>
      </c>
      <c r="Y75" s="2">
        <f>-753-X75-W75</f>
        <v>-506</v>
      </c>
      <c r="Z75" s="2">
        <f>-1337-X75-W75-Y75</f>
        <v>-584</v>
      </c>
      <c r="AA75">
        <v>-284</v>
      </c>
      <c r="AB75">
        <f>-729-AA75</f>
        <v>-445</v>
      </c>
      <c r="AC75">
        <f>-1117-AB75-AA75</f>
        <v>-388</v>
      </c>
      <c r="AD75">
        <f>-1308-AC75-AB75-AA75</f>
        <v>-191</v>
      </c>
    </row>
    <row r="76" spans="2:36" x14ac:dyDescent="0.25">
      <c r="B76" s="2" t="s">
        <v>134</v>
      </c>
      <c r="W76" s="2">
        <f t="shared" ref="W76:AD76" si="245">SUM(W73:W75)</f>
        <v>-1445</v>
      </c>
      <c r="X76" s="2">
        <f t="shared" si="245"/>
        <v>2319</v>
      </c>
      <c r="Y76" s="2">
        <f t="shared" si="245"/>
        <v>437</v>
      </c>
      <c r="Z76" s="2">
        <f t="shared" si="245"/>
        <v>3394</v>
      </c>
      <c r="AA76" s="2">
        <f t="shared" si="245"/>
        <v>1937</v>
      </c>
      <c r="AB76" s="2">
        <f t="shared" si="245"/>
        <v>-320</v>
      </c>
      <c r="AC76" s="2">
        <f t="shared" si="245"/>
        <v>-127</v>
      </c>
      <c r="AD76" s="2">
        <f t="shared" si="245"/>
        <v>1445</v>
      </c>
      <c r="AE76" s="2"/>
      <c r="AF76" s="2"/>
      <c r="AG76" s="2"/>
      <c r="AH76" s="2"/>
      <c r="AI76" s="2"/>
      <c r="AJ76" s="2"/>
    </row>
    <row r="78" spans="2:36" x14ac:dyDescent="0.25">
      <c r="B78" s="2" t="s">
        <v>135</v>
      </c>
      <c r="W78" s="2">
        <v>-2316</v>
      </c>
      <c r="X78" s="2">
        <f>-2734-W78</f>
        <v>-418</v>
      </c>
      <c r="Y78" s="2">
        <f>-5119-X78-W78</f>
        <v>-2385</v>
      </c>
      <c r="Z78" s="2">
        <f>-5431-Y78-X78-W78</f>
        <v>-312</v>
      </c>
      <c r="AA78">
        <v>-2591</v>
      </c>
      <c r="AB78">
        <f>-2875-AA78</f>
        <v>-284</v>
      </c>
      <c r="AC78">
        <f>-5163-AB78-AA78</f>
        <v>-2288</v>
      </c>
      <c r="AD78">
        <f>-5441-AC78-AB78-AA78</f>
        <v>-278</v>
      </c>
    </row>
    <row r="79" spans="2:36" x14ac:dyDescent="0.25">
      <c r="B79" s="2" t="s">
        <v>136</v>
      </c>
      <c r="W79" s="2">
        <v>-3768</v>
      </c>
      <c r="X79" s="2">
        <f>-7418-W79</f>
        <v>-3650</v>
      </c>
      <c r="Y79" s="2">
        <f>-11267-X79-W79</f>
        <v>-3849</v>
      </c>
      <c r="Z79" s="2">
        <f>-15025-Y79-X79-W79</f>
        <v>-3758</v>
      </c>
      <c r="AA79">
        <v>-3825</v>
      </c>
      <c r="AB79">
        <f>-7535-AA79</f>
        <v>-3710</v>
      </c>
      <c r="AC79">
        <f>-11430-AB79-AA79</f>
        <v>-3895</v>
      </c>
      <c r="AD79">
        <f>-15234-AC79-AA79-AB79</f>
        <v>-3804</v>
      </c>
    </row>
    <row r="80" spans="2:36" x14ac:dyDescent="0.25">
      <c r="B80" s="2" t="s">
        <v>137</v>
      </c>
      <c r="W80" s="2">
        <v>-19475</v>
      </c>
      <c r="X80" s="2">
        <f>-39069-W80</f>
        <v>-19594</v>
      </c>
      <c r="Y80" s="2">
        <f>-56547-X80-W80</f>
        <v>-17478</v>
      </c>
      <c r="Z80" s="2">
        <f>-77550-Y80-X80-W80</f>
        <v>-21003</v>
      </c>
      <c r="AA80">
        <v>-20139</v>
      </c>
      <c r="AB80">
        <f>-43344-AA80</f>
        <v>-23205</v>
      </c>
      <c r="AC80">
        <f>-69866-AB80-AA80</f>
        <v>-26522</v>
      </c>
      <c r="AD80">
        <f>-94949-AC80-AB80-AA80</f>
        <v>-25083</v>
      </c>
    </row>
    <row r="81" spans="2:36" x14ac:dyDescent="0.25">
      <c r="B81" s="2" t="s">
        <v>4</v>
      </c>
      <c r="W81" s="2">
        <f>-1401-8214</f>
        <v>-9615</v>
      </c>
      <c r="X81" s="2">
        <f>-3651-7960-W81</f>
        <v>-1996</v>
      </c>
      <c r="Y81" s="2">
        <f>5228-11151-5971-X81-W81</f>
        <v>-283</v>
      </c>
      <c r="Z81" s="2">
        <f>5228-11151-3978-Y81-X81-W81</f>
        <v>1993</v>
      </c>
      <c r="AA81">
        <f>-3984</f>
        <v>-3984</v>
      </c>
      <c r="AB81">
        <f>-3150-AA81-3982</f>
        <v>-3148</v>
      </c>
      <c r="AC81">
        <f>-7400-2985-AB81-AA81</f>
        <v>-3253</v>
      </c>
      <c r="AD81">
        <f>-9958+3960-AC81-AB81-AA81</f>
        <v>4387</v>
      </c>
    </row>
    <row r="82" spans="2:36" x14ac:dyDescent="0.25">
      <c r="B82" s="2" t="s">
        <v>130</v>
      </c>
      <c r="W82" s="2">
        <v>-389</v>
      </c>
      <c r="X82" s="2">
        <f>-455-W82</f>
        <v>-66</v>
      </c>
      <c r="Y82" s="2">
        <f>-508-X82-W82</f>
        <v>-53</v>
      </c>
      <c r="Z82">
        <v>-581</v>
      </c>
      <c r="AA82">
        <v>-46</v>
      </c>
      <c r="AB82">
        <f>-132-AA82</f>
        <v>-86</v>
      </c>
      <c r="AC82">
        <f>-191-AB82-AA82</f>
        <v>-59</v>
      </c>
      <c r="AD82">
        <f>-361-AC82-AA82-AB82</f>
        <v>-170</v>
      </c>
    </row>
    <row r="83" spans="2:36" x14ac:dyDescent="0.25">
      <c r="B83" s="2" t="s">
        <v>138</v>
      </c>
      <c r="W83" s="2">
        <f t="shared" ref="W83:AD83" si="246">SUM(W78:W82)</f>
        <v>-35563</v>
      </c>
      <c r="X83" s="2">
        <f t="shared" si="246"/>
        <v>-25724</v>
      </c>
      <c r="Y83" s="2">
        <f t="shared" si="246"/>
        <v>-24048</v>
      </c>
      <c r="Z83" s="2">
        <f t="shared" si="246"/>
        <v>-23661</v>
      </c>
      <c r="AA83" s="2">
        <f t="shared" si="246"/>
        <v>-30585</v>
      </c>
      <c r="AB83" s="2">
        <f t="shared" si="246"/>
        <v>-30433</v>
      </c>
      <c r="AC83" s="2">
        <f t="shared" si="246"/>
        <v>-36017</v>
      </c>
      <c r="AD83" s="2">
        <f t="shared" si="246"/>
        <v>-24948</v>
      </c>
      <c r="AE83" s="2"/>
      <c r="AF83" s="2"/>
      <c r="AG83" s="2"/>
      <c r="AH83" s="2"/>
      <c r="AI83" s="2"/>
      <c r="AJ83" s="2"/>
    </row>
    <row r="85" spans="2:36" x14ac:dyDescent="0.25">
      <c r="B85" s="2" t="s">
        <v>139</v>
      </c>
      <c r="W85" s="2">
        <f>W83+W76+W71</f>
        <v>-3003</v>
      </c>
      <c r="X85" s="2">
        <f t="shared" ref="X85:AD85" si="247">X83+X76+X71</f>
        <v>5155</v>
      </c>
      <c r="Y85" s="2">
        <f t="shared" si="247"/>
        <v>2769</v>
      </c>
      <c r="Z85" s="2">
        <f t="shared" si="247"/>
        <v>1351</v>
      </c>
      <c r="AA85" s="2">
        <f t="shared" si="247"/>
        <v>11247</v>
      </c>
      <c r="AB85" s="2">
        <f t="shared" si="247"/>
        <v>-8063</v>
      </c>
      <c r="AC85" s="2">
        <f t="shared" si="247"/>
        <v>-7288</v>
      </c>
      <c r="AD85" s="2">
        <f>AD83+AD76+AD71</f>
        <v>3310</v>
      </c>
      <c r="AE85" s="2"/>
      <c r="AF85" s="2"/>
      <c r="AG85" s="2"/>
      <c r="AH85" s="2"/>
      <c r="AI85" s="2"/>
      <c r="AJ85" s="2"/>
    </row>
  </sheetData>
  <phoneticPr fontId="3" type="noConversion"/>
  <hyperlinks>
    <hyperlink ref="A1" location="Main!A1" display="Main" xr:uid="{8359FE81-84D5-48DA-AAE3-BF56C6A2A8A2}"/>
    <hyperlink ref="AV20" r:id="rId1" display="https://www.sec.gov/Archives/edgar/data/320193/000119312509214859/d10k.htm" xr:uid="{1A2D57EA-F6B6-4F02-8D6C-CB632A8858FC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Sebastian Szewczyk</cp:lastModifiedBy>
  <dcterms:created xsi:type="dcterms:W3CDTF">2022-08-26T02:02:45Z</dcterms:created>
  <dcterms:modified xsi:type="dcterms:W3CDTF">2024-11-11T11:58:39Z</dcterms:modified>
</cp:coreProperties>
</file>