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481" documentId="13_ncr:1_{D9EBFBE7-C41D-4E66-B1AD-C622F4035187}" xr6:coauthVersionLast="47" xr6:coauthVersionMax="47" xr10:uidLastSave="{BCCC9C87-37E1-450B-A7C8-2518C8BDBC16}"/>
  <bookViews>
    <workbookView xWindow="-120" yWindow="-120" windowWidth="386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50" i="2" l="1"/>
  <c r="BY21" i="2"/>
  <c r="BX21" i="2"/>
  <c r="BW21" i="2"/>
  <c r="BV21" i="2"/>
  <c r="BU21" i="2"/>
  <c r="BT21" i="2"/>
  <c r="BS21" i="2"/>
  <c r="BS23" i="2" s="1"/>
  <c r="BS45" i="2" s="1"/>
  <c r="BS22" i="2"/>
  <c r="BT24" i="2"/>
  <c r="BS26" i="2"/>
  <c r="BS25" i="2"/>
  <c r="BS24" i="2"/>
  <c r="BS29" i="2"/>
  <c r="AH16" i="2"/>
  <c r="AH15" i="2"/>
  <c r="AH14" i="2"/>
  <c r="AH13" i="2"/>
  <c r="AH12" i="2"/>
  <c r="AH11" i="2"/>
  <c r="AH9" i="2"/>
  <c r="BL47" i="2"/>
  <c r="BM47" i="2"/>
  <c r="BN47" i="2"/>
  <c r="BO47" i="2"/>
  <c r="BP47" i="2"/>
  <c r="BQ47" i="2"/>
  <c r="BR47" i="2"/>
  <c r="BT16" i="2"/>
  <c r="AF20" i="2"/>
  <c r="AG20" i="2"/>
  <c r="BR12" i="2"/>
  <c r="BR20" i="2" s="1"/>
  <c r="BQ16" i="2"/>
  <c r="BQ20" i="2" s="1"/>
  <c r="BP20" i="2"/>
  <c r="AI26" i="2"/>
  <c r="AH26" i="2"/>
  <c r="AL26" i="2" s="1"/>
  <c r="AK25" i="2"/>
  <c r="AJ25" i="2"/>
  <c r="AI25" i="2"/>
  <c r="AH25" i="2"/>
  <c r="AL25" i="2" s="1"/>
  <c r="AH24" i="2"/>
  <c r="AI24" i="2" s="1"/>
  <c r="AD27" i="2"/>
  <c r="AG85" i="2"/>
  <c r="AG86" i="2" s="1"/>
  <c r="AG81" i="2"/>
  <c r="AG82" i="2" s="1"/>
  <c r="AF81" i="2"/>
  <c r="AG75" i="2"/>
  <c r="AG76" i="2"/>
  <c r="AG96" i="2" s="1"/>
  <c r="AG31" i="2"/>
  <c r="AG66" i="2"/>
  <c r="AG50" i="2"/>
  <c r="AG49" i="2" s="1"/>
  <c r="AG44" i="2"/>
  <c r="AG43" i="2"/>
  <c r="AG42" i="2"/>
  <c r="AG41" i="2"/>
  <c r="AG40" i="2"/>
  <c r="AG39" i="2"/>
  <c r="AG38" i="2"/>
  <c r="AG29" i="2"/>
  <c r="AH29" i="2" s="1"/>
  <c r="AI29" i="2" s="1"/>
  <c r="AJ29" i="2" s="1"/>
  <c r="AK29" i="2" s="1"/>
  <c r="AL29" i="2" s="1"/>
  <c r="AG26" i="2"/>
  <c r="AK26" i="2" s="1"/>
  <c r="AG23" i="2"/>
  <c r="AF66" i="2"/>
  <c r="BS27" i="2" l="1"/>
  <c r="BS28" i="2" s="1"/>
  <c r="BS30" i="2" s="1"/>
  <c r="BS31" i="2" s="1"/>
  <c r="AH20" i="2"/>
  <c r="AG88" i="2"/>
  <c r="AI27" i="2"/>
  <c r="AJ24" i="2"/>
  <c r="AG45" i="2"/>
  <c r="AG27" i="2"/>
  <c r="AG28" i="2" s="1"/>
  <c r="AG30" i="2" s="1"/>
  <c r="AG46" i="2" s="1"/>
  <c r="AG57" i="2"/>
  <c r="AH27" i="2"/>
  <c r="AK20" i="2"/>
  <c r="AF85" i="2"/>
  <c r="AF86" i="2" s="1"/>
  <c r="AF82" i="2"/>
  <c r="AF75" i="2"/>
  <c r="AF76" i="2" s="1"/>
  <c r="AF96" i="2" s="1"/>
  <c r="AF50" i="2"/>
  <c r="AF57" i="2" s="1"/>
  <c r="AF31" i="2"/>
  <c r="AF29" i="2"/>
  <c r="AF26" i="2"/>
  <c r="AJ26" i="2" s="1"/>
  <c r="Q85" i="2"/>
  <c r="Q86" i="2" s="1"/>
  <c r="Q81" i="2"/>
  <c r="Q82" i="2" s="1"/>
  <c r="Q75" i="2"/>
  <c r="Q76" i="2" s="1"/>
  <c r="Q96" i="2" s="1"/>
  <c r="Q66" i="2"/>
  <c r="Q50" i="2"/>
  <c r="Q57" i="2" s="1"/>
  <c r="P85" i="2"/>
  <c r="P86" i="2" s="1"/>
  <c r="P81" i="2"/>
  <c r="P82" i="2" s="1"/>
  <c r="P75" i="2"/>
  <c r="P76" i="2" s="1"/>
  <c r="P96" i="2" s="1"/>
  <c r="P50" i="2"/>
  <c r="P57" i="2" s="1"/>
  <c r="P66" i="2"/>
  <c r="O85" i="2"/>
  <c r="O86" i="2" s="1"/>
  <c r="O81" i="2"/>
  <c r="O82" i="2" s="1"/>
  <c r="O75" i="2"/>
  <c r="O76" i="2" s="1"/>
  <c r="O96" i="2" s="1"/>
  <c r="O50" i="2"/>
  <c r="O57" i="2" s="1"/>
  <c r="O66" i="2"/>
  <c r="AF44" i="2"/>
  <c r="AF43" i="2"/>
  <c r="AF42" i="2"/>
  <c r="AF41" i="2"/>
  <c r="AF40" i="2"/>
  <c r="AF38" i="2"/>
  <c r="AE85" i="2"/>
  <c r="AE86" i="2" s="1"/>
  <c r="AE81" i="2"/>
  <c r="AE82" i="2" s="1"/>
  <c r="AE75" i="2"/>
  <c r="AE76" i="2" s="1"/>
  <c r="AE96" i="2" s="1"/>
  <c r="AD85" i="2"/>
  <c r="AD86" i="2" s="1"/>
  <c r="AD81" i="2"/>
  <c r="AD82" i="2" s="1"/>
  <c r="AD75" i="2"/>
  <c r="AD76" i="2" s="1"/>
  <c r="AD96" i="2" s="1"/>
  <c r="AD29" i="2"/>
  <c r="AD66" i="2"/>
  <c r="AD50" i="2"/>
  <c r="AD57" i="2" s="1"/>
  <c r="AE20" i="2"/>
  <c r="AI20" i="2" s="1"/>
  <c r="AD20" i="2"/>
  <c r="AC20" i="2"/>
  <c r="AB20" i="2"/>
  <c r="AA20" i="2"/>
  <c r="Z20" i="2"/>
  <c r="AB85" i="2"/>
  <c r="AB86" i="2" s="1"/>
  <c r="AB81" i="2"/>
  <c r="AB82" i="2" s="1"/>
  <c r="AC85" i="2"/>
  <c r="AC86" i="2" s="1"/>
  <c r="AC81" i="2"/>
  <c r="AC82" i="2" s="1"/>
  <c r="AC75" i="2"/>
  <c r="AC76" i="2" s="1"/>
  <c r="AC96" i="2" s="1"/>
  <c r="AC29" i="2"/>
  <c r="AC66" i="2"/>
  <c r="AC50" i="2"/>
  <c r="AC57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6" i="2"/>
  <c r="AE50" i="2"/>
  <c r="AE57" i="2" s="1"/>
  <c r="AE31" i="2"/>
  <c r="AE29" i="2"/>
  <c r="AE27" i="2"/>
  <c r="AB75" i="2"/>
  <c r="AB76" i="2" s="1"/>
  <c r="AB96" i="2" s="1"/>
  <c r="AB66" i="2"/>
  <c r="AB50" i="2"/>
  <c r="AB57" i="2" s="1"/>
  <c r="AB39" i="2"/>
  <c r="AB38" i="2"/>
  <c r="AB31" i="2"/>
  <c r="AB29" i="2"/>
  <c r="R85" i="2"/>
  <c r="R86" i="2" s="1"/>
  <c r="R81" i="2"/>
  <c r="R82" i="2" s="1"/>
  <c r="R75" i="2"/>
  <c r="R76" i="2" s="1"/>
  <c r="R96" i="2" s="1"/>
  <c r="R66" i="2"/>
  <c r="R50" i="2"/>
  <c r="R49" i="2" s="1"/>
  <c r="S85" i="2"/>
  <c r="S86" i="2" s="1"/>
  <c r="S81" i="2"/>
  <c r="S82" i="2" s="1"/>
  <c r="S75" i="2"/>
  <c r="S76" i="2" s="1"/>
  <c r="S96" i="2" s="1"/>
  <c r="S66" i="2"/>
  <c r="S50" i="2"/>
  <c r="S57" i="2" s="1"/>
  <c r="T85" i="2"/>
  <c r="T86" i="2" s="1"/>
  <c r="T81" i="2"/>
  <c r="T82" i="2" s="1"/>
  <c r="T75" i="2"/>
  <c r="T76" i="2" s="1"/>
  <c r="T96" i="2" s="1"/>
  <c r="T66" i="2"/>
  <c r="T50" i="2"/>
  <c r="T57" i="2" s="1"/>
  <c r="U85" i="2"/>
  <c r="U86" i="2" s="1"/>
  <c r="U81" i="2"/>
  <c r="U82" i="2" s="1"/>
  <c r="U75" i="2"/>
  <c r="U76" i="2" s="1"/>
  <c r="U96" i="2" s="1"/>
  <c r="U66" i="2"/>
  <c r="U50" i="2"/>
  <c r="U49" i="2" s="1"/>
  <c r="V85" i="2"/>
  <c r="V86" i="2" s="1"/>
  <c r="V81" i="2"/>
  <c r="V82" i="2" s="1"/>
  <c r="V75" i="2"/>
  <c r="V76" i="2" s="1"/>
  <c r="V96" i="2" s="1"/>
  <c r="V66" i="2"/>
  <c r="V50" i="2"/>
  <c r="V49" i="2" s="1"/>
  <c r="Z85" i="2"/>
  <c r="Z86" i="2" s="1"/>
  <c r="Z81" i="2"/>
  <c r="Z82" i="2" s="1"/>
  <c r="Z75" i="2"/>
  <c r="Z76" i="2" s="1"/>
  <c r="Z96" i="2" s="1"/>
  <c r="AA85" i="2"/>
  <c r="AA86" i="2" s="1"/>
  <c r="AA81" i="2"/>
  <c r="AA82" i="2" s="1"/>
  <c r="AA75" i="2"/>
  <c r="AA76" i="2" s="1"/>
  <c r="AA96" i="2" s="1"/>
  <c r="AA66" i="2"/>
  <c r="AA55" i="2"/>
  <c r="AA50" i="2"/>
  <c r="AH23" i="2" l="1"/>
  <c r="BS20" i="2"/>
  <c r="AH28" i="2"/>
  <c r="AH30" i="2" s="1"/>
  <c r="AH31" i="2" s="1"/>
  <c r="AH32" i="2" s="1"/>
  <c r="AH47" i="2" s="1"/>
  <c r="AH36" i="2"/>
  <c r="AL20" i="2"/>
  <c r="BT20" i="2" s="1"/>
  <c r="BU20" i="2" s="1"/>
  <c r="T49" i="2"/>
  <c r="AG97" i="2"/>
  <c r="AG32" i="2"/>
  <c r="AK36" i="2"/>
  <c r="AK23" i="2"/>
  <c r="AF27" i="2"/>
  <c r="AJ27" i="2"/>
  <c r="AC23" i="2"/>
  <c r="AG36" i="2"/>
  <c r="AI36" i="2"/>
  <c r="AI23" i="2"/>
  <c r="AI28" i="2" s="1"/>
  <c r="AI30" i="2" s="1"/>
  <c r="AK24" i="2"/>
  <c r="AF97" i="2"/>
  <c r="Q49" i="2"/>
  <c r="AD49" i="2"/>
  <c r="AF88" i="2"/>
  <c r="AF49" i="2"/>
  <c r="P49" i="2"/>
  <c r="AE36" i="2"/>
  <c r="AA57" i="2"/>
  <c r="AJ20" i="2"/>
  <c r="AF39" i="2"/>
  <c r="S97" i="2"/>
  <c r="AC88" i="2"/>
  <c r="U97" i="2"/>
  <c r="AE88" i="2"/>
  <c r="P88" i="2"/>
  <c r="T97" i="2"/>
  <c r="Q88" i="2"/>
  <c r="R97" i="2"/>
  <c r="AD88" i="2"/>
  <c r="AE23" i="2"/>
  <c r="AE28" i="2" s="1"/>
  <c r="AE30" i="2" s="1"/>
  <c r="AE32" i="2" s="1"/>
  <c r="AE47" i="2" s="1"/>
  <c r="O88" i="2"/>
  <c r="O49" i="2"/>
  <c r="AE97" i="2"/>
  <c r="AB88" i="2"/>
  <c r="AC97" i="2"/>
  <c r="AD97" i="2"/>
  <c r="AC49" i="2"/>
  <c r="AE49" i="2"/>
  <c r="AB49" i="2"/>
  <c r="V97" i="2"/>
  <c r="U57" i="2"/>
  <c r="Z88" i="2"/>
  <c r="S49" i="2"/>
  <c r="U88" i="2"/>
  <c r="AA88" i="2"/>
  <c r="V88" i="2"/>
  <c r="S88" i="2"/>
  <c r="R88" i="2"/>
  <c r="T88" i="2"/>
  <c r="R57" i="2"/>
  <c r="AA49" i="2"/>
  <c r="V57" i="2"/>
  <c r="AA44" i="2"/>
  <c r="AA39" i="2"/>
  <c r="AA38" i="2"/>
  <c r="AA31" i="2"/>
  <c r="AA29" i="2"/>
  <c r="AA23" i="2"/>
  <c r="Z23" i="2"/>
  <c r="Z45" i="2" s="1"/>
  <c r="AV29" i="2"/>
  <c r="AV27" i="2"/>
  <c r="AV23" i="2"/>
  <c r="AW29" i="2"/>
  <c r="AW27" i="2"/>
  <c r="AW23" i="2"/>
  <c r="AX29" i="2"/>
  <c r="AX27" i="2"/>
  <c r="AX23" i="2"/>
  <c r="Z66" i="2"/>
  <c r="Z50" i="2"/>
  <c r="Z49" i="2" s="1"/>
  <c r="Z44" i="2"/>
  <c r="Y44" i="2"/>
  <c r="X44" i="2"/>
  <c r="W44" i="2"/>
  <c r="V44" i="2"/>
  <c r="Z39" i="2"/>
  <c r="Z38" i="2"/>
  <c r="Z29" i="2"/>
  <c r="Y20" i="2"/>
  <c r="Y23" i="2" s="1"/>
  <c r="AS36" i="2"/>
  <c r="AT103" i="2"/>
  <c r="AU36" i="2"/>
  <c r="AT36" i="2"/>
  <c r="AY36" i="2"/>
  <c r="AX36" i="2"/>
  <c r="AW36" i="2"/>
  <c r="AV36" i="2"/>
  <c r="BB36" i="2"/>
  <c r="BA36" i="2"/>
  <c r="AZ36" i="2"/>
  <c r="BG36" i="2"/>
  <c r="BF36" i="2"/>
  <c r="BE36" i="2"/>
  <c r="BD36" i="2"/>
  <c r="BC36" i="2"/>
  <c r="BQ14" i="2"/>
  <c r="BQ13" i="2"/>
  <c r="BQ12" i="2"/>
  <c r="Y85" i="2"/>
  <c r="Y86" i="2" s="1"/>
  <c r="Y81" i="2"/>
  <c r="Y82" i="2" s="1"/>
  <c r="Y75" i="2"/>
  <c r="Y76" i="2" s="1"/>
  <c r="Y96" i="2" s="1"/>
  <c r="AB97" i="2" s="1"/>
  <c r="Y66" i="2"/>
  <c r="Y50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5" i="2"/>
  <c r="X86" i="2" s="1"/>
  <c r="X81" i="2"/>
  <c r="X82" i="2" s="1"/>
  <c r="X75" i="2"/>
  <c r="X76" i="2" s="1"/>
  <c r="X96" i="2" s="1"/>
  <c r="W85" i="2"/>
  <c r="W86" i="2" s="1"/>
  <c r="W81" i="2"/>
  <c r="W82" i="2" s="1"/>
  <c r="W75" i="2"/>
  <c r="W76" i="2" s="1"/>
  <c r="X66" i="2"/>
  <c r="X50" i="2"/>
  <c r="X57" i="2" s="1"/>
  <c r="BU36" i="2" l="1"/>
  <c r="BV20" i="2"/>
  <c r="BW20" i="2" s="1"/>
  <c r="BX20" i="2" s="1"/>
  <c r="BY20" i="2" s="1"/>
  <c r="AL36" i="2"/>
  <c r="AL23" i="2"/>
  <c r="AG68" i="2"/>
  <c r="AG47" i="2"/>
  <c r="AI31" i="2"/>
  <c r="AI32" i="2" s="1"/>
  <c r="AI47" i="2" s="1"/>
  <c r="AE46" i="2"/>
  <c r="AK27" i="2"/>
  <c r="AK28" i="2" s="1"/>
  <c r="AK30" i="2" s="1"/>
  <c r="AL24" i="2"/>
  <c r="AL27" i="2" s="1"/>
  <c r="AL28" i="2" s="1"/>
  <c r="AL30" i="2" s="1"/>
  <c r="AJ36" i="2"/>
  <c r="AJ23" i="2"/>
  <c r="AJ28" i="2" s="1"/>
  <c r="AJ30" i="2" s="1"/>
  <c r="AG33" i="2"/>
  <c r="AF23" i="2"/>
  <c r="AF28" i="2" s="1"/>
  <c r="AF30" i="2" s="1"/>
  <c r="AF46" i="2" s="1"/>
  <c r="AF36" i="2"/>
  <c r="AE33" i="2"/>
  <c r="AE68" i="2"/>
  <c r="Y28" i="2"/>
  <c r="W96" i="2"/>
  <c r="Z97" i="2" s="1"/>
  <c r="AA97" i="2"/>
  <c r="AE45" i="2"/>
  <c r="AX28" i="2"/>
  <c r="AX30" i="2" s="1"/>
  <c r="AX32" i="2" s="1"/>
  <c r="AX33" i="2" s="1"/>
  <c r="AA45" i="2"/>
  <c r="Y57" i="2"/>
  <c r="Y49" i="2"/>
  <c r="Z57" i="2"/>
  <c r="AV28" i="2"/>
  <c r="AV30" i="2" s="1"/>
  <c r="AV32" i="2" s="1"/>
  <c r="AV33" i="2" s="1"/>
  <c r="AW28" i="2"/>
  <c r="AW30" i="2" s="1"/>
  <c r="AW32" i="2" s="1"/>
  <c r="AW33" i="2" s="1"/>
  <c r="BQ11" i="2"/>
  <c r="X49" i="2"/>
  <c r="Y88" i="2"/>
  <c r="BQ15" i="2"/>
  <c r="W88" i="2"/>
  <c r="Y45" i="2"/>
  <c r="X88" i="2"/>
  <c r="BQ34" i="2"/>
  <c r="X29" i="2"/>
  <c r="BR29" i="2"/>
  <c r="W66" i="2"/>
  <c r="W50" i="2"/>
  <c r="W49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K31" i="2"/>
  <c r="BK29" i="2"/>
  <c r="BL44" i="2"/>
  <c r="BK44" i="2"/>
  <c r="BJ44" i="2"/>
  <c r="BJ31" i="2"/>
  <c r="BJ29" i="2"/>
  <c r="BI31" i="2"/>
  <c r="BI29" i="2"/>
  <c r="BK27" i="2"/>
  <c r="BJ27" i="2"/>
  <c r="BI27" i="2"/>
  <c r="BK20" i="2"/>
  <c r="BK23" i="2" s="1"/>
  <c r="BK45" i="2" s="1"/>
  <c r="BJ20" i="2"/>
  <c r="BJ23" i="2" s="1"/>
  <c r="BJ45" i="2" s="1"/>
  <c r="BI20" i="2"/>
  <c r="BI23" i="2" s="1"/>
  <c r="BI45" i="2" s="1"/>
  <c r="BH36" i="2"/>
  <c r="BM15" i="2"/>
  <c r="BM14" i="2"/>
  <c r="BM13" i="2"/>
  <c r="BM12" i="2"/>
  <c r="BM11" i="2"/>
  <c r="BM44" i="2"/>
  <c r="BL31" i="2"/>
  <c r="BL29" i="2"/>
  <c r="BL27" i="2"/>
  <c r="BL20" i="2"/>
  <c r="BL23" i="2" s="1"/>
  <c r="BM31" i="2"/>
  <c r="BM29" i="2"/>
  <c r="BN34" i="2"/>
  <c r="BN26" i="2"/>
  <c r="BN25" i="2"/>
  <c r="BN24" i="2"/>
  <c r="BN22" i="2"/>
  <c r="BN21" i="2"/>
  <c r="BM27" i="2"/>
  <c r="BM20" i="2"/>
  <c r="BM23" i="2" s="1"/>
  <c r="BM45" i="2" s="1"/>
  <c r="BN19" i="2"/>
  <c r="BN18" i="2"/>
  <c r="BN16" i="2"/>
  <c r="BN15" i="2"/>
  <c r="BN14" i="2"/>
  <c r="BN13" i="2"/>
  <c r="BN12" i="2"/>
  <c r="BN11" i="2"/>
  <c r="BN9" i="2"/>
  <c r="BN44" i="2" s="1"/>
  <c r="BN6" i="2"/>
  <c r="BN3" i="2"/>
  <c r="BO34" i="2"/>
  <c r="BO26" i="2"/>
  <c r="BO25" i="2"/>
  <c r="BO24" i="2"/>
  <c r="BO22" i="2"/>
  <c r="BO21" i="2"/>
  <c r="BO6" i="2"/>
  <c r="BO3" i="2"/>
  <c r="BO9" i="2"/>
  <c r="BO16" i="2"/>
  <c r="BO15" i="2"/>
  <c r="BO14" i="2"/>
  <c r="BO13" i="2"/>
  <c r="BO12" i="2"/>
  <c r="BO11" i="2"/>
  <c r="BO19" i="2"/>
  <c r="BO18" i="2"/>
  <c r="BP34" i="2"/>
  <c r="BP26" i="2"/>
  <c r="BP25" i="2"/>
  <c r="BP24" i="2"/>
  <c r="BP22" i="2"/>
  <c r="BP21" i="2"/>
  <c r="BP19" i="2"/>
  <c r="BP18" i="2"/>
  <c r="BP16" i="2"/>
  <c r="BP15" i="2"/>
  <c r="BP14" i="2"/>
  <c r="BP13" i="2"/>
  <c r="BP12" i="2"/>
  <c r="BP11" i="2"/>
  <c r="BP9" i="2"/>
  <c r="BP6" i="2"/>
  <c r="BP3" i="2"/>
  <c r="AV2" i="2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AL31" i="2" l="1"/>
  <c r="AL32" i="2" s="1"/>
  <c r="AL47" i="2" s="1"/>
  <c r="AK31" i="2"/>
  <c r="AK32" i="2" s="1"/>
  <c r="AK47" i="2" s="1"/>
  <c r="Y97" i="2"/>
  <c r="AF45" i="2"/>
  <c r="AJ31" i="2"/>
  <c r="AJ32" i="2" s="1"/>
  <c r="AJ47" i="2" s="1"/>
  <c r="W97" i="2"/>
  <c r="X97" i="2"/>
  <c r="AF32" i="2"/>
  <c r="AA36" i="2"/>
  <c r="U23" i="2"/>
  <c r="U45" i="2" s="1"/>
  <c r="Y36" i="2"/>
  <c r="BQ9" i="2"/>
  <c r="BR9" i="2"/>
  <c r="BS9" i="2" s="1"/>
  <c r="BS44" i="2" s="1"/>
  <c r="BQ29" i="2"/>
  <c r="BR24" i="2"/>
  <c r="BU24" i="2" s="1"/>
  <c r="BV24" i="2" s="1"/>
  <c r="BI28" i="2"/>
  <c r="BI30" i="2" s="1"/>
  <c r="BI32" i="2" s="1"/>
  <c r="BI33" i="2" s="1"/>
  <c r="BR14" i="2"/>
  <c r="BS14" i="2" s="1"/>
  <c r="BR13" i="2"/>
  <c r="BS13" i="2" s="1"/>
  <c r="BT13" i="2" s="1"/>
  <c r="BJ28" i="2"/>
  <c r="BJ30" i="2" s="1"/>
  <c r="BJ32" i="2" s="1"/>
  <c r="BJ33" i="2" s="1"/>
  <c r="X36" i="2"/>
  <c r="AA27" i="2"/>
  <c r="AA28" i="2" s="1"/>
  <c r="AB27" i="2"/>
  <c r="BR25" i="2"/>
  <c r="BT25" i="2" s="1"/>
  <c r="BU25" i="2" s="1"/>
  <c r="BV25" i="2" s="1"/>
  <c r="BW25" i="2" s="1"/>
  <c r="BX25" i="2" s="1"/>
  <c r="BY25" i="2" s="1"/>
  <c r="BQ21" i="2"/>
  <c r="BR16" i="2"/>
  <c r="BS16" i="2" s="1"/>
  <c r="BU16" i="2" s="1"/>
  <c r="BV16" i="2" s="1"/>
  <c r="BW16" i="2" s="1"/>
  <c r="BX16" i="2" s="1"/>
  <c r="BY16" i="2" s="1"/>
  <c r="BQ26" i="2"/>
  <c r="Y42" i="2"/>
  <c r="Z42" i="2"/>
  <c r="BQ40" i="2"/>
  <c r="BQ41" i="2"/>
  <c r="BQ22" i="2"/>
  <c r="Y43" i="2"/>
  <c r="Y41" i="2"/>
  <c r="Z41" i="2"/>
  <c r="BQ42" i="2"/>
  <c r="Y40" i="2"/>
  <c r="AD23" i="2"/>
  <c r="AD28" i="2" s="1"/>
  <c r="BQ43" i="2"/>
  <c r="BS12" i="2"/>
  <c r="BT12" i="2" s="1"/>
  <c r="BU12" i="2" s="1"/>
  <c r="BV12" i="2" s="1"/>
  <c r="BW12" i="2" s="1"/>
  <c r="BX12" i="2" s="1"/>
  <c r="BY12" i="2" s="1"/>
  <c r="W57" i="2"/>
  <c r="BQ24" i="2"/>
  <c r="Z27" i="2"/>
  <c r="Z43" i="2"/>
  <c r="BK28" i="2"/>
  <c r="BK30" i="2" s="1"/>
  <c r="BK32" i="2" s="1"/>
  <c r="BK33" i="2" s="1"/>
  <c r="BR15" i="2"/>
  <c r="BR43" i="2" s="1"/>
  <c r="Z40" i="2"/>
  <c r="BR26" i="2"/>
  <c r="BT26" i="2" s="1"/>
  <c r="BU26" i="2" s="1"/>
  <c r="BV26" i="2" s="1"/>
  <c r="BW26" i="2" s="1"/>
  <c r="BX26" i="2" s="1"/>
  <c r="BY26" i="2" s="1"/>
  <c r="BQ25" i="2"/>
  <c r="AB36" i="2"/>
  <c r="AB40" i="2"/>
  <c r="BR11" i="2"/>
  <c r="BR34" i="2"/>
  <c r="BV34" i="2" s="1"/>
  <c r="BW34" i="2" s="1"/>
  <c r="BX34" i="2" s="1"/>
  <c r="BY34" i="2" s="1"/>
  <c r="X23" i="2"/>
  <c r="X45" i="2" s="1"/>
  <c r="BO43" i="2"/>
  <c r="BN40" i="2"/>
  <c r="BO41" i="2"/>
  <c r="BN42" i="2"/>
  <c r="BJ36" i="2"/>
  <c r="BP43" i="2"/>
  <c r="BP42" i="2"/>
  <c r="BP23" i="2"/>
  <c r="BP45" i="2" s="1"/>
  <c r="BK36" i="2"/>
  <c r="BO42" i="2"/>
  <c r="BN43" i="2"/>
  <c r="BO20" i="2"/>
  <c r="BO23" i="2" s="1"/>
  <c r="BO45" i="2" s="1"/>
  <c r="BN41" i="2"/>
  <c r="BP40" i="2"/>
  <c r="BL36" i="2"/>
  <c r="BP41" i="2"/>
  <c r="BI36" i="2"/>
  <c r="BN27" i="2"/>
  <c r="BO40" i="2"/>
  <c r="BO29" i="2"/>
  <c r="BP44" i="2"/>
  <c r="BP27" i="2"/>
  <c r="BO31" i="2"/>
  <c r="BO44" i="2"/>
  <c r="BN20" i="2"/>
  <c r="BN23" i="2" s="1"/>
  <c r="BN45" i="2" s="1"/>
  <c r="BN29" i="2"/>
  <c r="BN31" i="2"/>
  <c r="BP29" i="2"/>
  <c r="BP31" i="2"/>
  <c r="BO27" i="2"/>
  <c r="P36" i="2"/>
  <c r="O36" i="2"/>
  <c r="N36" i="2"/>
  <c r="BM36" i="2"/>
  <c r="BL28" i="2"/>
  <c r="BL30" i="2" s="1"/>
  <c r="BL32" i="2" s="1"/>
  <c r="BL33" i="2" s="1"/>
  <c r="BL45" i="2"/>
  <c r="BM28" i="2"/>
  <c r="BM30" i="2" s="1"/>
  <c r="BM32" i="2" s="1"/>
  <c r="BM33" i="2" s="1"/>
  <c r="L45" i="2"/>
  <c r="L28" i="2"/>
  <c r="L30" i="2" s="1"/>
  <c r="L32" i="2" s="1"/>
  <c r="Q36" i="2"/>
  <c r="J28" i="2"/>
  <c r="J30" i="2" s="1"/>
  <c r="J32" i="2" s="1"/>
  <c r="N28" i="2"/>
  <c r="N30" i="2" s="1"/>
  <c r="N32" i="2" s="1"/>
  <c r="N45" i="2"/>
  <c r="M28" i="2"/>
  <c r="M30" i="2" s="1"/>
  <c r="M32" i="2" s="1"/>
  <c r="R36" i="2"/>
  <c r="K28" i="2"/>
  <c r="K30" i="2" s="1"/>
  <c r="K32" i="2" s="1"/>
  <c r="M45" i="2"/>
  <c r="S36" i="2"/>
  <c r="O28" i="2"/>
  <c r="O30" i="2" s="1"/>
  <c r="O32" i="2" s="1"/>
  <c r="O47" i="2" s="1"/>
  <c r="O45" i="2"/>
  <c r="U36" i="2"/>
  <c r="T36" i="2"/>
  <c r="P28" i="2"/>
  <c r="P30" i="2" s="1"/>
  <c r="P32" i="2" s="1"/>
  <c r="P47" i="2" s="1"/>
  <c r="V36" i="2"/>
  <c r="P45" i="2"/>
  <c r="Q28" i="2"/>
  <c r="Q30" i="2" s="1"/>
  <c r="Q32" i="2" s="1"/>
  <c r="Q47" i="2" s="1"/>
  <c r="R28" i="2"/>
  <c r="R30" i="2" s="1"/>
  <c r="R32" i="2" s="1"/>
  <c r="R47" i="2" s="1"/>
  <c r="W36" i="2"/>
  <c r="W45" i="2"/>
  <c r="W28" i="2"/>
  <c r="W30" i="2" s="1"/>
  <c r="W32" i="2" s="1"/>
  <c r="W47" i="2" s="1"/>
  <c r="S28" i="2"/>
  <c r="S30" i="2" s="1"/>
  <c r="S32" i="2" s="1"/>
  <c r="S47" i="2" s="1"/>
  <c r="S45" i="2"/>
  <c r="T45" i="2"/>
  <c r="T28" i="2"/>
  <c r="V28" i="2"/>
  <c r="AF68" i="2" l="1"/>
  <c r="AF47" i="2"/>
  <c r="N33" i="2"/>
  <c r="N47" i="2"/>
  <c r="J33" i="2"/>
  <c r="J47" i="2"/>
  <c r="L33" i="2"/>
  <c r="L47" i="2"/>
  <c r="K33" i="2"/>
  <c r="K47" i="2"/>
  <c r="M33" i="2"/>
  <c r="M47" i="2"/>
  <c r="Q46" i="2"/>
  <c r="P46" i="2"/>
  <c r="U28" i="2"/>
  <c r="R46" i="2"/>
  <c r="L46" i="2"/>
  <c r="S46" i="2"/>
  <c r="W46" i="2"/>
  <c r="M46" i="2"/>
  <c r="J46" i="2"/>
  <c r="K46" i="2"/>
  <c r="O46" i="2"/>
  <c r="N46" i="2"/>
  <c r="AF33" i="2"/>
  <c r="Q33" i="2"/>
  <c r="Q68" i="2"/>
  <c r="P33" i="2"/>
  <c r="P68" i="2"/>
  <c r="O33" i="2"/>
  <c r="O68" i="2"/>
  <c r="S33" i="2"/>
  <c r="S68" i="2"/>
  <c r="R33" i="2"/>
  <c r="R68" i="2"/>
  <c r="AC27" i="2"/>
  <c r="AC44" i="2"/>
  <c r="BQ44" i="2"/>
  <c r="BS41" i="2"/>
  <c r="BR42" i="2"/>
  <c r="W33" i="2"/>
  <c r="W68" i="2"/>
  <c r="BR21" i="2"/>
  <c r="BR44" i="2"/>
  <c r="BR27" i="2"/>
  <c r="BR22" i="2"/>
  <c r="BQ36" i="2"/>
  <c r="BR41" i="2"/>
  <c r="AC36" i="2"/>
  <c r="Z36" i="2"/>
  <c r="BS15" i="2"/>
  <c r="BS43" i="2" s="1"/>
  <c r="BP28" i="2"/>
  <c r="BP30" i="2" s="1"/>
  <c r="BP32" i="2" s="1"/>
  <c r="BP33" i="2" s="1"/>
  <c r="BQ27" i="2"/>
  <c r="BT9" i="2"/>
  <c r="BU9" i="2" s="1"/>
  <c r="AD36" i="2"/>
  <c r="X28" i="2"/>
  <c r="X30" i="2" s="1"/>
  <c r="X46" i="2" s="1"/>
  <c r="BT14" i="2"/>
  <c r="BS42" i="2"/>
  <c r="BU13" i="2"/>
  <c r="BT41" i="2"/>
  <c r="BS11" i="2"/>
  <c r="BR40" i="2"/>
  <c r="BR36" i="2"/>
  <c r="AB23" i="2"/>
  <c r="BT27" i="2"/>
  <c r="BV27" i="2"/>
  <c r="BW24" i="2"/>
  <c r="BU27" i="2"/>
  <c r="BP36" i="2"/>
  <c r="BN36" i="2"/>
  <c r="BO36" i="2"/>
  <c r="BO28" i="2"/>
  <c r="BO30" i="2" s="1"/>
  <c r="BO32" i="2" s="1"/>
  <c r="BO33" i="2" s="1"/>
  <c r="BN28" i="2"/>
  <c r="BN30" i="2" s="1"/>
  <c r="BN32" i="2" s="1"/>
  <c r="BN33" i="2" s="1"/>
  <c r="V30" i="2"/>
  <c r="U30" i="2"/>
  <c r="T30" i="2"/>
  <c r="V32" i="2" l="1"/>
  <c r="V47" i="2" s="1"/>
  <c r="V46" i="2"/>
  <c r="T32" i="2"/>
  <c r="T47" i="2" s="1"/>
  <c r="T46" i="2"/>
  <c r="U32" i="2"/>
  <c r="U47" i="2" s="1"/>
  <c r="U46" i="2"/>
  <c r="AC45" i="2"/>
  <c r="AC28" i="2"/>
  <c r="AC30" i="2" s="1"/>
  <c r="AC46" i="2" s="1"/>
  <c r="T33" i="2"/>
  <c r="T68" i="2"/>
  <c r="U33" i="2"/>
  <c r="U68" i="2"/>
  <c r="V33" i="2"/>
  <c r="V68" i="2"/>
  <c r="BQ23" i="2"/>
  <c r="BQ45" i="2" s="1"/>
  <c r="BT15" i="2"/>
  <c r="BU15" i="2" s="1"/>
  <c r="Y30" i="2"/>
  <c r="AD45" i="2"/>
  <c r="AD30" i="2"/>
  <c r="AD46" i="2" s="1"/>
  <c r="BT44" i="2"/>
  <c r="Z28" i="2"/>
  <c r="Z30" i="2" s="1"/>
  <c r="AA30" i="2"/>
  <c r="BR23" i="2"/>
  <c r="BR45" i="2" s="1"/>
  <c r="BU14" i="2"/>
  <c r="BT42" i="2"/>
  <c r="BV13" i="2"/>
  <c r="BU41" i="2"/>
  <c r="AB45" i="2"/>
  <c r="AB28" i="2"/>
  <c r="AB30" i="2" s="1"/>
  <c r="AB46" i="2" s="1"/>
  <c r="BT11" i="2"/>
  <c r="BS40" i="2"/>
  <c r="BV9" i="2"/>
  <c r="BU44" i="2"/>
  <c r="X32" i="2"/>
  <c r="X47" i="2" s="1"/>
  <c r="BX24" i="2"/>
  <c r="BW27" i="2"/>
  <c r="Z32" i="2" l="1"/>
  <c r="Z47" i="2" s="1"/>
  <c r="Z46" i="2"/>
  <c r="Y32" i="2"/>
  <c r="Y47" i="2" s="1"/>
  <c r="Y46" i="2"/>
  <c r="AA32" i="2"/>
  <c r="AA47" i="2" s="1"/>
  <c r="AA46" i="2"/>
  <c r="AA33" i="2"/>
  <c r="AA68" i="2"/>
  <c r="Z33" i="2"/>
  <c r="Z68" i="2"/>
  <c r="Y33" i="2"/>
  <c r="Y68" i="2"/>
  <c r="BQ28" i="2"/>
  <c r="BQ30" i="2" s="1"/>
  <c r="AC32" i="2"/>
  <c r="AC47" i="2" s="1"/>
  <c r="BT43" i="2"/>
  <c r="BQ31" i="2"/>
  <c r="X33" i="2"/>
  <c r="X68" i="2"/>
  <c r="BR31" i="2"/>
  <c r="BV15" i="2"/>
  <c r="BU43" i="2"/>
  <c r="AB32" i="2"/>
  <c r="AB47" i="2" s="1"/>
  <c r="BR28" i="2"/>
  <c r="BR30" i="2" s="1"/>
  <c r="BV14" i="2"/>
  <c r="BU42" i="2"/>
  <c r="BW13" i="2"/>
  <c r="BV41" i="2"/>
  <c r="BS36" i="2"/>
  <c r="BU11" i="2"/>
  <c r="BT40" i="2"/>
  <c r="BT22" i="2"/>
  <c r="BW9" i="2"/>
  <c r="BV44" i="2"/>
  <c r="BQ49" i="2"/>
  <c r="BY24" i="2"/>
  <c r="BY27" i="2" s="1"/>
  <c r="BX27" i="2"/>
  <c r="AC33" i="2" l="1"/>
  <c r="AC68" i="2"/>
  <c r="AB33" i="2"/>
  <c r="AB68" i="2"/>
  <c r="BQ32" i="2"/>
  <c r="BQ33" i="2" s="1"/>
  <c r="AD32" i="2"/>
  <c r="AD47" i="2" s="1"/>
  <c r="BR32" i="2"/>
  <c r="BR33" i="2" s="1"/>
  <c r="BW15" i="2"/>
  <c r="BV43" i="2"/>
  <c r="BW14" i="2"/>
  <c r="BV42" i="2"/>
  <c r="BX13" i="2"/>
  <c r="BW41" i="2"/>
  <c r="BT23" i="2"/>
  <c r="BT45" i="2" s="1"/>
  <c r="BT36" i="2"/>
  <c r="BV11" i="2"/>
  <c r="BU40" i="2"/>
  <c r="BU22" i="2"/>
  <c r="BS32" i="2"/>
  <c r="BS47" i="2" s="1"/>
  <c r="BX9" i="2"/>
  <c r="BW44" i="2"/>
  <c r="AD33" i="2" l="1"/>
  <c r="AD68" i="2"/>
  <c r="BR49" i="2"/>
  <c r="BX15" i="2"/>
  <c r="BW43" i="2"/>
  <c r="BX14" i="2"/>
  <c r="BW42" i="2"/>
  <c r="BY13" i="2"/>
  <c r="BY41" i="2" s="1"/>
  <c r="BX41" i="2"/>
  <c r="BU23" i="2"/>
  <c r="BW11" i="2"/>
  <c r="BV40" i="2"/>
  <c r="BV22" i="2"/>
  <c r="BT28" i="2"/>
  <c r="BY9" i="2"/>
  <c r="BX44" i="2"/>
  <c r="BS33" i="2" l="1"/>
  <c r="BY15" i="2"/>
  <c r="BY43" i="2" s="1"/>
  <c r="BX43" i="2"/>
  <c r="BY14" i="2"/>
  <c r="BY42" i="2" s="1"/>
  <c r="BX42" i="2"/>
  <c r="BV36" i="2"/>
  <c r="BV23" i="2"/>
  <c r="BX11" i="2"/>
  <c r="BW40" i="2"/>
  <c r="BW22" i="2"/>
  <c r="BU28" i="2"/>
  <c r="BU45" i="2"/>
  <c r="BY44" i="2"/>
  <c r="BS49" i="2" l="1"/>
  <c r="BT29" i="2" s="1"/>
  <c r="BT30" i="2" s="1"/>
  <c r="BW36" i="2"/>
  <c r="BW23" i="2"/>
  <c r="BY11" i="2"/>
  <c r="BX40" i="2"/>
  <c r="BX22" i="2"/>
  <c r="BV28" i="2"/>
  <c r="BV45" i="2"/>
  <c r="BT31" i="2" l="1"/>
  <c r="BT32" i="2" s="1"/>
  <c r="BX23" i="2"/>
  <c r="BX36" i="2"/>
  <c r="BY40" i="2"/>
  <c r="BY22" i="2"/>
  <c r="BW28" i="2"/>
  <c r="BW45" i="2"/>
  <c r="BT33" i="2" l="1"/>
  <c r="BT47" i="2"/>
  <c r="BT49" i="2"/>
  <c r="BU29" i="2" s="1"/>
  <c r="BU30" i="2" s="1"/>
  <c r="BU31" i="2" s="1"/>
  <c r="BU32" i="2" s="1"/>
  <c r="BY23" i="2"/>
  <c r="BY36" i="2"/>
  <c r="BX45" i="2"/>
  <c r="BX28" i="2"/>
  <c r="BU33" i="2" l="1"/>
  <c r="BU47" i="2"/>
  <c r="BU49" i="2"/>
  <c r="BV29" i="2" s="1"/>
  <c r="BV30" i="2" s="1"/>
  <c r="BV31" i="2" s="1"/>
  <c r="BY45" i="2"/>
  <c r="BY28" i="2"/>
  <c r="BV32" i="2" l="1"/>
  <c r="BV33" i="2" l="1"/>
  <c r="BV47" i="2"/>
  <c r="BV49" i="2"/>
  <c r="BW29" i="2" s="1"/>
  <c r="BW30" i="2" s="1"/>
  <c r="BW31" i="2" s="1"/>
  <c r="BW32" i="2" l="1"/>
  <c r="BW33" i="2" l="1"/>
  <c r="BW47" i="2"/>
  <c r="BW49" i="2"/>
  <c r="BX29" i="2" s="1"/>
  <c r="BX30" i="2" s="1"/>
  <c r="BX31" i="2" s="1"/>
  <c r="BX32" i="2" l="1"/>
  <c r="BX33" i="2" l="1"/>
  <c r="BX49" i="2"/>
  <c r="BX47" i="2"/>
  <c r="BY29" i="2" l="1"/>
  <c r="BY30" i="2" s="1"/>
  <c r="BY31" i="2" s="1"/>
  <c r="BY32" i="2" l="1"/>
  <c r="BY33" i="2" l="1"/>
  <c r="BY47" i="2"/>
  <c r="BZ32" i="2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CB51" i="2" s="1"/>
  <c r="BY49" i="2"/>
</calcChain>
</file>

<file path=xl/sharedStrings.xml><?xml version="1.0" encoding="utf-8"?>
<sst xmlns="http://schemas.openxmlformats.org/spreadsheetml/2006/main" count="169" uniqueCount="153">
  <si>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</si>
  <si>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</si>
  <si>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</si>
  <si>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</si>
  <si>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</si>
  <si>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</si>
  <si>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</si>
  <si>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</si>
  <si>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</si>
  <si>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</si>
  <si>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</si>
  <si>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</si>
  <si>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</si>
  <si>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</si>
  <si>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</si>
  <si>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</si>
  <si>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</si>
  <si>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</si>
  <si>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</si>
  <si>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</si>
  <si>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</si>
  <si>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</si>
  <si>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</si>
  <si>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</si>
  <si>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</si>
  <si>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</si>
  <si>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</si>
  <si>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</si>
  <si>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</si>
  <si>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</si>
  <si>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</si>
  <si>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</si>
  <si>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</si>
  <si>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</si>
  <si>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</si>
  <si>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</si>
  <si>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</si>
  <si>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</si>
  <si>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</si>
  <si>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</si>
  <si>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</si>
  <si>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</si>
  <si>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</si>
  <si>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</si>
  <si>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</si>
  <si>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</si>
  <si>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</si>
  <si>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</si>
  <si>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</si>
  <si>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</si>
  <si>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</si>
  <si>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</si>
  <si>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</si>
  <si>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</si>
  <si>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</si>
  <si>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</si>
  <si>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</si>
  <si>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</si>
  <si>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</si>
  <si>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</si>
  <si>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</si>
  <si>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</si>
  <si>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</si>
  <si>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</si>
  <si>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</si>
  <si>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</si>
  <si>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</si>
  <si>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</si>
  <si>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</si>
  <si>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</si>
  <si>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</si>
  <si>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</si>
  <si>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</si>
  <si>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</si>
  <si>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</si>
  <si>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</si>
  <si>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</si>
  <si>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</si>
  <si>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</si>
  <si>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</si>
  <si>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</si>
  <si>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</si>
  <si>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</si>
  <si>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</si>
  <si>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</si>
  <si>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</si>
  <si>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</si>
  <si>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</si>
  <si>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</si>
  <si>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</si>
  <si>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</si>
  <si>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</si>
  <si>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</si>
  <si>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</si>
  <si>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</si>
  <si>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</si>
  <si>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</si>
  <si>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</si>
  <si>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</si>
  <si>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</si>
  <si>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</si>
  <si>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</si>
  <si>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</si>
  <si>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</si>
  <si>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</si>
  <si>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</si>
  <si>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</si>
  <si>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</si>
  <si>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</si>
  <si>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</si>
  <si>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</si>
  <si>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</si>
  <si>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</si>
  <si>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</si>
  <si>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</si>
  <si>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</si>
  <si>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</si>
  <si>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</si>
  <si>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</si>
  <si>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</si>
  <si>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</si>
  <si>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</si>
  <si>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</si>
  <si>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</si>
  <si>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</si>
  <si>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</si>
  <si>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</si>
  <si>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</si>
  <si>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</si>
  <si>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</si>
  <si>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</si>
  <si>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</si>
  <si>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</si>
  <si>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</si>
  <si>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</si>
  <si>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</si>
  <si>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</si>
  <si>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</si>
  <si>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</si>
  <si>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</si>
  <si>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</si>
  <si>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</si>
  <si>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</si>
  <si>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</si>
  <si>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</si>
  <si>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</si>
  <si>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</si>
  <si>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</si>
  <si>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</si>
  <si>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</si>
  <si>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</si>
  <si>
    <t>Tax Rate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</si>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</sst>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223</xdr:colOff>
      <xdr:row>6</xdr:row>
      <xdr:rowOff>166355</xdr:rowOff>
    </xdr:from>
    <xdr:to>
      <xdr:col>33</xdr:col>
      <xdr:colOff>223</xdr:colOff>
      <xdr:row>116</xdr:row>
      <xdr:rowOff>10319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1024496" y="1205446"/>
          <a:ext cx="0" cy="18893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7967</xdr:colOff>
      <xdr:row>0</xdr:row>
      <xdr:rowOff>0</xdr:rowOff>
    </xdr:from>
    <xdr:to>
      <xdr:col>70</xdr:col>
      <xdr:colOff>7967</xdr:colOff>
      <xdr:row>91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31942694" y="0"/>
          <a:ext cx="0" cy="15816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>
      <selection activeCell="K7" sqref="K7"/>
    </sheetView>
  </sheetViews>
  <sheetFormatPr defaultRowHeight="13.2" x14ac:dyDescent="0.25"/>
  <cols>
    <col min="3" max="3" width="11.77734375" customWidth="1"/>
  </cols>
  <sheetData>
    <row r="2" spans="2:12" x14ac:dyDescent="0.25">
      <c r="J2" t="s">
        <v>1</v>
      </c>
      <c r="K2" s="1">
        <v>207.86</v>
      </c>
      <c r="L2" s="3" t="s">
        <v>110</v>
      </c>
    </row>
    <row r="3" spans="2:12" x14ac:dyDescent="0.25">
      <c r="J3" t="s">
        <v>2</v>
      </c>
      <c r="K3" s="2">
        <v>10735</v>
      </c>
      <c r="L3" s="3" t="s">
        <v>110</v>
      </c>
    </row>
    <row r="4" spans="2:12" x14ac:dyDescent="0.25">
      <c r="B4" t="s">
        <v>103</v>
      </c>
      <c r="J4" t="s">
        <v>3</v>
      </c>
      <c r="K4" s="2">
        <f>K3*K2</f>
        <v>2231377.1</v>
      </c>
      <c r="L4" s="3" t="s">
        <v>110</v>
      </c>
    </row>
    <row r="5" spans="2:12" x14ac:dyDescent="0.25">
      <c r="B5" t="s">
        <v>106</v>
      </c>
      <c r="J5" t="s">
        <v>4</v>
      </c>
      <c r="K5" s="2">
        <v>88051</v>
      </c>
      <c r="L5" s="3" t="s">
        <v>110</v>
      </c>
    </row>
    <row r="6" spans="2:12" x14ac:dyDescent="0.25">
      <c r="B6" t="s">
        <v>104</v>
      </c>
      <c r="J6" t="s">
        <v>5</v>
      </c>
      <c r="K6" s="2">
        <v>54890</v>
      </c>
      <c r="L6" s="3" t="s">
        <v>110</v>
      </c>
    </row>
    <row r="7" spans="2:12" x14ac:dyDescent="0.25">
      <c r="J7" t="s">
        <v>6</v>
      </c>
      <c r="K7" s="2">
        <f>K4-K5+K6</f>
        <v>2198216.1</v>
      </c>
      <c r="L7" s="3"/>
    </row>
    <row r="8" spans="2:12" x14ac:dyDescent="0.25">
      <c r="K8" s="1"/>
    </row>
    <row r="9" spans="2:12" x14ac:dyDescent="0.25">
      <c r="J9" t="s">
        <v>80</v>
      </c>
    </row>
    <row r="10" spans="2:12" x14ac:dyDescent="0.25">
      <c r="B10" t="s">
        <v>37</v>
      </c>
    </row>
    <row r="11" spans="2:12" x14ac:dyDescent="0.25">
      <c r="C11" t="s">
        <v>124</v>
      </c>
      <c r="D11" t="s">
        <v>139</v>
      </c>
    </row>
    <row r="12" spans="2:12" x14ac:dyDescent="0.25">
      <c r="C12" t="s">
        <v>125</v>
      </c>
      <c r="D12" t="s">
        <v>136</v>
      </c>
    </row>
    <row r="13" spans="2:12" x14ac:dyDescent="0.25">
      <c r="C13" t="s">
        <v>126</v>
      </c>
    </row>
    <row r="14" spans="2:12" x14ac:dyDescent="0.25">
      <c r="C14" t="s">
        <v>135</v>
      </c>
      <c r="D14" t="s">
        <v>142</v>
      </c>
    </row>
    <row r="15" spans="2:12" x14ac:dyDescent="0.25">
      <c r="C15" t="s">
        <v>137</v>
      </c>
    </row>
    <row r="16" spans="2:12" x14ac:dyDescent="0.25">
      <c r="C16" t="s">
        <v>138</v>
      </c>
    </row>
    <row r="17" spans="2:4" x14ac:dyDescent="0.25">
      <c r="C17" t="s">
        <v>140</v>
      </c>
    </row>
    <row r="18" spans="2:4" x14ac:dyDescent="0.25">
      <c r="C18" t="s">
        <v>141</v>
      </c>
    </row>
    <row r="19" spans="2:4" x14ac:dyDescent="0.25">
      <c r="C19" t="s">
        <v>143</v>
      </c>
      <c r="D19" t="s">
        <v>144</v>
      </c>
    </row>
    <row r="20" spans="2:4" x14ac:dyDescent="0.25">
      <c r="B20" t="s">
        <v>127</v>
      </c>
    </row>
    <row r="21" spans="2:4" x14ac:dyDescent="0.25">
      <c r="C21" t="s">
        <v>132</v>
      </c>
    </row>
    <row r="22" spans="2:4" x14ac:dyDescent="0.25">
      <c r="C22" t="s">
        <v>133</v>
      </c>
    </row>
    <row r="23" spans="2:4" x14ac:dyDescent="0.25">
      <c r="C23" t="s">
        <v>134</v>
      </c>
    </row>
    <row r="24" spans="2:4" x14ac:dyDescent="0.25">
      <c r="C24" t="s">
        <v>150</v>
      </c>
    </row>
    <row r="26" spans="2:4" x14ac:dyDescent="0.25">
      <c r="C26" t="s">
        <v>128</v>
      </c>
    </row>
    <row r="27" spans="2:4" x14ac:dyDescent="0.25">
      <c r="D27" t="s">
        <v>129</v>
      </c>
    </row>
    <row r="28" spans="2:4" x14ac:dyDescent="0.25">
      <c r="D28" t="s">
        <v>130</v>
      </c>
    </row>
    <row r="29" spans="2:4" x14ac:dyDescent="0.25">
      <c r="D29" t="s">
        <v>131</v>
      </c>
    </row>
    <row r="32" spans="2:4" x14ac:dyDescent="0.25">
      <c r="C32" t="s">
        <v>145</v>
      </c>
    </row>
    <row r="33" spans="3:4" x14ac:dyDescent="0.25">
      <c r="D33" t="s">
        <v>146</v>
      </c>
    </row>
    <row r="35" spans="3:4" x14ac:dyDescent="0.25">
      <c r="C35" t="s">
        <v>147</v>
      </c>
    </row>
    <row r="37" spans="3:4" x14ac:dyDescent="0.25">
      <c r="C37" t="s">
        <v>148</v>
      </c>
    </row>
    <row r="38" spans="3:4" x14ac:dyDescent="0.25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I103"/>
  <sheetViews>
    <sheetView tabSelected="1" zoomScale="110" zoomScaleNormal="110" workbookViewId="0">
      <pane xSplit="2" ySplit="2" topLeftCell="BM3" activePane="bottomRight" state="frozen"/>
      <selection pane="topRight" activeCell="C1" sqref="C1"/>
      <selection pane="bottomLeft" activeCell="A4" sqref="A4"/>
      <selection pane="bottomRight" activeCell="BN36" sqref="BN36"/>
    </sheetView>
  </sheetViews>
  <sheetFormatPr defaultRowHeight="13.2" x14ac:dyDescent="0.25"/>
  <cols>
    <col min="1" max="1" width="5" bestFit="1" customWidth="1"/>
    <col min="2" max="2" width="18.44140625" customWidth="1"/>
    <col min="3" max="26" width="9.21875" style="3"/>
    <col min="42" max="60" width="0" hidden="1" customWidth="1"/>
    <col min="76" max="77" width="9.5546875" customWidth="1"/>
    <col min="80" max="80" width="9.33203125" bestFit="1" customWidth="1"/>
  </cols>
  <sheetData>
    <row r="1" spans="1:87" x14ac:dyDescent="0.25">
      <c r="A1" s="12" t="s">
        <v>0</v>
      </c>
    </row>
    <row r="2" spans="1:87" x14ac:dyDescent="0.25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M2" s="3"/>
      <c r="AN2" s="3"/>
      <c r="AP2">
        <v>1995</v>
      </c>
      <c r="AQ2">
        <v>1996</v>
      </c>
      <c r="AR2">
        <v>1997</v>
      </c>
      <c r="AS2">
        <v>1998</v>
      </c>
      <c r="AT2">
        <v>1999</v>
      </c>
      <c r="AU2">
        <v>2000</v>
      </c>
      <c r="AV2">
        <f>+AU2+1</f>
        <v>2001</v>
      </c>
      <c r="AW2">
        <f t="shared" ref="AW2:CI2" si="0">+AV2+1</f>
        <v>2002</v>
      </c>
      <c r="AX2">
        <f t="shared" si="0"/>
        <v>2003</v>
      </c>
      <c r="AY2">
        <f t="shared" si="0"/>
        <v>2004</v>
      </c>
      <c r="AZ2">
        <f t="shared" si="0"/>
        <v>2005</v>
      </c>
      <c r="BA2">
        <f t="shared" si="0"/>
        <v>2006</v>
      </c>
      <c r="BB2">
        <f t="shared" si="0"/>
        <v>2007</v>
      </c>
      <c r="BC2">
        <f t="shared" si="0"/>
        <v>2008</v>
      </c>
      <c r="BD2">
        <f t="shared" si="0"/>
        <v>2009</v>
      </c>
      <c r="BE2">
        <f t="shared" si="0"/>
        <v>2010</v>
      </c>
      <c r="BF2">
        <f t="shared" si="0"/>
        <v>2011</v>
      </c>
      <c r="BG2">
        <f t="shared" si="0"/>
        <v>2012</v>
      </c>
      <c r="BH2">
        <f t="shared" si="0"/>
        <v>2013</v>
      </c>
      <c r="BI2">
        <f t="shared" si="0"/>
        <v>2014</v>
      </c>
      <c r="BJ2">
        <f t="shared" si="0"/>
        <v>2015</v>
      </c>
      <c r="BK2">
        <f t="shared" si="0"/>
        <v>2016</v>
      </c>
      <c r="BL2">
        <f t="shared" si="0"/>
        <v>2017</v>
      </c>
      <c r="BM2">
        <f t="shared" si="0"/>
        <v>2018</v>
      </c>
      <c r="BN2">
        <f t="shared" si="0"/>
        <v>2019</v>
      </c>
      <c r="BO2">
        <f t="shared" si="0"/>
        <v>2020</v>
      </c>
      <c r="BP2">
        <f t="shared" si="0"/>
        <v>2021</v>
      </c>
      <c r="BQ2">
        <f t="shared" si="0"/>
        <v>2022</v>
      </c>
      <c r="BR2">
        <f t="shared" si="0"/>
        <v>2023</v>
      </c>
      <c r="BS2">
        <f t="shared" si="0"/>
        <v>2024</v>
      </c>
      <c r="BT2">
        <f t="shared" si="0"/>
        <v>2025</v>
      </c>
      <c r="BU2">
        <f t="shared" si="0"/>
        <v>2026</v>
      </c>
      <c r="BV2">
        <f t="shared" si="0"/>
        <v>2027</v>
      </c>
      <c r="BW2">
        <f t="shared" si="0"/>
        <v>2028</v>
      </c>
      <c r="BX2">
        <f t="shared" si="0"/>
        <v>2029</v>
      </c>
      <c r="BY2">
        <f t="shared" si="0"/>
        <v>2030</v>
      </c>
      <c r="BZ2">
        <f t="shared" si="0"/>
        <v>2031</v>
      </c>
      <c r="CA2">
        <f t="shared" si="0"/>
        <v>2032</v>
      </c>
      <c r="CB2">
        <f t="shared" si="0"/>
        <v>2033</v>
      </c>
      <c r="CC2">
        <f t="shared" si="0"/>
        <v>2034</v>
      </c>
      <c r="CD2">
        <f t="shared" si="0"/>
        <v>2035</v>
      </c>
      <c r="CE2">
        <f t="shared" si="0"/>
        <v>2036</v>
      </c>
      <c r="CF2">
        <f t="shared" si="0"/>
        <v>2037</v>
      </c>
      <c r="CG2">
        <f t="shared" si="0"/>
        <v>2038</v>
      </c>
      <c r="CH2">
        <f t="shared" si="0"/>
        <v>2039</v>
      </c>
      <c r="CI2">
        <f t="shared" si="0"/>
        <v>2040</v>
      </c>
    </row>
    <row r="3" spans="1:87" s="2" customFormat="1" x14ac:dyDescent="0.25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BI3" s="2">
        <v>50834</v>
      </c>
      <c r="BJ3" s="2">
        <v>63708</v>
      </c>
      <c r="BK3" s="2">
        <v>79785</v>
      </c>
      <c r="BL3" s="2">
        <v>106110</v>
      </c>
      <c r="BM3" s="2">
        <v>141366</v>
      </c>
      <c r="BN3" s="2">
        <f>SUM(K3:N3)</f>
        <v>170773</v>
      </c>
      <c r="BO3" s="2">
        <f t="shared" ref="BO3:BO6" si="1">SUM(O3:R3)</f>
        <v>236282</v>
      </c>
      <c r="BP3" s="2">
        <f>SUM(S3:V3)</f>
        <v>279833</v>
      </c>
    </row>
    <row r="4" spans="1:87" s="2" customFormat="1" x14ac:dyDescent="0.25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I4" s="2">
        <v>11567</v>
      </c>
      <c r="BJ4" s="2">
        <v>12483</v>
      </c>
      <c r="BK4" s="2">
        <v>13580</v>
      </c>
    </row>
    <row r="5" spans="1:87" s="2" customFormat="1" x14ac:dyDescent="0.25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I5" s="2">
        <v>38517</v>
      </c>
      <c r="BJ5" s="2">
        <v>50401</v>
      </c>
      <c r="BK5" s="2">
        <v>64887</v>
      </c>
    </row>
    <row r="6" spans="1:87" s="2" customFormat="1" x14ac:dyDescent="0.25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BI6" s="2">
        <v>33510</v>
      </c>
      <c r="BJ6" s="2">
        <v>35418</v>
      </c>
      <c r="BK6" s="2">
        <v>43983</v>
      </c>
      <c r="BL6" s="2">
        <v>103273</v>
      </c>
      <c r="BM6" s="2">
        <v>134099</v>
      </c>
      <c r="BN6" s="2">
        <f>SUM(K6:N6)</f>
        <v>74723</v>
      </c>
      <c r="BO6" s="2">
        <f t="shared" si="1"/>
        <v>104412</v>
      </c>
      <c r="BP6" s="2">
        <f t="shared" ref="BP6" si="2">SUM(S6:V6)</f>
        <v>127787</v>
      </c>
    </row>
    <row r="7" spans="1:87" s="2" customFormat="1" x14ac:dyDescent="0.25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I7" s="2">
        <v>10938</v>
      </c>
      <c r="BJ7" s="2">
        <v>10026</v>
      </c>
      <c r="BK7" s="2">
        <v>10631</v>
      </c>
    </row>
    <row r="8" spans="1:87" s="2" customFormat="1" x14ac:dyDescent="0.25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I8" s="2">
        <v>22369</v>
      </c>
      <c r="BJ8" s="2">
        <v>25196</v>
      </c>
      <c r="BK8" s="2">
        <v>33107</v>
      </c>
    </row>
    <row r="9" spans="1:87" s="2" customFormat="1" x14ac:dyDescent="0.25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f>AD9*110.5%</f>
        <v>26745.42</v>
      </c>
      <c r="AI9" s="4"/>
      <c r="AJ9" s="4"/>
      <c r="AK9" s="4"/>
      <c r="AL9" s="4"/>
      <c r="AM9" s="4"/>
      <c r="AN9" s="4"/>
      <c r="BI9" s="2">
        <v>4644</v>
      </c>
      <c r="BJ9" s="2">
        <v>7880</v>
      </c>
      <c r="BK9" s="2">
        <v>12219</v>
      </c>
      <c r="BL9" s="2">
        <v>17459</v>
      </c>
      <c r="BM9" s="2">
        <v>25655</v>
      </c>
      <c r="BN9" s="2">
        <f>SUM(K9:N9)</f>
        <v>35026</v>
      </c>
      <c r="BO9" s="2">
        <f>SUM(O9:R9)</f>
        <v>45370</v>
      </c>
      <c r="BP9" s="2">
        <f>SUM(S9:V9)</f>
        <v>62202</v>
      </c>
      <c r="BQ9" s="2">
        <f>SUM(W9:Z9)</f>
        <v>80096</v>
      </c>
      <c r="BR9" s="2">
        <f>SUM(AA9:AD9)</f>
        <v>90757</v>
      </c>
      <c r="BS9" s="2">
        <f>+BR9*1.3</f>
        <v>117984.1</v>
      </c>
      <c r="BT9" s="2">
        <f t="shared" ref="BT9:BV9" si="3">+BS9*1.3</f>
        <v>153379.33000000002</v>
      </c>
      <c r="BU9" s="2">
        <f t="shared" si="3"/>
        <v>199393.12900000002</v>
      </c>
      <c r="BV9" s="2">
        <f t="shared" si="3"/>
        <v>259211.06770000004</v>
      </c>
      <c r="BW9" s="2">
        <f>+BV9*1.2</f>
        <v>311053.28124000004</v>
      </c>
      <c r="BX9" s="2">
        <f t="shared" ref="BX9:BY9" si="4">+BW9*1.2</f>
        <v>373263.93748800003</v>
      </c>
      <c r="BY9" s="2">
        <f t="shared" si="4"/>
        <v>447916.72498560004</v>
      </c>
    </row>
    <row r="11" spans="1:87" s="2" customFormat="1" x14ac:dyDescent="0.25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AH11" s="4">
        <f t="shared" ref="AH11:AH16" si="5">AD11*110.5%</f>
        <v>77950.014999999999</v>
      </c>
      <c r="BM11" s="2">
        <f>26939+27165+29061+39822</f>
        <v>122987</v>
      </c>
      <c r="BN11" s="2">
        <f t="shared" ref="BN11:BN26" si="6">SUM(K11:N11)</f>
        <v>141247</v>
      </c>
      <c r="BO11" s="2">
        <f t="shared" ref="BO11:BO16" si="7">SUM(O11:R11)</f>
        <v>197349</v>
      </c>
      <c r="BP11" s="2">
        <f t="shared" ref="BP11:BP16" si="8">SUM(S11:V11)</f>
        <v>222075</v>
      </c>
      <c r="BQ11" s="2">
        <f t="shared" ref="BQ11:BQ15" si="9">SUM(W11:Z11)</f>
        <v>220004</v>
      </c>
      <c r="BR11" s="2">
        <f t="shared" ref="BR11:BR16" si="10">SUM(AA11:AD11)</f>
        <v>231872</v>
      </c>
      <c r="BS11" s="2">
        <f>+BR11*1.05</f>
        <v>243465.60000000001</v>
      </c>
      <c r="BT11" s="2">
        <f t="shared" ref="BT11:BY11" si="11">+BS11*1.05</f>
        <v>255638.88</v>
      </c>
      <c r="BU11" s="2">
        <f t="shared" si="11"/>
        <v>268420.82400000002</v>
      </c>
      <c r="BV11" s="2">
        <f t="shared" si="11"/>
        <v>281841.86520000006</v>
      </c>
      <c r="BW11" s="2">
        <f t="shared" si="11"/>
        <v>295933.95846000005</v>
      </c>
      <c r="BX11" s="2">
        <f t="shared" si="11"/>
        <v>310730.65638300008</v>
      </c>
      <c r="BY11" s="2">
        <f t="shared" si="11"/>
        <v>326267.1892021501</v>
      </c>
    </row>
    <row r="12" spans="1:87" s="2" customFormat="1" x14ac:dyDescent="0.25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AH12" s="4">
        <f t="shared" si="5"/>
        <v>5692.96</v>
      </c>
      <c r="BM12" s="2">
        <f>4263+4312+4248+4401</f>
        <v>17224</v>
      </c>
      <c r="BN12" s="2">
        <f t="shared" si="6"/>
        <v>17192</v>
      </c>
      <c r="BO12" s="2">
        <f t="shared" si="7"/>
        <v>16224</v>
      </c>
      <c r="BP12" s="2">
        <f t="shared" si="8"/>
        <v>17075</v>
      </c>
      <c r="BQ12" s="2">
        <f t="shared" si="9"/>
        <v>18963</v>
      </c>
      <c r="BR12" s="2">
        <f>SUM(AA12:AD12)</f>
        <v>20030</v>
      </c>
      <c r="BS12" s="2">
        <f t="shared" ref="BS12:BY12" si="12">+BR12*1.05</f>
        <v>21031.5</v>
      </c>
      <c r="BT12" s="2">
        <f t="shared" si="12"/>
        <v>22083.075000000001</v>
      </c>
      <c r="BU12" s="2">
        <f t="shared" si="12"/>
        <v>23187.228750000002</v>
      </c>
      <c r="BV12" s="2">
        <f t="shared" si="12"/>
        <v>24346.590187500002</v>
      </c>
      <c r="BW12" s="2">
        <f t="shared" si="12"/>
        <v>25563.919696875004</v>
      </c>
      <c r="BX12" s="2">
        <f t="shared" si="12"/>
        <v>26842.115681718755</v>
      </c>
      <c r="BY12" s="2">
        <f t="shared" si="12"/>
        <v>28184.221465804694</v>
      </c>
    </row>
    <row r="13" spans="1:87" s="2" customFormat="1" x14ac:dyDescent="0.25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AH13" s="4">
        <f t="shared" si="5"/>
        <v>48132.695</v>
      </c>
      <c r="BM13" s="2">
        <f>9265+9702+10395+13383</f>
        <v>42745</v>
      </c>
      <c r="BN13" s="2">
        <f t="shared" si="6"/>
        <v>53761</v>
      </c>
      <c r="BO13" s="2">
        <f t="shared" si="7"/>
        <v>80437</v>
      </c>
      <c r="BP13" s="2">
        <f t="shared" si="8"/>
        <v>103366</v>
      </c>
      <c r="BQ13" s="2">
        <f t="shared" si="9"/>
        <v>117716</v>
      </c>
      <c r="BR13" s="2">
        <f t="shared" si="10"/>
        <v>140053</v>
      </c>
      <c r="BS13" s="2">
        <f t="shared" ref="BS13:BY13" si="13">+BR13*1.05</f>
        <v>147055.65</v>
      </c>
      <c r="BT13" s="2">
        <f t="shared" si="13"/>
        <v>154408.4325</v>
      </c>
      <c r="BU13" s="2">
        <f t="shared" si="13"/>
        <v>162128.85412500001</v>
      </c>
      <c r="BV13" s="2">
        <f t="shared" si="13"/>
        <v>170235.29683125002</v>
      </c>
      <c r="BW13" s="2">
        <f t="shared" si="13"/>
        <v>178747.06167281253</v>
      </c>
      <c r="BX13" s="2">
        <f t="shared" si="13"/>
        <v>187684.41475645316</v>
      </c>
      <c r="BY13" s="2">
        <f t="shared" si="13"/>
        <v>197068.63549427583</v>
      </c>
    </row>
    <row r="14" spans="1:87" s="2" customFormat="1" x14ac:dyDescent="0.25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14331</v>
      </c>
      <c r="AH14" s="4">
        <f t="shared" si="5"/>
        <v>11589.24</v>
      </c>
      <c r="BM14" s="2">
        <f>3102+3408+3698+3959</f>
        <v>14167</v>
      </c>
      <c r="BN14" s="2">
        <f t="shared" si="6"/>
        <v>19210</v>
      </c>
      <c r="BO14" s="2">
        <f t="shared" si="7"/>
        <v>25207</v>
      </c>
      <c r="BP14" s="2">
        <f t="shared" si="8"/>
        <v>31768</v>
      </c>
      <c r="BQ14" s="2">
        <f t="shared" si="9"/>
        <v>35218</v>
      </c>
      <c r="BR14" s="2">
        <f t="shared" si="10"/>
        <v>40209</v>
      </c>
      <c r="BS14" s="2">
        <f>+BR14*1.1</f>
        <v>44229.9</v>
      </c>
      <c r="BT14" s="2">
        <f t="shared" ref="BT14:BV14" si="14">+BS14*1.1</f>
        <v>48652.890000000007</v>
      </c>
      <c r="BU14" s="2">
        <f t="shared" si="14"/>
        <v>53518.179000000011</v>
      </c>
      <c r="BV14" s="2">
        <f t="shared" si="14"/>
        <v>58869.99690000002</v>
      </c>
      <c r="BW14" s="2">
        <f t="shared" ref="BW14:BY14" si="15">+BV14*1.05</f>
        <v>61813.496745000026</v>
      </c>
      <c r="BX14" s="2">
        <f t="shared" si="15"/>
        <v>64904.171582250026</v>
      </c>
      <c r="BY14" s="2">
        <f t="shared" si="15"/>
        <v>68149.380161362526</v>
      </c>
    </row>
    <row r="15" spans="1:87" s="2" customFormat="1" x14ac:dyDescent="0.25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11278</v>
      </c>
      <c r="AH15" s="4">
        <f t="shared" si="5"/>
        <v>16192.67</v>
      </c>
      <c r="BM15" s="2">
        <f>2031+2194+2495+3388</f>
        <v>10108</v>
      </c>
      <c r="BN15" s="2">
        <f t="shared" si="6"/>
        <v>14086</v>
      </c>
      <c r="BO15" s="2">
        <f t="shared" si="7"/>
        <v>20875</v>
      </c>
      <c r="BP15" s="2">
        <f t="shared" si="8"/>
        <v>31160</v>
      </c>
      <c r="BQ15" s="2">
        <f t="shared" si="9"/>
        <v>37739</v>
      </c>
      <c r="BR15" s="2">
        <f t="shared" si="10"/>
        <v>46906</v>
      </c>
      <c r="BS15" s="2">
        <f t="shared" ref="BS15:BV15" si="16">+BR15*1.1</f>
        <v>51596.600000000006</v>
      </c>
      <c r="BT15" s="2">
        <f t="shared" si="16"/>
        <v>56756.260000000009</v>
      </c>
      <c r="BU15" s="2">
        <f t="shared" si="16"/>
        <v>62431.886000000013</v>
      </c>
      <c r="BV15" s="2">
        <f t="shared" si="16"/>
        <v>68675.074600000022</v>
      </c>
      <c r="BW15" s="2">
        <f t="shared" ref="BW15:BY15" si="17">+BV15*1.05</f>
        <v>72108.828330000033</v>
      </c>
      <c r="BX15" s="2">
        <f t="shared" si="17"/>
        <v>75714.269746500038</v>
      </c>
      <c r="BY15" s="2">
        <f t="shared" si="17"/>
        <v>79499.983233825042</v>
      </c>
    </row>
    <row r="16" spans="1:87" s="2" customFormat="1" x14ac:dyDescent="0.25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AH16" s="4">
        <f t="shared" si="5"/>
        <v>1503.905</v>
      </c>
      <c r="BN16" s="2">
        <f t="shared" si="6"/>
        <v>0</v>
      </c>
      <c r="BO16" s="2">
        <f t="shared" si="7"/>
        <v>602</v>
      </c>
      <c r="BP16" s="2">
        <f t="shared" si="8"/>
        <v>2176</v>
      </c>
      <c r="BQ16" s="2">
        <f>SUM(W16:Z16)</f>
        <v>4247</v>
      </c>
      <c r="BR16" s="2">
        <f t="shared" si="10"/>
        <v>4958</v>
      </c>
      <c r="BS16" s="2">
        <f t="shared" ref="BS16:BY16" si="18">+BR16*1.05</f>
        <v>5205.9000000000005</v>
      </c>
      <c r="BT16" s="2">
        <f>+BS16*1.05</f>
        <v>5466.1950000000006</v>
      </c>
      <c r="BU16" s="2">
        <f t="shared" si="18"/>
        <v>5739.504750000001</v>
      </c>
      <c r="BV16" s="2">
        <f t="shared" si="18"/>
        <v>6026.4799875000017</v>
      </c>
      <c r="BW16" s="2">
        <f t="shared" si="18"/>
        <v>6327.803986875002</v>
      </c>
      <c r="BX16" s="2">
        <f t="shared" si="18"/>
        <v>6644.1941862187523</v>
      </c>
      <c r="BY16" s="2">
        <f t="shared" si="18"/>
        <v>6976.4038955296901</v>
      </c>
    </row>
    <row r="17" spans="2:139" x14ac:dyDescent="0.25">
      <c r="BQ17" s="2"/>
      <c r="BR17" s="2"/>
    </row>
    <row r="18" spans="2:139" s="2" customFormat="1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BL18" s="2">
        <v>118573</v>
      </c>
      <c r="BM18" s="2">
        <v>141915</v>
      </c>
      <c r="BN18" s="2">
        <f t="shared" si="6"/>
        <v>160407</v>
      </c>
      <c r="BO18" s="2">
        <f>SUM(O18:R18)</f>
        <v>215915</v>
      </c>
      <c r="BP18" s="2">
        <f t="shared" ref="BP18:BP26" si="19">SUM(S18:V18)</f>
        <v>241787</v>
      </c>
    </row>
    <row r="19" spans="2:139" s="2" customFormat="1" x14ac:dyDescent="0.25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BL19" s="2">
        <v>59293</v>
      </c>
      <c r="BM19" s="2">
        <v>90972</v>
      </c>
      <c r="BN19" s="2">
        <f t="shared" si="6"/>
        <v>120115</v>
      </c>
      <c r="BO19" s="2">
        <f t="shared" ref="BO19:BO26" si="20">SUM(O19:R19)</f>
        <v>170149</v>
      </c>
      <c r="BP19" s="2">
        <f t="shared" si="19"/>
        <v>228035</v>
      </c>
    </row>
    <row r="20" spans="2:139" s="5" customFormat="1" x14ac:dyDescent="0.25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1">J18+J19</f>
        <v>72383</v>
      </c>
      <c r="K20" s="6">
        <f t="shared" ref="K20:M20" si="22">K18+K19</f>
        <v>59700</v>
      </c>
      <c r="L20" s="6">
        <f t="shared" ref="L20" si="23">L18+L19</f>
        <v>63404</v>
      </c>
      <c r="M20" s="6">
        <f t="shared" si="22"/>
        <v>69981</v>
      </c>
      <c r="N20" s="6">
        <f t="shared" ref="N20" si="24">N18+N19</f>
        <v>87437</v>
      </c>
      <c r="O20" s="6">
        <f t="shared" ref="O20" si="25">O18+O19</f>
        <v>75452</v>
      </c>
      <c r="P20" s="6">
        <f t="shared" ref="P20" si="26">P18+P19</f>
        <v>88912</v>
      </c>
      <c r="Q20" s="6">
        <f t="shared" ref="Q20:V20" si="27">Q18+Q19</f>
        <v>96145</v>
      </c>
      <c r="R20" s="6">
        <f t="shared" si="27"/>
        <v>125555</v>
      </c>
      <c r="S20" s="6">
        <f t="shared" si="27"/>
        <v>108518</v>
      </c>
      <c r="T20" s="6">
        <f t="shared" si="27"/>
        <v>113080</v>
      </c>
      <c r="U20" s="6">
        <f t="shared" si="27"/>
        <v>110812</v>
      </c>
      <c r="V20" s="6">
        <f t="shared" si="27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SUM(AH9:AH16)</f>
        <v>187806.905</v>
      </c>
      <c r="AI20" s="6">
        <f>AE20*1.1</f>
        <v>157644.30000000002</v>
      </c>
      <c r="AJ20" s="6">
        <f>AF20*1.1</f>
        <v>162775.80000000002</v>
      </c>
      <c r="AK20" s="6">
        <f>AG20*1.1</f>
        <v>174764.7</v>
      </c>
      <c r="AL20" s="6">
        <f>AH20*1.1</f>
        <v>206587.59550000002</v>
      </c>
      <c r="AM20" s="6"/>
      <c r="AN20" s="6"/>
      <c r="AP20" s="5">
        <v>0.51100000000000001</v>
      </c>
      <c r="AQ20" s="5">
        <v>15.746</v>
      </c>
      <c r="AR20" s="5">
        <v>147.78700000000001</v>
      </c>
      <c r="AS20" s="5">
        <v>609.81899999999996</v>
      </c>
      <c r="AT20" s="5">
        <v>1639.8389999999999</v>
      </c>
      <c r="AU20" s="5">
        <v>2761.9830000000002</v>
      </c>
      <c r="AV20" s="5">
        <v>3122.433</v>
      </c>
      <c r="AW20" s="5">
        <v>3932.9360000000001</v>
      </c>
      <c r="AX20" s="5">
        <v>5263.6989999999996</v>
      </c>
      <c r="AY20" s="5">
        <v>6921</v>
      </c>
      <c r="AZ20" s="5">
        <v>8490</v>
      </c>
      <c r="BA20" s="5">
        <v>10711</v>
      </c>
      <c r="BB20" s="5">
        <v>14835</v>
      </c>
      <c r="BC20" s="5">
        <v>19166</v>
      </c>
      <c r="BD20" s="5">
        <v>24509</v>
      </c>
      <c r="BE20" s="5">
        <v>34204</v>
      </c>
      <c r="BF20" s="5">
        <v>48077</v>
      </c>
      <c r="BG20" s="5">
        <v>61093</v>
      </c>
      <c r="BH20" s="5">
        <v>74452</v>
      </c>
      <c r="BI20" s="5">
        <f>+BI3+BI6+BI9</f>
        <v>88988</v>
      </c>
      <c r="BJ20" s="5">
        <f t="shared" ref="BJ20:BK20" si="28">+BJ3+BJ6+BJ9</f>
        <v>107006</v>
      </c>
      <c r="BK20" s="5">
        <f t="shared" si="28"/>
        <v>135987</v>
      </c>
      <c r="BL20" s="6">
        <f t="shared" ref="BL20" si="29">BL18+BL19</f>
        <v>177866</v>
      </c>
      <c r="BM20" s="6">
        <f t="shared" ref="BM20" si="30">BM18+BM19</f>
        <v>232887</v>
      </c>
      <c r="BN20" s="6">
        <f>BN18+BN19</f>
        <v>280522</v>
      </c>
      <c r="BO20" s="6">
        <f>BO18+BO19</f>
        <v>386064</v>
      </c>
      <c r="BP20" s="6">
        <f>BP18+BP19</f>
        <v>469822</v>
      </c>
      <c r="BQ20" s="5">
        <f>SUM(BQ9:BQ16)</f>
        <v>513983</v>
      </c>
      <c r="BR20" s="5">
        <f>SUM(BR9:BR16)</f>
        <v>574785</v>
      </c>
      <c r="BS20" s="5">
        <f>SUM(AE20:AH20)</f>
        <v>637974.90500000003</v>
      </c>
      <c r="BT20" s="5">
        <f>SUM(AI20:AL20)</f>
        <v>701772.3955000001</v>
      </c>
      <c r="BU20" s="5">
        <f>BT20*1.1</f>
        <v>771949.63505000016</v>
      </c>
      <c r="BV20" s="5">
        <f>BU20*1.1</f>
        <v>849144.59855500027</v>
      </c>
      <c r="BW20" s="5">
        <f>BV20*1.1</f>
        <v>934059.05841050041</v>
      </c>
      <c r="BX20" s="5">
        <f>BW20*1.1</f>
        <v>1027464.9642515505</v>
      </c>
      <c r="BY20" s="5">
        <f>BX20*1.1</f>
        <v>1130211.4606767057</v>
      </c>
    </row>
    <row r="21" spans="2:139" s="2" customFormat="1" x14ac:dyDescent="0.25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V21" s="2">
        <v>2323.875</v>
      </c>
      <c r="AW21" s="2">
        <v>2940.3180000000002</v>
      </c>
      <c r="AX21" s="2">
        <v>4006.5309999999999</v>
      </c>
      <c r="BI21" s="2">
        <v>62752</v>
      </c>
      <c r="BJ21" s="2">
        <v>71651</v>
      </c>
      <c r="BK21" s="2">
        <v>88265</v>
      </c>
      <c r="BL21" s="2">
        <v>111934</v>
      </c>
      <c r="BM21" s="2">
        <v>139156</v>
      </c>
      <c r="BN21" s="2">
        <f t="shared" si="6"/>
        <v>165536</v>
      </c>
      <c r="BO21" s="2">
        <f t="shared" si="20"/>
        <v>233307</v>
      </c>
      <c r="BP21" s="2">
        <f t="shared" si="19"/>
        <v>272344</v>
      </c>
      <c r="BQ21" s="2">
        <f>SUM(W21:Z21)</f>
        <v>288831</v>
      </c>
      <c r="BR21" s="2">
        <f>SUM(AA21:AD21)</f>
        <v>304739</v>
      </c>
      <c r="BS21" s="4">
        <f t="shared" ref="BS21:BY21" si="31">SUM(BS11:BS13)*0.75+BS9*0.65</f>
        <v>385354.22750000004</v>
      </c>
      <c r="BT21" s="4">
        <f t="shared" si="31"/>
        <v>423794.355125</v>
      </c>
      <c r="BU21" s="4">
        <f t="shared" si="31"/>
        <v>469908.21400625003</v>
      </c>
      <c r="BV21" s="4">
        <f t="shared" si="31"/>
        <v>525805.00816906255</v>
      </c>
      <c r="BW21" s="4">
        <f t="shared" si="31"/>
        <v>577368.33767826576</v>
      </c>
      <c r="BX21" s="4">
        <f t="shared" si="31"/>
        <v>636564.44948307902</v>
      </c>
      <c r="BY21" s="4">
        <f t="shared" si="31"/>
        <v>704785.905862313</v>
      </c>
    </row>
    <row r="22" spans="2:139" s="2" customFormat="1" x14ac:dyDescent="0.25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V22" s="2">
        <v>798.55799999999999</v>
      </c>
      <c r="AW22" s="2">
        <v>392.46699999999998</v>
      </c>
      <c r="AX22" s="2">
        <v>477.03199999999998</v>
      </c>
      <c r="BI22" s="2">
        <v>10766</v>
      </c>
      <c r="BJ22" s="2">
        <v>13410</v>
      </c>
      <c r="BK22" s="2">
        <v>17619</v>
      </c>
      <c r="BL22" s="2">
        <v>25249</v>
      </c>
      <c r="BM22" s="2">
        <v>34027</v>
      </c>
      <c r="BN22" s="2">
        <f t="shared" si="6"/>
        <v>40231</v>
      </c>
      <c r="BO22" s="2">
        <f t="shared" si="20"/>
        <v>58516</v>
      </c>
      <c r="BP22" s="2">
        <f t="shared" si="19"/>
        <v>75111</v>
      </c>
      <c r="BQ22" s="2">
        <f>SUM(W22:Z22)</f>
        <v>84299</v>
      </c>
      <c r="BR22" s="2">
        <f>SUM(AA22:AD22)</f>
        <v>90619</v>
      </c>
      <c r="BS22" s="4">
        <f>(BS13+BS11)*0.1</f>
        <v>39052.125</v>
      </c>
      <c r="BT22" s="4">
        <f t="shared" ref="BT22:BY22" si="32">(BT13+BT11)*0.1</f>
        <v>41004.731250000004</v>
      </c>
      <c r="BU22" s="4">
        <f t="shared" si="32"/>
        <v>43054.967812500006</v>
      </c>
      <c r="BV22" s="4">
        <f t="shared" si="32"/>
        <v>45207.716203125012</v>
      </c>
      <c r="BW22" s="4">
        <f t="shared" si="32"/>
        <v>47468.102013281255</v>
      </c>
      <c r="BX22" s="4">
        <f t="shared" si="32"/>
        <v>49841.507113945321</v>
      </c>
      <c r="BY22" s="4">
        <f t="shared" si="32"/>
        <v>52333.582469642599</v>
      </c>
    </row>
    <row r="23" spans="2:139" s="2" customFormat="1" x14ac:dyDescent="0.25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AF20-AF21-AF22</f>
        <v>50627</v>
      </c>
      <c r="AG23" s="4">
        <f>AG20-AG21-AG22</f>
        <v>53240</v>
      </c>
      <c r="AH23" s="2">
        <f>AH20*AH45</f>
        <v>61976.27865</v>
      </c>
      <c r="AI23" s="2">
        <f>AI20*AI45</f>
        <v>52022.619000000006</v>
      </c>
      <c r="AJ23" s="2">
        <f>AJ20*AJ45</f>
        <v>53716.01400000001</v>
      </c>
      <c r="AK23" s="2">
        <f>AK20*AK45</f>
        <v>57672.35100000001</v>
      </c>
      <c r="AL23" s="2">
        <f>AL20*AL45</f>
        <v>68173.90651500001</v>
      </c>
      <c r="AV23" s="2">
        <f>AV20-AV21-AV22</f>
        <v>0</v>
      </c>
      <c r="AW23" s="2">
        <f>AW20-AW21-AW22</f>
        <v>600.15099999999995</v>
      </c>
      <c r="AX23" s="2">
        <f>AX20-AX21-AX22</f>
        <v>780.13599999999974</v>
      </c>
      <c r="BI23" s="4">
        <f t="shared" ref="BI23:BL23" si="40">BI20-BI21-BI22</f>
        <v>15470</v>
      </c>
      <c r="BJ23" s="4">
        <f t="shared" si="40"/>
        <v>21945</v>
      </c>
      <c r="BK23" s="4">
        <f t="shared" si="40"/>
        <v>30103</v>
      </c>
      <c r="BL23" s="4">
        <f t="shared" si="40"/>
        <v>40683</v>
      </c>
      <c r="BM23" s="4">
        <f t="shared" ref="BM23:BN23" si="41">BM20-BM21-BM22</f>
        <v>59704</v>
      </c>
      <c r="BN23" s="4">
        <f t="shared" si="41"/>
        <v>74755</v>
      </c>
      <c r="BO23" s="4">
        <f t="shared" ref="BO23:BY23" si="42">BO20-BO21-BO22</f>
        <v>94241</v>
      </c>
      <c r="BP23" s="4">
        <f t="shared" si="42"/>
        <v>122367</v>
      </c>
      <c r="BQ23" s="4">
        <f t="shared" si="42"/>
        <v>140853</v>
      </c>
      <c r="BR23" s="4">
        <f t="shared" si="42"/>
        <v>179427</v>
      </c>
      <c r="BS23" s="4">
        <f t="shared" si="42"/>
        <v>213568.55249999999</v>
      </c>
      <c r="BT23" s="4">
        <f t="shared" si="42"/>
        <v>236973.30912500009</v>
      </c>
      <c r="BU23" s="4">
        <f t="shared" si="42"/>
        <v>258986.45323125011</v>
      </c>
      <c r="BV23" s="4">
        <f t="shared" si="42"/>
        <v>278131.87418281269</v>
      </c>
      <c r="BW23" s="4">
        <f t="shared" si="42"/>
        <v>309222.6187189534</v>
      </c>
      <c r="BX23" s="4">
        <f t="shared" si="42"/>
        <v>341059.00765452615</v>
      </c>
      <c r="BY23" s="4">
        <f t="shared" si="42"/>
        <v>373091.97234475007</v>
      </c>
    </row>
    <row r="24" spans="2:139" s="2" customFormat="1" x14ac:dyDescent="0.25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22245</v>
      </c>
      <c r="AH24" s="2">
        <f>AG24*1.07</f>
        <v>23802.15</v>
      </c>
      <c r="AI24" s="2">
        <f>AH24*1.03</f>
        <v>24516.214500000002</v>
      </c>
      <c r="AJ24" s="2">
        <f>AI24*1.01</f>
        <v>24761.376645000004</v>
      </c>
      <c r="AK24" s="2">
        <f>AJ24*1.01</f>
        <v>25008.990411450006</v>
      </c>
      <c r="AL24" s="2">
        <f>AK24*1.01</f>
        <v>25259.080315564504</v>
      </c>
      <c r="AV24" s="2">
        <v>241.16499999999999</v>
      </c>
      <c r="AW24" s="2">
        <v>215.61699999999999</v>
      </c>
      <c r="AX24" s="2">
        <v>207.809</v>
      </c>
      <c r="BI24" s="2">
        <v>9275</v>
      </c>
      <c r="BJ24" s="2">
        <v>12540</v>
      </c>
      <c r="BK24" s="2">
        <v>16085</v>
      </c>
      <c r="BL24" s="2">
        <v>22620</v>
      </c>
      <c r="BM24" s="2">
        <v>28837</v>
      </c>
      <c r="BN24" s="2">
        <f t="shared" si="6"/>
        <v>35932</v>
      </c>
      <c r="BO24" s="2">
        <f t="shared" si="20"/>
        <v>42738</v>
      </c>
      <c r="BP24" s="2">
        <f t="shared" si="19"/>
        <v>56052</v>
      </c>
      <c r="BQ24" s="2">
        <f>SUM(W24:Z24)</f>
        <v>73213</v>
      </c>
      <c r="BR24" s="2">
        <f>SUM(AA24:AD24)</f>
        <v>85622</v>
      </c>
      <c r="BS24" s="2">
        <f>+BR24*1.03</f>
        <v>88190.66</v>
      </c>
      <c r="BT24" s="2">
        <f>+BS24*1.1</f>
        <v>97009.72600000001</v>
      </c>
      <c r="BU24" s="2">
        <f t="shared" ref="BU24:BY24" si="43">+BT24*1.03</f>
        <v>99920.017780000009</v>
      </c>
      <c r="BV24" s="2">
        <f t="shared" si="43"/>
        <v>102917.61831340002</v>
      </c>
      <c r="BW24" s="2">
        <f t="shared" si="43"/>
        <v>106005.14686280202</v>
      </c>
      <c r="BX24" s="2">
        <f t="shared" si="43"/>
        <v>109185.30126868609</v>
      </c>
      <c r="BY24" s="2">
        <f t="shared" si="43"/>
        <v>112460.86030674668</v>
      </c>
    </row>
    <row r="25" spans="2:139" s="2" customFormat="1" x14ac:dyDescent="0.25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f>AD25*1.02</f>
        <v>13160.04</v>
      </c>
      <c r="AI25" s="2">
        <f>AE25*1.02</f>
        <v>9855.24</v>
      </c>
      <c r="AJ25" s="2">
        <f>AF25*1.02</f>
        <v>10722.24</v>
      </c>
      <c r="AK25" s="2">
        <f>AG25*1.02</f>
        <v>10821.18</v>
      </c>
      <c r="AL25" s="2">
        <f>AH25*1.02</f>
        <v>13423.240800000001</v>
      </c>
      <c r="AV25" s="2">
        <v>138.28299999999999</v>
      </c>
      <c r="AW25" s="2">
        <v>125.383</v>
      </c>
      <c r="AX25" s="2">
        <v>122.78700000000001</v>
      </c>
      <c r="BI25" s="2">
        <v>4332</v>
      </c>
      <c r="BJ25" s="2">
        <v>5254</v>
      </c>
      <c r="BK25" s="2">
        <v>7233</v>
      </c>
      <c r="BL25" s="2">
        <v>10069</v>
      </c>
      <c r="BM25" s="2">
        <v>13814</v>
      </c>
      <c r="BN25" s="2">
        <f t="shared" si="6"/>
        <v>18879</v>
      </c>
      <c r="BO25" s="2">
        <f t="shared" si="20"/>
        <v>22010</v>
      </c>
      <c r="BP25" s="2">
        <f t="shared" si="19"/>
        <v>32551</v>
      </c>
      <c r="BQ25" s="2">
        <f>SUM(W25:Z25)</f>
        <v>42238</v>
      </c>
      <c r="BR25" s="2">
        <f>SUM(AA25:AD25)</f>
        <v>44370</v>
      </c>
      <c r="BS25" s="2">
        <f>+BR25*1.03</f>
        <v>45701.1</v>
      </c>
      <c r="BT25" s="2">
        <f t="shared" ref="BT25:BY25" si="44">+BS25*1.03</f>
        <v>47072.133000000002</v>
      </c>
      <c r="BU25" s="2">
        <f t="shared" si="44"/>
        <v>48484.296990000003</v>
      </c>
      <c r="BV25" s="2">
        <f t="shared" si="44"/>
        <v>49938.825899700001</v>
      </c>
      <c r="BW25" s="2">
        <f t="shared" si="44"/>
        <v>51436.990676690999</v>
      </c>
      <c r="BX25" s="2">
        <f t="shared" si="44"/>
        <v>52980.100396991729</v>
      </c>
      <c r="BY25" s="2">
        <f t="shared" si="44"/>
        <v>54569.503408901481</v>
      </c>
    </row>
    <row r="26" spans="2:139" x14ac:dyDescent="0.25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f>2713+262</f>
        <v>2975</v>
      </c>
      <c r="AH26" s="2">
        <f>AD26*1.03</f>
        <v>3100.3</v>
      </c>
      <c r="AI26" s="2">
        <f>AE26*1.03</f>
        <v>2824.26</v>
      </c>
      <c r="AJ26" s="2">
        <f>AF26*1.03</f>
        <v>3232.14</v>
      </c>
      <c r="AK26" s="2">
        <f>AG26*1.03</f>
        <v>3064.25</v>
      </c>
      <c r="AL26" s="2">
        <f>AH26*1.03</f>
        <v>3193.3090000000002</v>
      </c>
      <c r="AM26" s="2"/>
      <c r="AN26" s="2"/>
      <c r="AV26" s="2">
        <v>89.861999999999995</v>
      </c>
      <c r="AW26" s="2">
        <v>79.049000000000007</v>
      </c>
      <c r="AX26" s="2">
        <v>88.302000000000007</v>
      </c>
      <c r="BI26" s="2">
        <v>1552</v>
      </c>
      <c r="BJ26" s="2">
        <v>1747</v>
      </c>
      <c r="BK26" s="2">
        <v>2432</v>
      </c>
      <c r="BL26" s="2">
        <v>3674</v>
      </c>
      <c r="BM26" s="2">
        <v>4336</v>
      </c>
      <c r="BN26" s="2">
        <f t="shared" si="6"/>
        <v>5203</v>
      </c>
      <c r="BO26" s="2">
        <f t="shared" si="20"/>
        <v>6668</v>
      </c>
      <c r="BP26" s="2">
        <f t="shared" si="19"/>
        <v>8823</v>
      </c>
      <c r="BQ26" s="2">
        <f>SUM(W26:Z26)</f>
        <v>11891</v>
      </c>
      <c r="BR26" s="2">
        <f>SUM(AA26:AD26)</f>
        <v>11816</v>
      </c>
      <c r="BS26" s="2">
        <f>+BR26*1.03</f>
        <v>12170.48</v>
      </c>
      <c r="BT26" s="2">
        <f t="shared" ref="BT26:BY26" si="45">+BS26*1.03</f>
        <v>12535.5944</v>
      </c>
      <c r="BU26" s="2">
        <f t="shared" si="45"/>
        <v>12911.662232000001</v>
      </c>
      <c r="BV26" s="2">
        <f t="shared" si="45"/>
        <v>13299.012098960002</v>
      </c>
      <c r="BW26" s="2">
        <f t="shared" si="45"/>
        <v>13697.982461928803</v>
      </c>
      <c r="BX26" s="2">
        <f t="shared" si="45"/>
        <v>14108.921935786668</v>
      </c>
      <c r="BY26" s="2">
        <f t="shared" si="45"/>
        <v>14532.189593860268</v>
      </c>
    </row>
    <row r="27" spans="2:139" x14ac:dyDescent="0.25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6">SUM(J24:J26)</f>
        <v>13697</v>
      </c>
      <c r="K27" s="4">
        <f>SUM(K24:K26)</f>
        <v>12764</v>
      </c>
      <c r="L27" s="4">
        <f t="shared" ref="L27" si="47">SUM(L24:L26)</f>
        <v>14626</v>
      </c>
      <c r="M27" s="4">
        <f>SUM(M24:M26)</f>
        <v>15300</v>
      </c>
      <c r="N27" s="4">
        <f t="shared" ref="N27" si="48">SUM(N24:N26)</f>
        <v>17324</v>
      </c>
      <c r="O27" s="4">
        <f t="shared" ref="O27" si="49">SUM(O24:O26)</f>
        <v>15605</v>
      </c>
      <c r="P27" s="4">
        <f t="shared" ref="P27" si="50">SUM(P24:P26)</f>
        <v>16313</v>
      </c>
      <c r="Q27" s="4">
        <f>SUM(Q24:Q26)</f>
        <v>18078</v>
      </c>
      <c r="R27" s="4">
        <f t="shared" ref="R27" si="51">SUM(R24:R26)</f>
        <v>21420</v>
      </c>
      <c r="S27" s="4">
        <f>SUM(S24:S26)</f>
        <v>20682</v>
      </c>
      <c r="T27" s="4">
        <f t="shared" ref="T27:W27" si="52">SUM(T24:T26)</f>
        <v>23553</v>
      </c>
      <c r="U27" s="4">
        <f t="shared" si="52"/>
        <v>24543</v>
      </c>
      <c r="V27" s="4">
        <f t="shared" si="52"/>
        <v>28648</v>
      </c>
      <c r="W27" s="4">
        <f t="shared" si="52"/>
        <v>25756</v>
      </c>
      <c r="X27" s="4">
        <f t="shared" ref="X27:AL27" si="53">SUM(X24:X26)</f>
        <v>31061</v>
      </c>
      <c r="Y27" s="4">
        <f>SUM(Y24:Y26)</f>
        <v>33560</v>
      </c>
      <c r="Z27" s="4">
        <f t="shared" si="53"/>
        <v>36965</v>
      </c>
      <c r="AA27" s="4">
        <f t="shared" si="53"/>
        <v>33665</v>
      </c>
      <c r="AB27" s="4">
        <f t="shared" si="53"/>
        <v>35878</v>
      </c>
      <c r="AC27" s="4">
        <f t="shared" si="53"/>
        <v>34315</v>
      </c>
      <c r="AD27" s="4">
        <f>SUM(AD24:AD26)</f>
        <v>37950</v>
      </c>
      <c r="AE27" s="4">
        <f t="shared" si="53"/>
        <v>32828</v>
      </c>
      <c r="AF27" s="4">
        <f t="shared" si="53"/>
        <v>35954</v>
      </c>
      <c r="AG27" s="4">
        <f t="shared" si="53"/>
        <v>35829</v>
      </c>
      <c r="AH27" s="4">
        <f t="shared" si="53"/>
        <v>40062.490000000005</v>
      </c>
      <c r="AI27" s="4">
        <f t="shared" si="53"/>
        <v>37195.714500000002</v>
      </c>
      <c r="AJ27" s="4">
        <f t="shared" si="53"/>
        <v>38715.756645000001</v>
      </c>
      <c r="AK27" s="4">
        <f t="shared" si="53"/>
        <v>38894.420411450003</v>
      </c>
      <c r="AL27" s="4">
        <f t="shared" si="53"/>
        <v>41875.630115564505</v>
      </c>
      <c r="AM27" s="4"/>
      <c r="AN27" s="4"/>
      <c r="AV27" s="2">
        <f>AV26+AV25+AV24</f>
        <v>469.30999999999995</v>
      </c>
      <c r="AW27" s="2">
        <f>AW26+AW25+AW24</f>
        <v>420.04899999999998</v>
      </c>
      <c r="AX27" s="2">
        <f>AX26+AX25+AX24</f>
        <v>418.89800000000002</v>
      </c>
      <c r="BI27" s="4">
        <f t="shared" ref="BI27:BK27" si="54">SUM(BI24:BI26)</f>
        <v>15159</v>
      </c>
      <c r="BJ27" s="4">
        <f t="shared" si="54"/>
        <v>19541</v>
      </c>
      <c r="BK27" s="4">
        <f t="shared" si="54"/>
        <v>25750</v>
      </c>
      <c r="BL27" s="4">
        <f t="shared" ref="BL27" si="55">SUM(BL24:BL26)</f>
        <v>36363</v>
      </c>
      <c r="BM27" s="4">
        <f t="shared" ref="BM27:BN27" si="56">SUM(BM24:BM26)</f>
        <v>46987</v>
      </c>
      <c r="BN27" s="4">
        <f t="shared" si="56"/>
        <v>60014</v>
      </c>
      <c r="BO27" s="4">
        <f t="shared" ref="BO27:BP27" si="57">SUM(BO24:BO26)</f>
        <v>71416</v>
      </c>
      <c r="BP27" s="4">
        <f t="shared" si="57"/>
        <v>97426</v>
      </c>
      <c r="BQ27" s="4">
        <f t="shared" ref="BQ27:BR27" si="58">SUM(BQ24:BQ26)</f>
        <v>127342</v>
      </c>
      <c r="BR27" s="4">
        <f t="shared" si="58"/>
        <v>141808</v>
      </c>
      <c r="BS27" s="4">
        <f>SUM(BS24:BS26)</f>
        <v>146062.24000000002</v>
      </c>
      <c r="BT27" s="4">
        <f t="shared" ref="BT27:BY27" si="59">SUM(BT24:BT26)</f>
        <v>156617.4534</v>
      </c>
      <c r="BU27" s="4">
        <f t="shared" si="59"/>
        <v>161315.977002</v>
      </c>
      <c r="BV27" s="4">
        <f t="shared" si="59"/>
        <v>166155.45631206001</v>
      </c>
      <c r="BW27" s="4">
        <f t="shared" si="59"/>
        <v>171140.12000142183</v>
      </c>
      <c r="BX27" s="4">
        <f t="shared" si="59"/>
        <v>176274.32360146448</v>
      </c>
      <c r="BY27" s="4">
        <f t="shared" si="59"/>
        <v>181562.55330950842</v>
      </c>
    </row>
    <row r="28" spans="2:139" x14ac:dyDescent="0.25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0">J23-J27</f>
        <v>3872</v>
      </c>
      <c r="K28" s="4">
        <f>K23-K27</f>
        <v>4415</v>
      </c>
      <c r="L28" s="4">
        <f t="shared" ref="L28" si="61">L23-L27</f>
        <v>3170</v>
      </c>
      <c r="M28" s="4">
        <f>M23-M27</f>
        <v>3212</v>
      </c>
      <c r="N28" s="4">
        <f t="shared" ref="N28" si="62">N23-N27</f>
        <v>3944</v>
      </c>
      <c r="O28" s="4">
        <f t="shared" ref="O28" si="63">O23-O27</f>
        <v>4059</v>
      </c>
      <c r="P28" s="4">
        <f t="shared" ref="P28" si="64">P23-P27</f>
        <v>6133</v>
      </c>
      <c r="Q28" s="4">
        <f>Q23-Q27</f>
        <v>6256</v>
      </c>
      <c r="R28" s="4">
        <f t="shared" ref="R28" si="65">R23-R27</f>
        <v>6377</v>
      </c>
      <c r="S28" s="4">
        <f>S23-S27</f>
        <v>8903</v>
      </c>
      <c r="T28" s="4">
        <f t="shared" ref="T28:W28" si="66">T23-T27</f>
        <v>7713</v>
      </c>
      <c r="U28" s="4">
        <f t="shared" si="66"/>
        <v>4841</v>
      </c>
      <c r="V28" s="4">
        <f t="shared" si="66"/>
        <v>3484</v>
      </c>
      <c r="W28" s="4">
        <f t="shared" si="66"/>
        <v>3918</v>
      </c>
      <c r="X28" s="4">
        <f t="shared" ref="X28:AE28" si="67">X23-X27</f>
        <v>3407</v>
      </c>
      <c r="Y28" s="4">
        <f>Y23-Y27</f>
        <v>2690</v>
      </c>
      <c r="Z28" s="4">
        <f t="shared" si="67"/>
        <v>3496</v>
      </c>
      <c r="AA28" s="4">
        <f>AA23-AA27</f>
        <v>4997</v>
      </c>
      <c r="AB28" s="4">
        <f t="shared" si="67"/>
        <v>7827</v>
      </c>
      <c r="AC28" s="4">
        <f>AC23-AC27</f>
        <v>11432</v>
      </c>
      <c r="AD28" s="4">
        <f>AD23-AD27</f>
        <v>13363</v>
      </c>
      <c r="AE28" s="4">
        <f t="shared" si="67"/>
        <v>15535</v>
      </c>
      <c r="AF28" s="4">
        <f t="shared" ref="AF28:AL28" si="68">AF23-AF27</f>
        <v>14673</v>
      </c>
      <c r="AG28" s="4">
        <f t="shared" si="68"/>
        <v>17411</v>
      </c>
      <c r="AH28" s="4">
        <f t="shared" si="68"/>
        <v>21913.788649999995</v>
      </c>
      <c r="AI28" s="4">
        <f t="shared" si="68"/>
        <v>14826.904500000004</v>
      </c>
      <c r="AJ28" s="4">
        <f t="shared" si="68"/>
        <v>15000.257355000009</v>
      </c>
      <c r="AK28" s="4">
        <f t="shared" si="68"/>
        <v>18777.930588550007</v>
      </c>
      <c r="AL28" s="4">
        <f t="shared" si="68"/>
        <v>26298.276399435505</v>
      </c>
      <c r="AM28" s="4"/>
      <c r="AN28" s="4"/>
      <c r="AV28" s="2">
        <f>AV23-AV27</f>
        <v>-469.30999999999995</v>
      </c>
      <c r="AW28" s="2">
        <f>AW23-AW27</f>
        <v>180.10199999999998</v>
      </c>
      <c r="AX28" s="2">
        <f>AX23-AX27</f>
        <v>361.23799999999972</v>
      </c>
      <c r="BI28" s="4">
        <f t="shared" ref="BI28:BK28" si="69">BI23-BI27</f>
        <v>311</v>
      </c>
      <c r="BJ28" s="4">
        <f t="shared" si="69"/>
        <v>2404</v>
      </c>
      <c r="BK28" s="4">
        <f t="shared" si="69"/>
        <v>4353</v>
      </c>
      <c r="BL28" s="4">
        <f t="shared" ref="BL28" si="70">BL23-BL27</f>
        <v>4320</v>
      </c>
      <c r="BM28" s="4">
        <f t="shared" ref="BM28:BN28" si="71">BM23-BM27</f>
        <v>12717</v>
      </c>
      <c r="BN28" s="4">
        <f t="shared" si="71"/>
        <v>14741</v>
      </c>
      <c r="BO28" s="4">
        <f t="shared" ref="BO28:BP28" si="72">BO23-BO27</f>
        <v>22825</v>
      </c>
      <c r="BP28" s="4">
        <f t="shared" si="72"/>
        <v>24941</v>
      </c>
      <c r="BQ28" s="4">
        <f t="shared" ref="BQ28:BR28" si="73">BQ23-BQ27</f>
        <v>13511</v>
      </c>
      <c r="BR28" s="4">
        <f t="shared" si="73"/>
        <v>37619</v>
      </c>
      <c r="BS28" s="4">
        <f>BS23-BS27</f>
        <v>67506.312499999971</v>
      </c>
      <c r="BT28" s="4">
        <f t="shared" ref="BT28:BY28" si="74">BT23-BT27</f>
        <v>80355.855725000089</v>
      </c>
      <c r="BU28" s="4">
        <f t="shared" si="74"/>
        <v>97670.476229250111</v>
      </c>
      <c r="BV28" s="4">
        <f t="shared" si="74"/>
        <v>111976.41787075269</v>
      </c>
      <c r="BW28" s="4">
        <f t="shared" si="74"/>
        <v>138082.49871753156</v>
      </c>
      <c r="BX28" s="4">
        <f t="shared" si="74"/>
        <v>164784.68405306168</v>
      </c>
      <c r="BY28" s="4">
        <f t="shared" si="74"/>
        <v>191529.41903524165</v>
      </c>
    </row>
    <row r="29" spans="2:139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1256-603-27</f>
        <v>626</v>
      </c>
      <c r="AH29" s="2">
        <f>AG29*1.01</f>
        <v>632.26</v>
      </c>
      <c r="AI29" s="2">
        <f>AH29*1.01</f>
        <v>638.58259999999996</v>
      </c>
      <c r="AJ29" s="2">
        <f>AI29*1.01</f>
        <v>644.96842599999991</v>
      </c>
      <c r="AK29" s="2">
        <f>AJ29*1.01</f>
        <v>651.41811025999993</v>
      </c>
      <c r="AL29" s="2">
        <f>AK29*1.01</f>
        <v>657.93229136259993</v>
      </c>
      <c r="AV29" s="2">
        <f>29.103-139.232</f>
        <v>-110.12899999999999</v>
      </c>
      <c r="AW29" s="2">
        <f>23.687-142.925</f>
        <v>-119.23800000000001</v>
      </c>
      <c r="AX29" s="2">
        <f>21.955-129.979</f>
        <v>-108.02400000000002</v>
      </c>
      <c r="BI29" s="2">
        <f>-133+39-210-118</f>
        <v>-422</v>
      </c>
      <c r="BJ29" s="2">
        <f>-171+50-459-256</f>
        <v>-836</v>
      </c>
      <c r="BK29" s="2">
        <f>-167+100-484+90</f>
        <v>-461</v>
      </c>
      <c r="BL29" s="2">
        <f>-214+202-848+346</f>
        <v>-514</v>
      </c>
      <c r="BM29" s="2">
        <f>-296+440-1417-183</f>
        <v>-1456</v>
      </c>
      <c r="BN29" s="2">
        <f t="shared" ref="BN29" si="75">SUM(K29:N29)</f>
        <v>-766</v>
      </c>
      <c r="BO29" s="2">
        <f t="shared" ref="BO29" si="76">SUM(O29:R29)</f>
        <v>1353</v>
      </c>
      <c r="BP29" s="2">
        <f t="shared" ref="BP29" si="77">SUM(S29:V29)</f>
        <v>13210</v>
      </c>
      <c r="BQ29" s="2">
        <f>SUM(W29:Z29)</f>
        <v>-9603</v>
      </c>
      <c r="BR29" s="2">
        <f>SUM(AA29:AD29)</f>
        <v>-62</v>
      </c>
      <c r="BS29" s="2">
        <f>+BR49*$CB$48</f>
        <v>284.66000000000003</v>
      </c>
      <c r="BT29" s="2">
        <f t="shared" ref="BT29:BY29" si="78">+BS49*$CB$48</f>
        <v>867.66236349999974</v>
      </c>
      <c r="BU29" s="2">
        <f t="shared" si="78"/>
        <v>1574.3069708699506</v>
      </c>
      <c r="BV29" s="2">
        <f t="shared" si="78"/>
        <v>2437.736584710995</v>
      </c>
      <c r="BW29" s="2">
        <f t="shared" si="78"/>
        <v>3433.139728473529</v>
      </c>
      <c r="BX29" s="2">
        <f t="shared" si="78"/>
        <v>4664.3257829537733</v>
      </c>
      <c r="BY29" s="2">
        <f t="shared" si="78"/>
        <v>6138.5321685271083</v>
      </c>
    </row>
    <row r="30" spans="2:139" s="2" customFormat="1" x14ac:dyDescent="0.25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9">J28+J29</f>
        <v>3350</v>
      </c>
      <c r="K30" s="4">
        <f>K28+K29</f>
        <v>4401</v>
      </c>
      <c r="L30" s="4">
        <f t="shared" ref="L30" si="80">L28+L29</f>
        <v>2889</v>
      </c>
      <c r="M30" s="4">
        <f>M28+M29</f>
        <v>2632</v>
      </c>
      <c r="N30" s="4">
        <f t="shared" ref="N30" si="81">N28+N29</f>
        <v>4053</v>
      </c>
      <c r="O30" s="4">
        <f t="shared" ref="O30" si="82">O28+O29</f>
        <v>3383</v>
      </c>
      <c r="P30" s="4">
        <f t="shared" ref="P30" si="83">P28+P29</f>
        <v>6221</v>
      </c>
      <c r="Q30" s="4">
        <f>Q28+Q29</f>
        <v>6809</v>
      </c>
      <c r="R30" s="4">
        <f t="shared" ref="R30" si="84">R28+R29</f>
        <v>7765</v>
      </c>
      <c r="S30" s="4">
        <f>S28+S29</f>
        <v>10268</v>
      </c>
      <c r="T30" s="4">
        <f t="shared" ref="T30:AL30" si="85">T28+T29</f>
        <v>8634</v>
      </c>
      <c r="U30" s="4">
        <f t="shared" si="85"/>
        <v>4315</v>
      </c>
      <c r="V30" s="4">
        <f t="shared" si="85"/>
        <v>14934</v>
      </c>
      <c r="W30" s="4">
        <f t="shared" si="85"/>
        <v>-5265</v>
      </c>
      <c r="X30" s="4">
        <f t="shared" si="85"/>
        <v>2982</v>
      </c>
      <c r="Y30" s="4">
        <f t="shared" si="85"/>
        <v>2944</v>
      </c>
      <c r="Z30" s="4">
        <f t="shared" si="85"/>
        <v>3247</v>
      </c>
      <c r="AA30" s="4">
        <f t="shared" si="85"/>
        <v>4119</v>
      </c>
      <c r="AB30" s="4">
        <f t="shared" si="85"/>
        <v>7563</v>
      </c>
      <c r="AC30" s="4">
        <f>AC28+AC29</f>
        <v>12189</v>
      </c>
      <c r="AD30" s="4">
        <f t="shared" si="85"/>
        <v>13686</v>
      </c>
      <c r="AE30" s="4">
        <f t="shared" si="85"/>
        <v>12983</v>
      </c>
      <c r="AF30" s="4">
        <f t="shared" si="85"/>
        <v>15246</v>
      </c>
      <c r="AG30" s="4">
        <f t="shared" si="85"/>
        <v>18037</v>
      </c>
      <c r="AH30" s="4">
        <f t="shared" si="85"/>
        <v>22546.048649999993</v>
      </c>
      <c r="AI30" s="4">
        <f t="shared" si="85"/>
        <v>15465.487100000004</v>
      </c>
      <c r="AJ30" s="4">
        <f t="shared" si="85"/>
        <v>15645.225781000008</v>
      </c>
      <c r="AK30" s="4">
        <f t="shared" si="85"/>
        <v>19429.348698810009</v>
      </c>
      <c r="AL30" s="4">
        <f t="shared" si="85"/>
        <v>26956.208690798103</v>
      </c>
      <c r="AM30" s="4"/>
      <c r="AN30" s="4"/>
      <c r="AV30" s="2">
        <f>AV28+AV29</f>
        <v>-579.43899999999996</v>
      </c>
      <c r="AW30" s="2">
        <f>AW28+AW29</f>
        <v>60.863999999999962</v>
      </c>
      <c r="AX30" s="2">
        <f>AX28+AX29</f>
        <v>253.21399999999971</v>
      </c>
      <c r="BI30" s="4">
        <f t="shared" ref="BI30:BK30" si="86">BI28+BI29</f>
        <v>-111</v>
      </c>
      <c r="BJ30" s="4">
        <f t="shared" si="86"/>
        <v>1568</v>
      </c>
      <c r="BK30" s="4">
        <f t="shared" si="86"/>
        <v>3892</v>
      </c>
      <c r="BL30" s="4">
        <f t="shared" ref="BL30" si="87">BL28+BL29</f>
        <v>3806</v>
      </c>
      <c r="BM30" s="4">
        <f t="shared" ref="BM30:BN30" si="88">BM28+BM29</f>
        <v>11261</v>
      </c>
      <c r="BN30" s="4">
        <f t="shared" si="88"/>
        <v>13975</v>
      </c>
      <c r="BO30" s="4">
        <f t="shared" ref="BO30:BY30" si="89">BO28+BO29</f>
        <v>24178</v>
      </c>
      <c r="BP30" s="4">
        <f t="shared" si="89"/>
        <v>38151</v>
      </c>
      <c r="BQ30" s="4">
        <f t="shared" si="89"/>
        <v>3908</v>
      </c>
      <c r="BR30" s="4">
        <f t="shared" si="89"/>
        <v>37557</v>
      </c>
      <c r="BS30" s="4">
        <f>BS28+BS29</f>
        <v>67790.972499999974</v>
      </c>
      <c r="BT30" s="4">
        <f t="shared" si="89"/>
        <v>81223.518088500088</v>
      </c>
      <c r="BU30" s="4">
        <f t="shared" si="89"/>
        <v>99244.783200120059</v>
      </c>
      <c r="BV30" s="4">
        <f t="shared" si="89"/>
        <v>114414.15445546368</v>
      </c>
      <c r="BW30" s="4">
        <f t="shared" si="89"/>
        <v>141515.63844600509</v>
      </c>
      <c r="BX30" s="4">
        <f t="shared" si="89"/>
        <v>169449.00983601544</v>
      </c>
      <c r="BY30" s="4">
        <f t="shared" si="89"/>
        <v>197667.95120376875</v>
      </c>
    </row>
    <row r="31" spans="2:139" s="2" customFormat="1" x14ac:dyDescent="0.25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f>AH30*AH46</f>
        <v>3156.4468109999993</v>
      </c>
      <c r="AI31" s="2">
        <f>AI30*AI46</f>
        <v>2165.1681940000008</v>
      </c>
      <c r="AJ31" s="2">
        <f>AJ30*AJ46</f>
        <v>2190.3316093400013</v>
      </c>
      <c r="AK31" s="2">
        <f>AK30*AK46</f>
        <v>2720.1088178334016</v>
      </c>
      <c r="AL31" s="2">
        <f>AL30*AL46</f>
        <v>3773.8692167117347</v>
      </c>
      <c r="AV31" s="2">
        <v>0</v>
      </c>
      <c r="AW31" s="2">
        <v>0</v>
      </c>
      <c r="AX31" s="2">
        <v>0</v>
      </c>
      <c r="BI31" s="2">
        <f>167-37</f>
        <v>130</v>
      </c>
      <c r="BJ31" s="2">
        <f>950+22</f>
        <v>972</v>
      </c>
      <c r="BK31" s="2">
        <f>1425+96</f>
        <v>1521</v>
      </c>
      <c r="BL31" s="2">
        <f>769+4</f>
        <v>773</v>
      </c>
      <c r="BM31" s="2">
        <f>1197-9</f>
        <v>1188</v>
      </c>
      <c r="BN31" s="2">
        <f t="shared" ref="BN31" si="90">SUM(K31:N31)</f>
        <v>2387</v>
      </c>
      <c r="BO31" s="2">
        <f t="shared" ref="BO31" si="91">SUM(O31:R31)</f>
        <v>2847</v>
      </c>
      <c r="BP31" s="2">
        <f t="shared" ref="BP31" si="92">SUM(S31:V31)</f>
        <v>4787</v>
      </c>
      <c r="BQ31" s="2">
        <f>SUM(W31:Z31)</f>
        <v>-1349</v>
      </c>
      <c r="BR31" s="2">
        <f>SUM(AA31:AD31)</f>
        <v>7132</v>
      </c>
      <c r="BS31" s="2">
        <f>+BS30*0.14</f>
        <v>9490.736149999997</v>
      </c>
      <c r="BT31" s="2">
        <f t="shared" ref="BT31:BY31" si="93">+BT30*0.13</f>
        <v>10559.057351505011</v>
      </c>
      <c r="BU31" s="2">
        <f t="shared" si="93"/>
        <v>12901.821816015608</v>
      </c>
      <c r="BV31" s="2">
        <f t="shared" si="93"/>
        <v>14873.840079210278</v>
      </c>
      <c r="BW31" s="2">
        <f t="shared" si="93"/>
        <v>18397.032997980663</v>
      </c>
      <c r="BX31" s="2">
        <f t="shared" si="93"/>
        <v>22028.371278682007</v>
      </c>
      <c r="BY31" s="2">
        <f t="shared" si="93"/>
        <v>25696.83365648994</v>
      </c>
    </row>
    <row r="32" spans="2:139" s="2" customFormat="1" x14ac:dyDescent="0.25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4">J30-J31</f>
        <v>3027</v>
      </c>
      <c r="K32" s="4">
        <f>K30-K31</f>
        <v>3561</v>
      </c>
      <c r="L32" s="4">
        <f t="shared" ref="L32" si="95">L30-L31</f>
        <v>2625</v>
      </c>
      <c r="M32" s="4">
        <f>M30-M31</f>
        <v>2134</v>
      </c>
      <c r="N32" s="4">
        <f t="shared" ref="N32" si="96">N30-N31</f>
        <v>3268</v>
      </c>
      <c r="O32" s="4">
        <f t="shared" ref="O32" si="97">O30-O31</f>
        <v>2535</v>
      </c>
      <c r="P32" s="4">
        <f t="shared" ref="P32" si="98">P30-P31</f>
        <v>5243</v>
      </c>
      <c r="Q32" s="4">
        <f>Q30-Q31</f>
        <v>6331</v>
      </c>
      <c r="R32" s="4">
        <f t="shared" ref="R32" si="99">R30-R31</f>
        <v>7222</v>
      </c>
      <c r="S32" s="4">
        <f>S30-S31</f>
        <v>8107</v>
      </c>
      <c r="T32" s="4">
        <f t="shared" ref="T32:AL32" si="100">T30-T31</f>
        <v>7778</v>
      </c>
      <c r="U32" s="4">
        <f t="shared" si="100"/>
        <v>3156</v>
      </c>
      <c r="V32" s="4">
        <f t="shared" si="100"/>
        <v>14323</v>
      </c>
      <c r="W32" s="4">
        <f t="shared" si="100"/>
        <v>-3844</v>
      </c>
      <c r="X32" s="4">
        <f t="shared" si="100"/>
        <v>2982</v>
      </c>
      <c r="Y32" s="4">
        <f t="shared" si="100"/>
        <v>2872</v>
      </c>
      <c r="Z32" s="4">
        <f t="shared" si="100"/>
        <v>3247</v>
      </c>
      <c r="AA32" s="4">
        <f t="shared" si="100"/>
        <v>3172</v>
      </c>
      <c r="AB32" s="4">
        <f t="shared" si="100"/>
        <v>6750</v>
      </c>
      <c r="AC32" s="4">
        <f t="shared" si="100"/>
        <v>9879</v>
      </c>
      <c r="AD32" s="4">
        <f t="shared" si="100"/>
        <v>10624</v>
      </c>
      <c r="AE32" s="4">
        <f t="shared" si="100"/>
        <v>10431</v>
      </c>
      <c r="AF32" s="4">
        <f t="shared" si="100"/>
        <v>13486</v>
      </c>
      <c r="AG32" s="4">
        <f t="shared" si="100"/>
        <v>15328</v>
      </c>
      <c r="AH32" s="4">
        <f t="shared" si="100"/>
        <v>19389.601838999995</v>
      </c>
      <c r="AI32" s="4">
        <f t="shared" si="100"/>
        <v>13300.318906000004</v>
      </c>
      <c r="AJ32" s="4">
        <f t="shared" si="100"/>
        <v>13454.894171660007</v>
      </c>
      <c r="AK32" s="4">
        <f t="shared" si="100"/>
        <v>16709.239880976605</v>
      </c>
      <c r="AL32" s="4">
        <f t="shared" si="100"/>
        <v>23182.33947408637</v>
      </c>
      <c r="AM32" s="4"/>
      <c r="AN32" s="4"/>
      <c r="AV32" s="2">
        <f>AV30-AV31</f>
        <v>-579.43899999999996</v>
      </c>
      <c r="AW32" s="2">
        <f>AW30-AW31</f>
        <v>60.863999999999962</v>
      </c>
      <c r="AX32" s="2">
        <f>AX30-AX31</f>
        <v>253.21399999999971</v>
      </c>
      <c r="BI32" s="4">
        <f t="shared" ref="BI32:BK32" si="101">BI30-BI31</f>
        <v>-241</v>
      </c>
      <c r="BJ32" s="4">
        <f t="shared" si="101"/>
        <v>596</v>
      </c>
      <c r="BK32" s="4">
        <f t="shared" si="101"/>
        <v>2371</v>
      </c>
      <c r="BL32" s="4">
        <f t="shared" ref="BL32" si="102">BL30-BL31</f>
        <v>3033</v>
      </c>
      <c r="BM32" s="4">
        <f t="shared" ref="BM32:BN32" si="103">BM30-BM31</f>
        <v>10073</v>
      </c>
      <c r="BN32" s="4">
        <f t="shared" si="103"/>
        <v>11588</v>
      </c>
      <c r="BO32" s="4">
        <f t="shared" ref="BO32:BR32" si="104">BO30-BO31</f>
        <v>21331</v>
      </c>
      <c r="BP32" s="4">
        <f t="shared" si="104"/>
        <v>33364</v>
      </c>
      <c r="BQ32" s="4">
        <f t="shared" si="104"/>
        <v>5257</v>
      </c>
      <c r="BR32" s="4">
        <f t="shared" si="104"/>
        <v>30425</v>
      </c>
      <c r="BS32" s="4">
        <f>BS30-BS31</f>
        <v>58300.236349999977</v>
      </c>
      <c r="BT32" s="4">
        <f t="shared" ref="BT32:BY32" si="105">BT30-BT31</f>
        <v>70664.460736995083</v>
      </c>
      <c r="BU32" s="4">
        <f t="shared" si="105"/>
        <v>86342.961384104448</v>
      </c>
      <c r="BV32" s="4">
        <f t="shared" si="105"/>
        <v>99540.314376253402</v>
      </c>
      <c r="BW32" s="4">
        <f t="shared" si="105"/>
        <v>123118.60544802443</v>
      </c>
      <c r="BX32" s="4">
        <f t="shared" si="105"/>
        <v>147420.63855733344</v>
      </c>
      <c r="BY32" s="4">
        <f t="shared" si="105"/>
        <v>171971.11754727882</v>
      </c>
      <c r="BZ32" s="2">
        <f t="shared" ref="BZ32:DE32" si="106">+BY32*(1+$CB$49)</f>
        <v>171111.26195954243</v>
      </c>
      <c r="CA32" s="2">
        <f t="shared" si="106"/>
        <v>170255.70564974472</v>
      </c>
      <c r="CB32" s="2">
        <f t="shared" si="106"/>
        <v>169404.427121496</v>
      </c>
      <c r="CC32" s="2">
        <f t="shared" si="106"/>
        <v>168557.40498588851</v>
      </c>
      <c r="CD32" s="2">
        <f t="shared" si="106"/>
        <v>167714.61796095906</v>
      </c>
      <c r="CE32" s="2">
        <f t="shared" si="106"/>
        <v>166876.04487115427</v>
      </c>
      <c r="CF32" s="2">
        <f t="shared" si="106"/>
        <v>166041.66464679851</v>
      </c>
      <c r="CG32" s="2">
        <f t="shared" si="106"/>
        <v>165211.45632356452</v>
      </c>
      <c r="CH32" s="2">
        <f t="shared" si="106"/>
        <v>164385.39904194669</v>
      </c>
      <c r="CI32" s="2">
        <f t="shared" si="106"/>
        <v>163563.47204673695</v>
      </c>
      <c r="CJ32" s="2">
        <f t="shared" si="106"/>
        <v>162745.65468650326</v>
      </c>
      <c r="CK32" s="2">
        <f t="shared" si="106"/>
        <v>161931.92641307073</v>
      </c>
      <c r="CL32" s="2">
        <f t="shared" si="106"/>
        <v>161122.26678100537</v>
      </c>
      <c r="CM32" s="2">
        <f t="shared" si="106"/>
        <v>160316.65544710035</v>
      </c>
      <c r="CN32" s="2">
        <f t="shared" si="106"/>
        <v>159515.07216986484</v>
      </c>
      <c r="CO32" s="2">
        <f t="shared" si="106"/>
        <v>158717.49680901552</v>
      </c>
      <c r="CP32" s="2">
        <f t="shared" si="106"/>
        <v>157923.90932497045</v>
      </c>
      <c r="CQ32" s="2">
        <f t="shared" si="106"/>
        <v>157134.28977834558</v>
      </c>
      <c r="CR32" s="2">
        <f t="shared" si="106"/>
        <v>156348.61832945386</v>
      </c>
      <c r="CS32" s="2">
        <f t="shared" si="106"/>
        <v>155566.87523780658</v>
      </c>
      <c r="CT32" s="2">
        <f t="shared" si="106"/>
        <v>154789.04086161754</v>
      </c>
      <c r="CU32" s="2">
        <f t="shared" si="106"/>
        <v>154015.09565730946</v>
      </c>
      <c r="CV32" s="2">
        <f t="shared" si="106"/>
        <v>153245.02017902292</v>
      </c>
      <c r="CW32" s="2">
        <f t="shared" si="106"/>
        <v>152478.79507812779</v>
      </c>
      <c r="CX32" s="2">
        <f t="shared" si="106"/>
        <v>151716.40110273715</v>
      </c>
      <c r="CY32" s="2">
        <f t="shared" si="106"/>
        <v>150957.81909722346</v>
      </c>
      <c r="CZ32" s="2">
        <f t="shared" si="106"/>
        <v>150203.03000173735</v>
      </c>
      <c r="DA32" s="2">
        <f t="shared" si="106"/>
        <v>149452.01485172866</v>
      </c>
      <c r="DB32" s="2">
        <f t="shared" si="106"/>
        <v>148704.75477747002</v>
      </c>
      <c r="DC32" s="2">
        <f t="shared" si="106"/>
        <v>147961.23100358268</v>
      </c>
      <c r="DD32" s="2">
        <f t="shared" si="106"/>
        <v>147221.42484856475</v>
      </c>
      <c r="DE32" s="2">
        <f t="shared" si="106"/>
        <v>146485.31772432194</v>
      </c>
      <c r="DF32" s="2">
        <f t="shared" ref="DF32:EI32" si="107">+DE32*(1+$CB$49)</f>
        <v>145752.89113570034</v>
      </c>
      <c r="DG32" s="2">
        <f t="shared" si="107"/>
        <v>145024.12668002184</v>
      </c>
      <c r="DH32" s="2">
        <f t="shared" si="107"/>
        <v>144299.00604662174</v>
      </c>
      <c r="DI32" s="2">
        <f t="shared" si="107"/>
        <v>143577.51101638863</v>
      </c>
      <c r="DJ32" s="2">
        <f t="shared" si="107"/>
        <v>142859.62346130668</v>
      </c>
      <c r="DK32" s="2">
        <f t="shared" si="107"/>
        <v>142145.32534400016</v>
      </c>
      <c r="DL32" s="2">
        <f t="shared" si="107"/>
        <v>141434.59871728017</v>
      </c>
      <c r="DM32" s="2">
        <f t="shared" si="107"/>
        <v>140727.42572369377</v>
      </c>
      <c r="DN32" s="2">
        <f t="shared" si="107"/>
        <v>140023.78859507531</v>
      </c>
      <c r="DO32" s="2">
        <f t="shared" si="107"/>
        <v>139323.66965209992</v>
      </c>
      <c r="DP32" s="2">
        <f t="shared" si="107"/>
        <v>138627.05130383943</v>
      </c>
      <c r="DQ32" s="2">
        <f t="shared" si="107"/>
        <v>137933.91604732024</v>
      </c>
      <c r="DR32" s="2">
        <f t="shared" si="107"/>
        <v>137244.24646708363</v>
      </c>
      <c r="DS32" s="2">
        <f t="shared" si="107"/>
        <v>136558.0252347482</v>
      </c>
      <c r="DT32" s="2">
        <f t="shared" si="107"/>
        <v>135875.23510857447</v>
      </c>
      <c r="DU32" s="2">
        <f t="shared" si="107"/>
        <v>135195.85893303159</v>
      </c>
      <c r="DV32" s="2">
        <f t="shared" si="107"/>
        <v>134519.87963836643</v>
      </c>
      <c r="DW32" s="2">
        <f t="shared" si="107"/>
        <v>133847.28024017459</v>
      </c>
      <c r="DX32" s="2">
        <f t="shared" si="107"/>
        <v>133178.04383897371</v>
      </c>
      <c r="DY32" s="2">
        <f t="shared" si="107"/>
        <v>132512.15361977884</v>
      </c>
      <c r="DZ32" s="2">
        <f t="shared" si="107"/>
        <v>131849.59285167995</v>
      </c>
      <c r="EA32" s="2">
        <f t="shared" si="107"/>
        <v>131190.34488742155</v>
      </c>
      <c r="EB32" s="2">
        <f t="shared" si="107"/>
        <v>130534.39316298444</v>
      </c>
      <c r="EC32" s="2">
        <f t="shared" si="107"/>
        <v>129881.72119716952</v>
      </c>
      <c r="ED32" s="2">
        <f t="shared" si="107"/>
        <v>129232.31259118367</v>
      </c>
      <c r="EE32" s="2">
        <f t="shared" si="107"/>
        <v>128586.15102822774</v>
      </c>
      <c r="EF32" s="2">
        <f t="shared" si="107"/>
        <v>127943.22027308661</v>
      </c>
      <c r="EG32" s="2">
        <f t="shared" si="107"/>
        <v>127303.50417172117</v>
      </c>
      <c r="EH32" s="2">
        <f t="shared" si="107"/>
        <v>126666.98665086257</v>
      </c>
      <c r="EI32" s="2">
        <f t="shared" si="107"/>
        <v>126033.65171760826</v>
      </c>
    </row>
    <row r="33" spans="2:80" x14ac:dyDescent="0.25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8">J32/J34</f>
        <v>6.0419161676646711</v>
      </c>
      <c r="K33" s="7">
        <f>K32/K34</f>
        <v>7.0936254980079685</v>
      </c>
      <c r="L33" s="7">
        <f t="shared" ref="L33" si="109">L32/L34</f>
        <v>5.2186878727634198</v>
      </c>
      <c r="M33" s="7">
        <f>M32/M34</f>
        <v>4.2341269841269842</v>
      </c>
      <c r="N33" s="7">
        <f t="shared" ref="N33" si="110">N32/N34</f>
        <v>6.4712871287128717</v>
      </c>
      <c r="O33" s="7">
        <f t="shared" ref="O33" si="111">O32/O34</f>
        <v>5.0098814229249014</v>
      </c>
      <c r="P33" s="7">
        <f t="shared" ref="P33" si="112">P32/P34</f>
        <v>10.300589390962672</v>
      </c>
      <c r="Q33" s="7">
        <f>Q32/Q34</f>
        <v>12.365234375</v>
      </c>
      <c r="R33" s="7">
        <f t="shared" ref="R33" si="113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G33" si="114">X32/X34</f>
        <v>0.29307125307125309</v>
      </c>
      <c r="Y33" s="7">
        <f t="shared" si="114"/>
        <v>0.27799825767108705</v>
      </c>
      <c r="Z33" s="7">
        <f t="shared" si="114"/>
        <v>0.31499805975941014</v>
      </c>
      <c r="AA33" s="7">
        <f t="shared" si="114"/>
        <v>0.3065622885860636</v>
      </c>
      <c r="AB33" s="7">
        <f t="shared" si="114"/>
        <v>0.64599483204134367</v>
      </c>
      <c r="AC33" s="7">
        <f t="shared" si="114"/>
        <v>0.93568857738207989</v>
      </c>
      <c r="AD33" s="7">
        <f t="shared" si="114"/>
        <v>1.0013195098963241</v>
      </c>
      <c r="AE33" s="7">
        <f t="shared" si="114"/>
        <v>0.97760074976569822</v>
      </c>
      <c r="AF33" s="7">
        <f t="shared" si="114"/>
        <v>1.2594322002241314</v>
      </c>
      <c r="AG33" s="7">
        <f t="shared" si="114"/>
        <v>1.4278528178854215</v>
      </c>
      <c r="AV33" s="1">
        <f>AV32/AV34</f>
        <v>-1.5909431620681416</v>
      </c>
      <c r="AW33" s="1">
        <f>AW32/AW34</f>
        <v>0.16086139500955421</v>
      </c>
      <c r="AX33" s="1">
        <f>AX32/AX34</f>
        <v>0.60382208741105259</v>
      </c>
      <c r="BI33" s="7">
        <f t="shared" ref="BI33" si="115">BI32/BI34</f>
        <v>-0.52164502164502169</v>
      </c>
      <c r="BJ33" s="7">
        <f t="shared" ref="BJ33" si="116">BJ32/BJ34</f>
        <v>1.249475890985325</v>
      </c>
      <c r="BK33" s="7">
        <f t="shared" ref="BK33" si="117">BK32/BK34</f>
        <v>4.8987603305785123</v>
      </c>
      <c r="BL33" s="7">
        <f t="shared" ref="BL33" si="118">BL32/BL34</f>
        <v>6.1521298174442194</v>
      </c>
      <c r="BM33" s="7">
        <f t="shared" ref="BM33:BN33" si="119">BM32/BM34</f>
        <v>20.146000000000001</v>
      </c>
      <c r="BN33" s="7">
        <f t="shared" si="119"/>
        <v>23.014895729890764</v>
      </c>
      <c r="BO33" s="7">
        <f>BO32/BO34</f>
        <v>41.825490196078434</v>
      </c>
      <c r="BP33" s="7">
        <f>BP32/BP34</f>
        <v>6.1676679914964412</v>
      </c>
      <c r="BQ33" s="7">
        <f t="shared" ref="BQ33:BR33" si="120">BQ32/BQ34</f>
        <v>0.51665847665847664</v>
      </c>
      <c r="BR33" s="7">
        <f t="shared" si="120"/>
        <v>2.9001048517777144</v>
      </c>
      <c r="BS33" s="7">
        <f t="shared" ref="BS33" si="121">BS32/BS34</f>
        <v>5.4308557382394014</v>
      </c>
      <c r="BT33" s="7">
        <f t="shared" ref="BT33" si="122">BT32/BT34</f>
        <v>6.5826232638095092</v>
      </c>
      <c r="BU33" s="7">
        <f t="shared" ref="BU33" si="123">BU32/BU34</f>
        <v>8.0431263515700469</v>
      </c>
      <c r="BV33" s="7">
        <f t="shared" ref="BV33" si="124">BV32/BV34</f>
        <v>9.2725025036100046</v>
      </c>
      <c r="BW33" s="7">
        <f t="shared" ref="BW33" si="125">BW32/BW34</f>
        <v>11.468896641641773</v>
      </c>
      <c r="BX33" s="7">
        <f t="shared" ref="BX33" si="126">BX32/BX34</f>
        <v>13.732709693277451</v>
      </c>
      <c r="BY33" s="7">
        <f t="shared" ref="BY33" si="127">BY32/BY34</f>
        <v>16.019666282932352</v>
      </c>
    </row>
    <row r="34" spans="2:80" x14ac:dyDescent="0.25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T34" s="2">
        <v>161.096869</v>
      </c>
      <c r="AV34" s="2">
        <v>364.21100000000001</v>
      </c>
      <c r="AW34" s="2">
        <v>378.363</v>
      </c>
      <c r="AX34" s="2">
        <v>419.35199999999998</v>
      </c>
      <c r="BI34" s="2">
        <v>462</v>
      </c>
      <c r="BJ34" s="2">
        <v>477</v>
      </c>
      <c r="BK34" s="2">
        <v>484</v>
      </c>
      <c r="BL34" s="4">
        <v>493</v>
      </c>
      <c r="BM34" s="4">
        <v>500</v>
      </c>
      <c r="BN34" s="4">
        <f>AVERAGE(K34:N34)</f>
        <v>503.5</v>
      </c>
      <c r="BO34" s="4">
        <f>AVERAGE(O34:R34)</f>
        <v>510</v>
      </c>
      <c r="BP34" s="4">
        <f>AVERAGE(S34:V34)</f>
        <v>5409.5</v>
      </c>
      <c r="BQ34" s="2">
        <f>X34</f>
        <v>10175</v>
      </c>
      <c r="BR34" s="2">
        <f>AVERAGE(AA34:AD34)</f>
        <v>10491</v>
      </c>
      <c r="BS34" s="4">
        <v>10735</v>
      </c>
      <c r="BT34" s="4">
        <v>10735</v>
      </c>
      <c r="BU34" s="4">
        <v>10735</v>
      </c>
      <c r="BV34" s="2">
        <f t="shared" ref="BV34:BY34" si="128">+BU34</f>
        <v>10735</v>
      </c>
      <c r="BW34" s="2">
        <f t="shared" si="128"/>
        <v>10735</v>
      </c>
      <c r="BX34" s="2">
        <f t="shared" si="128"/>
        <v>10735</v>
      </c>
      <c r="BY34" s="2">
        <f t="shared" si="128"/>
        <v>10735</v>
      </c>
    </row>
    <row r="36" spans="2:80" s="11" customFormat="1" x14ac:dyDescent="0.25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9">P20/L20-1</f>
        <v>0.40230900258658764</v>
      </c>
      <c r="Q36" s="10">
        <f t="shared" si="129"/>
        <v>0.37387290836084075</v>
      </c>
      <c r="R36" s="10">
        <f t="shared" si="129"/>
        <v>0.43594816839553041</v>
      </c>
      <c r="S36" s="10">
        <f t="shared" ref="S36" si="130">S20/O20-1</f>
        <v>0.43823888034777081</v>
      </c>
      <c r="T36" s="10">
        <f t="shared" ref="T36" si="131">T20/P20-1</f>
        <v>0.27181932697498645</v>
      </c>
      <c r="U36" s="10">
        <f t="shared" ref="U36" si="132">U20/Q20-1</f>
        <v>0.15255083467679031</v>
      </c>
      <c r="V36" s="10">
        <f t="shared" ref="V36" si="133">V20/R20-1</f>
        <v>9.4436701047349692E-2</v>
      </c>
      <c r="W36" s="10">
        <f>W20/S20-1</f>
        <v>7.3038574245747334E-2</v>
      </c>
      <c r="X36" s="10">
        <f t="shared" ref="X36:AE36" si="134">X20/T20-1</f>
        <v>7.2108241952600016E-2</v>
      </c>
      <c r="Y36" s="10">
        <f>Y20/U20-1</f>
        <v>0.14699671515720314</v>
      </c>
      <c r="Z36" s="10">
        <f t="shared" si="134"/>
        <v>8.5814921549791867E-2</v>
      </c>
      <c r="AA36" s="10">
        <f>AA20/W20-1</f>
        <v>9.3727456975026602E-2</v>
      </c>
      <c r="AB36" s="10">
        <f t="shared" si="134"/>
        <v>0.10845967302901816</v>
      </c>
      <c r="AC36" s="10">
        <f t="shared" si="134"/>
        <v>0.125742519728405</v>
      </c>
      <c r="AD36" s="10">
        <f t="shared" si="134"/>
        <v>0.13911825420230017</v>
      </c>
      <c r="AE36" s="10">
        <f t="shared" si="134"/>
        <v>0.12527677884388888</v>
      </c>
      <c r="AF36" s="10">
        <f t="shared" ref="AF36:AL36" si="135">AF20/AB20-1</f>
        <v>0.10116607011303502</v>
      </c>
      <c r="AG36" s="10">
        <f t="shared" si="135"/>
        <v>0.11038348371225104</v>
      </c>
      <c r="AH36" s="10">
        <f t="shared" si="135"/>
        <v>0.10499999999999998</v>
      </c>
      <c r="AI36" s="10">
        <f t="shared" si="135"/>
        <v>0.10000000000000009</v>
      </c>
      <c r="AJ36" s="10">
        <f t="shared" si="135"/>
        <v>0.10000000000000009</v>
      </c>
      <c r="AK36" s="10">
        <f t="shared" si="135"/>
        <v>0.10000000000000009</v>
      </c>
      <c r="AL36" s="10">
        <f t="shared" si="135"/>
        <v>0.10000000000000009</v>
      </c>
      <c r="AM36" s="10"/>
      <c r="AN36" s="10"/>
      <c r="AS36" s="15">
        <f t="shared" ref="AS36:AT36" si="136">AS20/AR20-1</f>
        <v>3.1263372285789677</v>
      </c>
      <c r="AT36" s="15">
        <f t="shared" si="136"/>
        <v>1.6890585567192891</v>
      </c>
      <c r="AU36" s="15">
        <f t="shared" ref="AU36" si="137">AU20/AT20-1</f>
        <v>0.68430132470321792</v>
      </c>
      <c r="AV36" s="15">
        <f t="shared" ref="AV36" si="138">AV20/AU20-1</f>
        <v>0.1305040617556299</v>
      </c>
      <c r="AW36" s="15">
        <f t="shared" ref="AW36" si="139">AW20/AV20-1</f>
        <v>0.25957418461821291</v>
      </c>
      <c r="AX36" s="15">
        <f t="shared" ref="AX36" si="140">AX20/AW20-1</f>
        <v>0.3383637567455966</v>
      </c>
      <c r="AY36" s="15">
        <f t="shared" ref="AY36" si="141">AY20/AX20-1</f>
        <v>0.31485481977597884</v>
      </c>
      <c r="AZ36" s="15">
        <f t="shared" ref="AZ36" si="142">AZ20/AY20-1</f>
        <v>0.22670134373645423</v>
      </c>
      <c r="BA36" s="15">
        <f t="shared" ref="BA36" si="143">BA20/AZ20-1</f>
        <v>0.26160188457008249</v>
      </c>
      <c r="BB36" s="15">
        <f t="shared" ref="BB36" si="144">BB20/BA20-1</f>
        <v>0.38502474092054895</v>
      </c>
      <c r="BC36" s="15">
        <f t="shared" ref="BC36" si="145">BC20/BB20-1</f>
        <v>0.29194472531176263</v>
      </c>
      <c r="BD36" s="15">
        <f t="shared" ref="BD36" si="146">BD20/BC20-1</f>
        <v>0.27877491391004905</v>
      </c>
      <c r="BE36" s="15">
        <f t="shared" ref="BE36" si="147">BE20/BD20-1</f>
        <v>0.39556897466236896</v>
      </c>
      <c r="BF36" s="15">
        <f t="shared" ref="BF36" si="148">BF20/BE20-1</f>
        <v>0.40559583674424049</v>
      </c>
      <c r="BG36" s="15">
        <f t="shared" ref="BG36" si="149">BG20/BF20-1</f>
        <v>0.27073236682821311</v>
      </c>
      <c r="BH36" s="15">
        <f t="shared" ref="BH36:BL36" si="150">BH20/BG20-1</f>
        <v>0.21866662301736706</v>
      </c>
      <c r="BI36" s="15">
        <f t="shared" si="150"/>
        <v>0.1952398861011122</v>
      </c>
      <c r="BJ36" s="15">
        <f t="shared" si="150"/>
        <v>0.20247673843664304</v>
      </c>
      <c r="BK36" s="15">
        <f t="shared" si="150"/>
        <v>0.27083528026465808</v>
      </c>
      <c r="BL36" s="15">
        <f t="shared" si="150"/>
        <v>0.30796326119408479</v>
      </c>
      <c r="BM36" s="15">
        <f t="shared" ref="BM36" si="151">BM20/BL20-1</f>
        <v>0.3093396152159491</v>
      </c>
      <c r="BN36" s="15">
        <f t="shared" ref="BN36" si="152">BN20/BM20-1</f>
        <v>0.20454125820676983</v>
      </c>
      <c r="BO36" s="15">
        <f t="shared" ref="BO36" si="153">BO20/BN20-1</f>
        <v>0.37623430604373276</v>
      </c>
      <c r="BP36" s="15">
        <f>BP20/BO20-1</f>
        <v>0.21695366571345676</v>
      </c>
      <c r="BQ36" s="15">
        <f t="shared" ref="BQ36:BY36" si="154">BQ20/BP20-1</f>
        <v>9.399517263985091E-2</v>
      </c>
      <c r="BR36" s="15">
        <f>BR20/BQ20-1</f>
        <v>0.1182957412988368</v>
      </c>
      <c r="BS36" s="15">
        <f t="shared" si="154"/>
        <v>0.10993659368285535</v>
      </c>
      <c r="BT36" s="15">
        <f t="shared" si="154"/>
        <v>0.10000000000000009</v>
      </c>
      <c r="BU36" s="15">
        <f t="shared" si="154"/>
        <v>0.10000000000000009</v>
      </c>
      <c r="BV36" s="15">
        <f t="shared" si="154"/>
        <v>0.10000000000000009</v>
      </c>
      <c r="BW36" s="15">
        <f t="shared" si="154"/>
        <v>0.10000000000000009</v>
      </c>
      <c r="BX36" s="15">
        <f t="shared" si="154"/>
        <v>0.10000000000000009</v>
      </c>
      <c r="BY36" s="15">
        <f t="shared" si="154"/>
        <v>0.10000000000000009</v>
      </c>
    </row>
    <row r="37" spans="2:80" s="11" customFormat="1" x14ac:dyDescent="0.25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M37" s="10"/>
      <c r="AN37" s="10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</row>
    <row r="38" spans="2:80" x14ac:dyDescent="0.25">
      <c r="B38" s="2" t="s">
        <v>100</v>
      </c>
      <c r="I38" s="8"/>
      <c r="K38" s="8"/>
      <c r="L38" s="8"/>
      <c r="M38" s="8"/>
      <c r="N38" s="8"/>
      <c r="O38" s="8">
        <f t="shared" ref="O38:R39" si="155">+O18/K18-1</f>
        <v>0.22045911968030807</v>
      </c>
      <c r="P38" s="8">
        <f t="shared" si="155"/>
        <v>0.40127175368139234</v>
      </c>
      <c r="Q38" s="8">
        <f t="shared" si="155"/>
        <v>0.32844988168957356</v>
      </c>
      <c r="R38" s="8">
        <f t="shared" si="155"/>
        <v>0.40588025800324479</v>
      </c>
      <c r="S38" s="8">
        <f t="shared" ref="S38:W38" si="156">+S18/O18-1</f>
        <v>0.37403503740350375</v>
      </c>
      <c r="T38" s="8">
        <f t="shared" si="156"/>
        <v>0.15444630204601539</v>
      </c>
      <c r="U38" s="8">
        <f t="shared" si="156"/>
        <v>3.9830219426232549E-2</v>
      </c>
      <c r="V38" s="8">
        <f t="shared" si="156"/>
        <v>5.0664264805224679E-3</v>
      </c>
      <c r="W38" s="8">
        <f t="shared" si="156"/>
        <v>-1.8020211859247515E-2</v>
      </c>
      <c r="X38" s="8">
        <f t="shared" ref="X38:AG38" si="157">+X18/T18-1</f>
        <v>-2.4636231984001111E-2</v>
      </c>
      <c r="Y38" s="8">
        <f t="shared" si="157"/>
        <v>8.1347036956046281E-2</v>
      </c>
      <c r="Z38" s="8">
        <f t="shared" si="157"/>
        <v>-1.2392181023860194E-2</v>
      </c>
      <c r="AA38" s="8">
        <f t="shared" si="157"/>
        <v>9.317155256398868E-3</v>
      </c>
      <c r="AB38" s="8">
        <f t="shared" si="157"/>
        <v>4.342907644719407E-2</v>
      </c>
      <c r="AC38" s="8">
        <f t="shared" si="157"/>
        <v>6.4560161779575242E-2</v>
      </c>
      <c r="AD38" s="8">
        <f t="shared" si="157"/>
        <v>8.7507620762501626E-2</v>
      </c>
      <c r="AE38" s="8">
        <f t="shared" si="157"/>
        <v>6.9040557378775347E-2</v>
      </c>
      <c r="AF38" s="8">
        <f t="shared" si="157"/>
        <v>4.2976690608483636E-2</v>
      </c>
      <c r="AG38" s="8">
        <f t="shared" si="157"/>
        <v>7.0127115290243847E-2</v>
      </c>
      <c r="AH38" s="8"/>
      <c r="AI38" s="8"/>
      <c r="AJ38" s="8"/>
      <c r="AK38" s="8"/>
      <c r="AL38" s="8"/>
      <c r="AM38" s="8"/>
      <c r="AN38" s="8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2:80" x14ac:dyDescent="0.25">
      <c r="B39" s="2" t="s">
        <v>101</v>
      </c>
      <c r="I39" s="8"/>
      <c r="K39" s="8"/>
      <c r="L39" s="8"/>
      <c r="M39" s="8"/>
      <c r="N39" s="8"/>
      <c r="O39" s="8">
        <f t="shared" si="155"/>
        <v>0.32238265727662596</v>
      </c>
      <c r="P39" s="8">
        <f t="shared" si="155"/>
        <v>0.40365906780891536</v>
      </c>
      <c r="Q39" s="8">
        <f t="shared" si="155"/>
        <v>0.43351512146752613</v>
      </c>
      <c r="R39" s="8">
        <f t="shared" si="155"/>
        <v>0.47713782355332701</v>
      </c>
      <c r="S39" s="8">
        <f t="shared" ref="S39" si="158">+S19/O19-1</f>
        <v>0.5181636964089138</v>
      </c>
      <c r="T39" s="8">
        <f t="shared" ref="T39" si="159">+T19/P19-1</f>
        <v>0.42433019551049966</v>
      </c>
      <c r="U39" s="8">
        <f t="shared" ref="U39" si="160">+U19/Q19-1</f>
        <v>0.28970971386410271</v>
      </c>
      <c r="V39" s="8">
        <f t="shared" ref="V39" si="161">+V19/R19-1</f>
        <v>0.21095799922934355</v>
      </c>
      <c r="W39" s="8">
        <f t="shared" ref="W39:AA39" si="162">+W19/S19-1</f>
        <v>0.17563250827993016</v>
      </c>
      <c r="X39" s="8">
        <f t="shared" si="162"/>
        <v>0.17399593289273008</v>
      </c>
      <c r="Y39" s="8">
        <f t="shared" si="162"/>
        <v>0.21140231693363853</v>
      </c>
      <c r="Z39" s="8">
        <f t="shared" si="162"/>
        <v>0.19208739923631746</v>
      </c>
      <c r="AA39" s="8">
        <f t="shared" si="162"/>
        <v>0.17316508026471511</v>
      </c>
      <c r="AB39" s="8">
        <f t="shared" ref="AB39:AG39" si="163">+AB19/X19-1</f>
        <v>0.16535981069920669</v>
      </c>
      <c r="AC39" s="8">
        <f t="shared" si="163"/>
        <v>0.179321438585617</v>
      </c>
      <c r="AD39" s="8">
        <f t="shared" si="163"/>
        <v>0.1853876170986235</v>
      </c>
      <c r="AE39" s="8">
        <f t="shared" si="163"/>
        <v>0.17080864486977276</v>
      </c>
      <c r="AF39" s="8">
        <f t="shared" si="163"/>
        <v>0.14675319504717921</v>
      </c>
      <c r="AG39" s="8">
        <f t="shared" si="163"/>
        <v>0.14220642706977671</v>
      </c>
      <c r="AH39" s="8"/>
      <c r="AI39" s="8"/>
      <c r="AJ39" s="8"/>
      <c r="AK39" s="8"/>
      <c r="AL39" s="8"/>
      <c r="AM39" s="8"/>
      <c r="AN39" s="8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2:80" x14ac:dyDescent="0.25">
      <c r="B40" s="2" t="s">
        <v>56</v>
      </c>
      <c r="N40" s="8">
        <f t="shared" ref="N40" si="164">+N11/J11-1</f>
        <v>0.14652704535181549</v>
      </c>
      <c r="O40" s="8">
        <f t="shared" ref="O40" si="165">+O11/K11-1</f>
        <v>0.24252491694352152</v>
      </c>
      <c r="P40" s="8">
        <f t="shared" ref="P40" si="166">+P11/L11-1</f>
        <v>0.47798924419540789</v>
      </c>
      <c r="Q40" s="8">
        <f t="shared" ref="Q40" si="167">+Q11/M11-1</f>
        <v>0.37989097862381915</v>
      </c>
      <c r="R40" s="8">
        <f t="shared" ref="R40:V40" si="168">+R11/N11-1</f>
        <v>0.45543947258908823</v>
      </c>
      <c r="S40" s="8">
        <f t="shared" si="168"/>
        <v>0.44333187820582776</v>
      </c>
      <c r="T40" s="8">
        <f t="shared" si="168"/>
        <v>0.15820550810528156</v>
      </c>
      <c r="U40" s="8">
        <f t="shared" si="168"/>
        <v>3.2926577042399208E-2</v>
      </c>
      <c r="V40" s="8">
        <f t="shared" si="168"/>
        <v>-5.6583046154309313E-3</v>
      </c>
      <c r="W40" s="8">
        <f>+W11/S11-1</f>
        <v>-3.3496531256497986E-2</v>
      </c>
      <c r="X40" s="8">
        <f t="shared" ref="X40:AD40" si="169">+X11/T11-1</f>
        <v>-4.3305679402524611E-2</v>
      </c>
      <c r="Y40" s="8">
        <f t="shared" si="169"/>
        <v>7.102238596772259E-2</v>
      </c>
      <c r="Z40" s="8">
        <f t="shared" si="169"/>
        <v>-2.3367385546727237E-2</v>
      </c>
      <c r="AA40" s="8">
        <f t="shared" si="169"/>
        <v>-6.4542627471686487E-4</v>
      </c>
      <c r="AB40" s="8">
        <f t="shared" si="169"/>
        <v>4.1510175990561393E-2</v>
      </c>
      <c r="AC40" s="8">
        <f t="shared" si="169"/>
        <v>7.0631344762474457E-2</v>
      </c>
      <c r="AD40" s="8">
        <f t="shared" si="169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>+AG11/AC11-1</f>
        <v>7.2362791834738927E-2</v>
      </c>
      <c r="AH40" s="8"/>
      <c r="AI40" s="8"/>
      <c r="AJ40" s="8"/>
      <c r="AK40" s="8"/>
      <c r="AL40" s="8"/>
      <c r="AM40" s="8"/>
      <c r="AN40" s="8"/>
      <c r="BM40" s="13"/>
      <c r="BN40" s="13">
        <f t="shared" ref="BN40" si="170">BN11/BM11-1</f>
        <v>0.14847097660728359</v>
      </c>
      <c r="BO40" s="13">
        <f t="shared" ref="BO40" si="171">BO11/BN11-1</f>
        <v>0.39719073679440986</v>
      </c>
      <c r="BP40" s="13">
        <f>BP11/BO11-1</f>
        <v>0.12529072860769497</v>
      </c>
      <c r="BQ40" s="13">
        <f t="shared" ref="BQ40:BY40" si="172">BQ11/BP11-1</f>
        <v>-9.3256782618484912E-3</v>
      </c>
      <c r="BR40" s="13">
        <f t="shared" si="172"/>
        <v>5.3944473736841081E-2</v>
      </c>
      <c r="BS40" s="13">
        <f t="shared" si="172"/>
        <v>5.0000000000000044E-2</v>
      </c>
      <c r="BT40" s="13">
        <f t="shared" si="172"/>
        <v>5.0000000000000044E-2</v>
      </c>
      <c r="BU40" s="13">
        <f t="shared" si="172"/>
        <v>5.0000000000000044E-2</v>
      </c>
      <c r="BV40" s="13">
        <f t="shared" si="172"/>
        <v>5.0000000000000044E-2</v>
      </c>
      <c r="BW40" s="13">
        <f t="shared" si="172"/>
        <v>5.0000000000000044E-2</v>
      </c>
      <c r="BX40" s="13">
        <f t="shared" si="172"/>
        <v>5.0000000000000044E-2</v>
      </c>
      <c r="BY40" s="13">
        <f t="shared" si="172"/>
        <v>5.0000000000000044E-2</v>
      </c>
    </row>
    <row r="41" spans="2:80" x14ac:dyDescent="0.25">
      <c r="B41" s="2" t="s">
        <v>57</v>
      </c>
      <c r="N41" s="8">
        <f t="shared" ref="N41:V41" si="173">+N13/J13-1</f>
        <v>0.30359411193304942</v>
      </c>
      <c r="O41" s="8">
        <f t="shared" si="173"/>
        <v>0.29961403823714217</v>
      </c>
      <c r="P41" s="8">
        <f t="shared" si="173"/>
        <v>0.52106671125229886</v>
      </c>
      <c r="Q41" s="8">
        <f t="shared" si="173"/>
        <v>0.54677565849227983</v>
      </c>
      <c r="R41" s="8">
        <f t="shared" si="173"/>
        <v>0.56637624670411557</v>
      </c>
      <c r="S41" s="8">
        <f t="shared" si="173"/>
        <v>0.63747496374058987</v>
      </c>
      <c r="T41" s="8">
        <f t="shared" si="173"/>
        <v>0.37867546029128873</v>
      </c>
      <c r="U41" s="8">
        <f t="shared" si="173"/>
        <v>0.18672930123311793</v>
      </c>
      <c r="V41" s="8">
        <f t="shared" si="173"/>
        <v>0.10952537783144867</v>
      </c>
      <c r="W41" s="8">
        <f>+W13/S13-1</f>
        <v>6.8581551309629285E-2</v>
      </c>
      <c r="X41" s="8">
        <f t="shared" ref="X41:AD41" si="174">+X13/T13-1</f>
        <v>9.1329479768786026E-2</v>
      </c>
      <c r="Y41" s="8">
        <f t="shared" si="174"/>
        <v>0.18200560778492503</v>
      </c>
      <c r="Z41" s="8">
        <f t="shared" si="174"/>
        <v>0.19851583113456472</v>
      </c>
      <c r="AA41" s="8">
        <f t="shared" si="174"/>
        <v>0.177027827116637</v>
      </c>
      <c r="AB41" s="8">
        <f t="shared" si="174"/>
        <v>0.18103448275862077</v>
      </c>
      <c r="AC41" s="8">
        <f t="shared" si="174"/>
        <v>0.19800460475825021</v>
      </c>
      <c r="AD41" s="8">
        <f t="shared" si="174"/>
        <v>0.19868460882247718</v>
      </c>
      <c r="AE41" s="8">
        <f t="shared" ref="AE41:AG43" si="175">+AE13/AA13-1</f>
        <v>0.16016096579476868</v>
      </c>
      <c r="AF41" s="8">
        <f t="shared" si="175"/>
        <v>0.11966472844240994</v>
      </c>
      <c r="AG41" s="8">
        <f t="shared" si="175"/>
        <v>0.10255663618892319</v>
      </c>
      <c r="AH41" s="8"/>
      <c r="AI41" s="8"/>
      <c r="AJ41" s="8"/>
      <c r="AK41" s="8"/>
      <c r="AL41" s="8"/>
      <c r="AM41" s="8"/>
      <c r="AN41" s="8"/>
      <c r="BM41" s="13"/>
      <c r="BN41" s="13">
        <f t="shared" ref="BN41" si="176">BN13/BM13-1</f>
        <v>0.25771435255585451</v>
      </c>
      <c r="BO41" s="13">
        <f t="shared" ref="BO41" si="177">BO13/BN13-1</f>
        <v>0.4961961273041795</v>
      </c>
      <c r="BP41" s="13">
        <f>BP13/BO13-1</f>
        <v>0.28505538495965776</v>
      </c>
      <c r="BQ41" s="13">
        <f t="shared" ref="BQ41:BY41" si="178">BQ13/BP13-1</f>
        <v>0.13882708047133496</v>
      </c>
      <c r="BR41" s="13">
        <f t="shared" si="178"/>
        <v>0.18975330456352579</v>
      </c>
      <c r="BS41" s="13">
        <f t="shared" si="178"/>
        <v>5.0000000000000044E-2</v>
      </c>
      <c r="BT41" s="13">
        <f t="shared" si="178"/>
        <v>5.0000000000000044E-2</v>
      </c>
      <c r="BU41" s="13">
        <f t="shared" si="178"/>
        <v>5.0000000000000044E-2</v>
      </c>
      <c r="BV41" s="13">
        <f t="shared" si="178"/>
        <v>5.0000000000000044E-2</v>
      </c>
      <c r="BW41" s="13">
        <f t="shared" si="178"/>
        <v>5.0000000000000044E-2</v>
      </c>
      <c r="BX41" s="13">
        <f t="shared" si="178"/>
        <v>5.0000000000000044E-2</v>
      </c>
      <c r="BY41" s="13">
        <f t="shared" si="178"/>
        <v>5.0000000000000044E-2</v>
      </c>
    </row>
    <row r="42" spans="2:80" x14ac:dyDescent="0.25">
      <c r="B42" s="2" t="s">
        <v>58</v>
      </c>
      <c r="N42" s="8">
        <f t="shared" ref="N42:V43" si="179">+N14/J14-1</f>
        <v>0.3223036120232381</v>
      </c>
      <c r="O42" s="8">
        <f t="shared" si="179"/>
        <v>0.27959465684016571</v>
      </c>
      <c r="P42" s="8">
        <f t="shared" si="179"/>
        <v>0.28699743370402042</v>
      </c>
      <c r="Q42" s="8">
        <f t="shared" si="179"/>
        <v>0.32580189630825096</v>
      </c>
      <c r="R42" s="8">
        <f t="shared" si="179"/>
        <v>0.34880611270296091</v>
      </c>
      <c r="S42" s="8">
        <f t="shared" si="179"/>
        <v>0.36429085673146155</v>
      </c>
      <c r="T42" s="8">
        <f t="shared" si="179"/>
        <v>0.31555333998005985</v>
      </c>
      <c r="U42" s="8">
        <f t="shared" si="179"/>
        <v>0.23980523432744971</v>
      </c>
      <c r="V42" s="8">
        <f t="shared" si="179"/>
        <v>0.15040362554878905</v>
      </c>
      <c r="W42" s="8">
        <f>+W14/S14-1</f>
        <v>0.10949868073878632</v>
      </c>
      <c r="X42" s="8">
        <f t="shared" ref="X42:AD43" si="180">+X14/T14-1</f>
        <v>0.10092206643930779</v>
      </c>
      <c r="Y42" s="8">
        <f t="shared" si="180"/>
        <v>9.2660775650466265E-2</v>
      </c>
      <c r="Z42" s="8">
        <f t="shared" si="180"/>
        <v>0.13123230333620572</v>
      </c>
      <c r="AA42" s="8">
        <f t="shared" si="180"/>
        <v>0.14827586206896548</v>
      </c>
      <c r="AB42" s="8">
        <f t="shared" si="180"/>
        <v>0.13515374024782001</v>
      </c>
      <c r="AC42" s="8">
        <f t="shared" si="180"/>
        <v>0.14231158036616876</v>
      </c>
      <c r="AD42" s="8">
        <f t="shared" si="180"/>
        <v>0.14136467515507678</v>
      </c>
      <c r="AE42" s="8">
        <f t="shared" si="175"/>
        <v>0.22439681060370709</v>
      </c>
      <c r="AF42" s="8">
        <f t="shared" si="175"/>
        <v>9.824135839902981E-2</v>
      </c>
      <c r="AG42" s="8">
        <f t="shared" si="175"/>
        <v>0.40914454277286127</v>
      </c>
      <c r="AH42" s="8"/>
      <c r="AI42" s="8"/>
      <c r="AJ42" s="8"/>
      <c r="AK42" s="8"/>
      <c r="AL42" s="8"/>
      <c r="AM42" s="8"/>
      <c r="AN42" s="8"/>
      <c r="BM42" s="13"/>
      <c r="BN42" s="13">
        <f t="shared" ref="BN42" si="181">BN14/BM14-1</f>
        <v>0.35596809486835612</v>
      </c>
      <c r="BO42" s="13">
        <f t="shared" ref="BO42" si="182">BO14/BN14-1</f>
        <v>0.31218115564810001</v>
      </c>
      <c r="BP42" s="13">
        <f>BP14/BO14-1</f>
        <v>0.26028484151227826</v>
      </c>
      <c r="BQ42" s="13">
        <f t="shared" ref="BQ42:BY42" si="183">BQ14/BP14-1</f>
        <v>0.10859984890455809</v>
      </c>
      <c r="BR42" s="13">
        <f t="shared" si="183"/>
        <v>0.14171730365154178</v>
      </c>
      <c r="BS42" s="13">
        <f t="shared" si="183"/>
        <v>0.10000000000000009</v>
      </c>
      <c r="BT42" s="13">
        <f t="shared" si="183"/>
        <v>0.10000000000000009</v>
      </c>
      <c r="BU42" s="13">
        <f t="shared" si="183"/>
        <v>0.10000000000000009</v>
      </c>
      <c r="BV42" s="13">
        <f t="shared" si="183"/>
        <v>0.10000000000000009</v>
      </c>
      <c r="BW42" s="13">
        <f t="shared" si="183"/>
        <v>5.0000000000000044E-2</v>
      </c>
      <c r="BX42" s="13">
        <f t="shared" si="183"/>
        <v>5.0000000000000044E-2</v>
      </c>
      <c r="BY42" s="13">
        <f t="shared" si="183"/>
        <v>5.0000000000000044E-2</v>
      </c>
    </row>
    <row r="43" spans="2:80" x14ac:dyDescent="0.25">
      <c r="B43" s="2" t="s">
        <v>59</v>
      </c>
      <c r="N43" s="8">
        <f t="shared" si="179"/>
        <v>0.41145218417945695</v>
      </c>
      <c r="O43" s="8">
        <f t="shared" si="179"/>
        <v>0.43814432989690721</v>
      </c>
      <c r="P43" s="8">
        <f t="shared" si="179"/>
        <v>0.40606262491672229</v>
      </c>
      <c r="Q43" s="8">
        <f t="shared" si="179"/>
        <v>0.50529838259899607</v>
      </c>
      <c r="R43" s="8">
        <f t="shared" si="179"/>
        <v>0.53701380175658731</v>
      </c>
      <c r="S43" s="8">
        <f t="shared" si="179"/>
        <v>0.63364055299539168</v>
      </c>
      <c r="T43" s="8">
        <f t="shared" si="179"/>
        <v>0.76522151149016815</v>
      </c>
      <c r="U43" s="8">
        <f t="shared" si="179"/>
        <v>0.41015190811411628</v>
      </c>
      <c r="V43" s="8">
        <f t="shared" si="179"/>
        <v>0.32190476190476192</v>
      </c>
      <c r="W43" s="8">
        <f t="shared" ref="W43" si="184">+W15/S15-1</f>
        <v>0.23444601159692846</v>
      </c>
      <c r="X43" s="8">
        <f t="shared" si="180"/>
        <v>0.17527848610924712</v>
      </c>
      <c r="Y43" s="8">
        <f t="shared" si="180"/>
        <v>0.25433526011560703</v>
      </c>
      <c r="Z43" s="8">
        <f t="shared" si="180"/>
        <v>0.18948126801152743</v>
      </c>
      <c r="AA43" s="8">
        <f t="shared" si="180"/>
        <v>0.20718547670432907</v>
      </c>
      <c r="AB43" s="8">
        <f t="shared" si="180"/>
        <v>0.21993833504624871</v>
      </c>
      <c r="AC43" s="8">
        <f t="shared" si="180"/>
        <v>0.26309174696271476</v>
      </c>
      <c r="AD43" s="8">
        <f t="shared" si="180"/>
        <v>0.26797611836981905</v>
      </c>
      <c r="AE43" s="8">
        <f t="shared" si="175"/>
        <v>0.12756336102639598</v>
      </c>
      <c r="AF43" s="8">
        <f t="shared" si="175"/>
        <v>0.19545071609098574</v>
      </c>
      <c r="AG43" s="8">
        <f t="shared" si="175"/>
        <v>-6.4842454394693161E-2</v>
      </c>
      <c r="AH43" s="8"/>
      <c r="AI43" s="8"/>
      <c r="AJ43" s="8"/>
      <c r="AK43" s="8"/>
      <c r="AL43" s="8"/>
      <c r="AM43" s="8"/>
      <c r="AN43" s="8"/>
      <c r="BM43" s="13"/>
      <c r="BN43" s="13">
        <f t="shared" ref="BN43" si="185">BN15/BM15-1</f>
        <v>0.39354966363276622</v>
      </c>
      <c r="BO43" s="13">
        <f t="shared" ref="BO43:BP43" si="186">BO15/BN15-1</f>
        <v>0.4819679114013915</v>
      </c>
      <c r="BP43" s="13">
        <f t="shared" si="186"/>
        <v>0.49269461077844312</v>
      </c>
      <c r="BQ43" s="13">
        <f t="shared" ref="BQ43:BY43" si="187">BQ15/BP15-1</f>
        <v>0.21113607188703476</v>
      </c>
      <c r="BR43" s="13">
        <f t="shared" si="187"/>
        <v>0.24290521741434601</v>
      </c>
      <c r="BS43" s="13">
        <f t="shared" si="187"/>
        <v>0.10000000000000009</v>
      </c>
      <c r="BT43" s="13">
        <f t="shared" si="187"/>
        <v>0.10000000000000009</v>
      </c>
      <c r="BU43" s="13">
        <f t="shared" si="187"/>
        <v>0.10000000000000009</v>
      </c>
      <c r="BV43" s="13">
        <f t="shared" si="187"/>
        <v>0.10000000000000009</v>
      </c>
      <c r="BW43" s="13">
        <f t="shared" si="187"/>
        <v>5.0000000000000044E-2</v>
      </c>
      <c r="BX43" s="13">
        <f t="shared" si="187"/>
        <v>5.0000000000000044E-2</v>
      </c>
      <c r="BY43" s="13">
        <f t="shared" si="187"/>
        <v>5.0000000000000044E-2</v>
      </c>
    </row>
    <row r="44" spans="2:80" x14ac:dyDescent="0.25">
      <c r="B44" s="2" t="s">
        <v>39</v>
      </c>
      <c r="N44" s="8">
        <f t="shared" ref="N44:O44" si="188">N9/J9-1</f>
        <v>0.33970390309555865</v>
      </c>
      <c r="O44" s="8">
        <f t="shared" si="188"/>
        <v>0.32783264033264037</v>
      </c>
      <c r="P44" s="8">
        <f t="shared" ref="P44" si="189">P9/L9-1</f>
        <v>0.28958358191146649</v>
      </c>
      <c r="Q44" s="8">
        <f t="shared" ref="Q44" si="190">Q9/M9-1</f>
        <v>0.28971650917176217</v>
      </c>
      <c r="R44" s="8">
        <f t="shared" ref="R44" si="191">R9/N9-1</f>
        <v>0.28008840667068524</v>
      </c>
      <c r="S44" s="8">
        <f t="shared" ref="S44" si="192">S9/O9-1</f>
        <v>0.32136216850963883</v>
      </c>
      <c r="T44" s="8">
        <f t="shared" ref="T44" si="193">T9/P9-1</f>
        <v>0.37018874907475952</v>
      </c>
      <c r="U44" s="8">
        <f t="shared" ref="U44" si="194">U9/Q9-1</f>
        <v>0.3886733902249806</v>
      </c>
      <c r="V44" s="8">
        <f t="shared" ref="V44:AA44" si="195">V9/R9-1</f>
        <v>0.39538533982106427</v>
      </c>
      <c r="W44" s="8">
        <f t="shared" si="195"/>
        <v>0.36569651188624741</v>
      </c>
      <c r="X44" s="8">
        <f t="shared" si="195"/>
        <v>0.33290566547369838</v>
      </c>
      <c r="Y44" s="8">
        <f t="shared" si="195"/>
        <v>0.27486033519553077</v>
      </c>
      <c r="Z44" s="8">
        <f t="shared" si="195"/>
        <v>0.20236220472440936</v>
      </c>
      <c r="AA44" s="8">
        <f t="shared" si="195"/>
        <v>0.157963234097934</v>
      </c>
      <c r="AB44" s="8">
        <f t="shared" ref="AB44:AD44" si="196">AB9/X9-1</f>
        <v>0.12163736764780375</v>
      </c>
      <c r="AC44" s="8">
        <f t="shared" si="196"/>
        <v>0.1227480767358069</v>
      </c>
      <c r="AD44" s="8">
        <f t="shared" si="196"/>
        <v>0.13219197305641317</v>
      </c>
      <c r="AE44" s="8">
        <f>AE9/AA9-1</f>
        <v>0.17247354125690739</v>
      </c>
      <c r="AF44" s="8">
        <f>AF9/AB9-1</f>
        <v>0.18703703703703711</v>
      </c>
      <c r="AG44" s="8">
        <f>AG9/AC9-1</f>
        <v>0.1905112971074201</v>
      </c>
      <c r="AH44" s="8"/>
      <c r="AI44" s="8"/>
      <c r="AJ44" s="8"/>
      <c r="AK44" s="8"/>
      <c r="AL44" s="8"/>
      <c r="AM44" s="8"/>
      <c r="AN44" s="8"/>
      <c r="BJ44" s="13">
        <f t="shared" ref="BJ44:BL44" si="197">BJ9/BI9-1</f>
        <v>0.69681309216192933</v>
      </c>
      <c r="BK44" s="13">
        <f t="shared" si="197"/>
        <v>0.55063451776649752</v>
      </c>
      <c r="BL44" s="13">
        <f t="shared" si="197"/>
        <v>0.42884033063262139</v>
      </c>
      <c r="BM44" s="13">
        <f t="shared" ref="BM44" si="198">BM9/BL9-1</f>
        <v>0.46944269431238905</v>
      </c>
      <c r="BN44" s="13">
        <f t="shared" ref="BN44" si="199">BN9/BM9-1</f>
        <v>0.36526992788930035</v>
      </c>
      <c r="BO44" s="13">
        <f t="shared" ref="BO44" si="200">BO9/BN9-1</f>
        <v>0.29532347399074976</v>
      </c>
      <c r="BP44" s="13">
        <f>BP9/BO9-1</f>
        <v>0.37099404893101173</v>
      </c>
      <c r="BQ44" s="13">
        <f t="shared" ref="BQ44:BY44" si="201">BQ9/BP9-1</f>
        <v>0.28767563743931057</v>
      </c>
      <c r="BR44" s="13">
        <f t="shared" si="201"/>
        <v>0.13310277666799841</v>
      </c>
      <c r="BS44" s="13">
        <f t="shared" si="201"/>
        <v>0.30000000000000004</v>
      </c>
      <c r="BT44" s="13">
        <f t="shared" si="201"/>
        <v>0.30000000000000004</v>
      </c>
      <c r="BU44" s="13">
        <f t="shared" si="201"/>
        <v>0.30000000000000004</v>
      </c>
      <c r="BV44" s="13">
        <f t="shared" si="201"/>
        <v>0.30000000000000004</v>
      </c>
      <c r="BW44" s="13">
        <f t="shared" si="201"/>
        <v>0.19999999999999996</v>
      </c>
      <c r="BX44" s="13">
        <f t="shared" si="201"/>
        <v>0.19999999999999996</v>
      </c>
      <c r="BY44" s="13">
        <f t="shared" si="201"/>
        <v>0.19999999999999996</v>
      </c>
    </row>
    <row r="45" spans="2:80" x14ac:dyDescent="0.25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2">J23/J20</f>
        <v>0.24272273876462705</v>
      </c>
      <c r="K45" s="16">
        <f t="shared" si="202"/>
        <v>0.28775544388609714</v>
      </c>
      <c r="L45" s="16">
        <f t="shared" si="202"/>
        <v>0.28067629802536115</v>
      </c>
      <c r="M45" s="16">
        <f t="shared" si="202"/>
        <v>0.26452894357039769</v>
      </c>
      <c r="N45" s="16">
        <f t="shared" si="202"/>
        <v>0.24323798849457323</v>
      </c>
      <c r="O45" s="16">
        <f t="shared" si="202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3">T23/T20</f>
        <v>0.27649451715599577</v>
      </c>
      <c r="U45" s="16">
        <f t="shared" si="203"/>
        <v>0.26516983720174708</v>
      </c>
      <c r="V45" s="16">
        <f>V23/V20</f>
        <v>0.23383692836142403</v>
      </c>
      <c r="W45" s="16">
        <f t="shared" si="203"/>
        <v>0.25483494211809971</v>
      </c>
      <c r="X45" s="16">
        <f t="shared" ref="X45:AD45" si="204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4"/>
        <v>0.32522714926739243</v>
      </c>
      <c r="AC45" s="16">
        <f t="shared" si="204"/>
        <v>0.3197235171194342</v>
      </c>
      <c r="AD45" s="16">
        <f t="shared" si="204"/>
        <v>0.30191043827701647</v>
      </c>
      <c r="AE45" s="17">
        <f>AE23/AE20</f>
        <v>0.33746415189131479</v>
      </c>
      <c r="AF45" s="17">
        <f>AF23/AF20</f>
        <v>0.3421251807701145</v>
      </c>
      <c r="AG45" s="17">
        <f>AG23/AG20</f>
        <v>0.33510199714244354</v>
      </c>
      <c r="AH45" s="16">
        <v>0.33</v>
      </c>
      <c r="AI45" s="16">
        <v>0.33</v>
      </c>
      <c r="AJ45" s="16">
        <v>0.33</v>
      </c>
      <c r="AK45" s="16">
        <v>0.33</v>
      </c>
      <c r="AL45" s="16">
        <v>0.33</v>
      </c>
      <c r="AM45" s="16"/>
      <c r="AN45" s="16"/>
      <c r="BI45" s="14">
        <f t="shared" ref="BI45:BK45" si="205">BI23/BI20</f>
        <v>0.17384366431428958</v>
      </c>
      <c r="BJ45" s="14">
        <f t="shared" si="205"/>
        <v>0.20508195802104554</v>
      </c>
      <c r="BK45" s="14">
        <f t="shared" si="205"/>
        <v>0.22136674829211617</v>
      </c>
      <c r="BL45" s="14">
        <f t="shared" ref="BL45" si="206">BL23/BL20</f>
        <v>0.22872836854710848</v>
      </c>
      <c r="BM45" s="14">
        <f t="shared" ref="BM45:BN45" si="207">BM23/BM20</f>
        <v>0.25636467471348767</v>
      </c>
      <c r="BN45" s="14">
        <f t="shared" si="207"/>
        <v>0.26648533804835273</v>
      </c>
      <c r="BO45" s="14">
        <f t="shared" ref="BO45" si="208">BO23/BO20</f>
        <v>0.24410719466202496</v>
      </c>
      <c r="BP45" s="14">
        <f>BP23/BP20</f>
        <v>0.26045395915900066</v>
      </c>
      <c r="BQ45" s="14">
        <f t="shared" ref="BQ45:BY45" si="209">BQ23/BQ20</f>
        <v>0.27404213758042584</v>
      </c>
      <c r="BR45" s="14">
        <f t="shared" si="209"/>
        <v>0.31216367859286515</v>
      </c>
      <c r="BS45" s="14">
        <f>BS23/BS20</f>
        <v>0.33476011489824975</v>
      </c>
      <c r="BT45" s="14">
        <f>BT23/BT20</f>
        <v>0.33767829946653988</v>
      </c>
      <c r="BU45" s="14">
        <f t="shared" si="209"/>
        <v>0.33549656800404504</v>
      </c>
      <c r="BV45" s="14">
        <f t="shared" si="209"/>
        <v>0.32754359464349547</v>
      </c>
      <c r="BW45" s="14">
        <f t="shared" si="209"/>
        <v>0.33105253456367228</v>
      </c>
      <c r="BX45" s="14">
        <f t="shared" si="209"/>
        <v>0.33194222627626835</v>
      </c>
      <c r="BY45" s="14">
        <f t="shared" si="209"/>
        <v>0.33010811279631164</v>
      </c>
      <c r="CA45" t="s">
        <v>77</v>
      </c>
      <c r="CB45" s="13">
        <v>0.06</v>
      </c>
    </row>
    <row r="46" spans="2:80" x14ac:dyDescent="0.25">
      <c r="B46" s="2" t="s">
        <v>151</v>
      </c>
      <c r="C46" s="16"/>
      <c r="D46" s="16"/>
      <c r="E46" s="16"/>
      <c r="F46" s="16"/>
      <c r="G46" s="16"/>
      <c r="H46" s="16"/>
      <c r="I46" s="16"/>
      <c r="J46" s="16">
        <f t="shared" ref="J46:V46" si="210">J31/J30</f>
        <v>9.6417910447761199E-2</v>
      </c>
      <c r="K46" s="16">
        <f t="shared" si="210"/>
        <v>0.19086571233810498</v>
      </c>
      <c r="L46" s="16">
        <f t="shared" si="210"/>
        <v>9.138110072689512E-2</v>
      </c>
      <c r="M46" s="16">
        <f t="shared" si="210"/>
        <v>0.18920972644376899</v>
      </c>
      <c r="N46" s="16">
        <f t="shared" si="210"/>
        <v>0.19368369109301753</v>
      </c>
      <c r="O46" s="16">
        <f t="shared" si="210"/>
        <v>0.25066509015666566</v>
      </c>
      <c r="P46" s="16">
        <f t="shared" si="210"/>
        <v>0.1572094518566147</v>
      </c>
      <c r="Q46" s="16">
        <f t="shared" si="210"/>
        <v>7.0201204288441774E-2</v>
      </c>
      <c r="R46" s="16">
        <f t="shared" si="210"/>
        <v>6.9929169349645853E-2</v>
      </c>
      <c r="S46" s="16">
        <f t="shared" si="210"/>
        <v>0.21045968056096612</v>
      </c>
      <c r="T46" s="16">
        <f t="shared" si="210"/>
        <v>9.9142923326384066E-2</v>
      </c>
      <c r="U46" s="16">
        <f t="shared" si="210"/>
        <v>0.26859791425260721</v>
      </c>
      <c r="V46" s="16">
        <f t="shared" si="210"/>
        <v>4.0913352082496315E-2</v>
      </c>
      <c r="W46" s="16">
        <f t="shared" ref="W46:AG46" si="211">W31/W30</f>
        <v>0.26989553656220322</v>
      </c>
      <c r="X46" s="16">
        <f t="shared" si="211"/>
        <v>0</v>
      </c>
      <c r="Y46" s="16">
        <f t="shared" si="211"/>
        <v>2.4456521739130436E-2</v>
      </c>
      <c r="Z46" s="16">
        <f t="shared" si="211"/>
        <v>0</v>
      </c>
      <c r="AA46" s="16">
        <f t="shared" si="211"/>
        <v>0.22991017237193492</v>
      </c>
      <c r="AB46" s="16">
        <f t="shared" si="211"/>
        <v>0.1074970249900833</v>
      </c>
      <c r="AC46" s="16">
        <f t="shared" si="211"/>
        <v>0.18951513659857247</v>
      </c>
      <c r="AD46" s="16">
        <f t="shared" si="211"/>
        <v>0.22373228116323249</v>
      </c>
      <c r="AE46" s="16">
        <f t="shared" si="211"/>
        <v>0.19656473850419778</v>
      </c>
      <c r="AF46" s="16">
        <f t="shared" si="211"/>
        <v>0.11544011544011544</v>
      </c>
      <c r="AG46" s="16">
        <f t="shared" si="211"/>
        <v>0.15019127349337472</v>
      </c>
      <c r="AH46" s="16">
        <v>0.14000000000000001</v>
      </c>
      <c r="AI46" s="16">
        <v>0.14000000000000001</v>
      </c>
      <c r="AJ46" s="16">
        <v>0.14000000000000001</v>
      </c>
      <c r="AK46" s="16">
        <v>0.14000000000000001</v>
      </c>
      <c r="AL46" s="16">
        <v>0.14000000000000001</v>
      </c>
      <c r="AM46" s="16"/>
      <c r="AN46" s="16"/>
      <c r="BI46" s="14"/>
      <c r="BJ46" s="14"/>
      <c r="BK46" s="14"/>
      <c r="BL46" s="16">
        <v>0.14000000000000001</v>
      </c>
      <c r="BM46" s="16">
        <v>0.14000000000000001</v>
      </c>
      <c r="BN46" s="16">
        <v>0.14000000000000001</v>
      </c>
      <c r="BO46" s="16">
        <v>0.14000000000000001</v>
      </c>
      <c r="BP46" s="16">
        <v>0.14000000000000001</v>
      </c>
      <c r="BQ46" s="16">
        <v>0.14000000000000001</v>
      </c>
      <c r="BR46" s="16">
        <v>0.14000000000000001</v>
      </c>
      <c r="BS46" s="16">
        <v>0.14000000000000001</v>
      </c>
      <c r="BT46" s="16">
        <v>0.14000000000000001</v>
      </c>
      <c r="BU46" s="16">
        <v>0.14000000000000001</v>
      </c>
      <c r="BV46" s="16">
        <v>0.14000000000000001</v>
      </c>
      <c r="BW46" s="16">
        <v>0.14000000000000001</v>
      </c>
      <c r="BX46" s="16">
        <v>0.14000000000000001</v>
      </c>
      <c r="BY46" s="16">
        <v>0.14000000000000001</v>
      </c>
      <c r="CB46" s="13"/>
    </row>
    <row r="47" spans="2:80" x14ac:dyDescent="0.25">
      <c r="B47" s="2" t="s">
        <v>152</v>
      </c>
      <c r="C47" s="16"/>
      <c r="D47" s="16"/>
      <c r="E47" s="16"/>
      <c r="F47" s="16"/>
      <c r="G47" s="16"/>
      <c r="H47" s="16"/>
      <c r="I47" s="16"/>
      <c r="J47" s="16">
        <f>J32/J20</f>
        <v>4.1819211693353411E-2</v>
      </c>
      <c r="K47" s="16">
        <f t="shared" ref="K47:AL47" si="212">K32/K20</f>
        <v>5.9648241206030149E-2</v>
      </c>
      <c r="L47" s="16">
        <f t="shared" si="212"/>
        <v>4.1401173427544007E-2</v>
      </c>
      <c r="M47" s="16">
        <f t="shared" si="212"/>
        <v>3.0493991226189964E-2</v>
      </c>
      <c r="N47" s="16">
        <f t="shared" si="212"/>
        <v>3.7375481775449755E-2</v>
      </c>
      <c r="O47" s="16">
        <f t="shared" si="212"/>
        <v>3.3597518952446587E-2</v>
      </c>
      <c r="P47" s="16">
        <f t="shared" si="212"/>
        <v>5.896841821126507E-2</v>
      </c>
      <c r="Q47" s="16">
        <f t="shared" si="212"/>
        <v>6.5848458058141351E-2</v>
      </c>
      <c r="R47" s="16">
        <f t="shared" si="212"/>
        <v>5.7520608498267692E-2</v>
      </c>
      <c r="S47" s="16">
        <f t="shared" si="212"/>
        <v>7.470650030409702E-2</v>
      </c>
      <c r="T47" s="16">
        <f t="shared" si="212"/>
        <v>6.8783162362928904E-2</v>
      </c>
      <c r="U47" s="16">
        <f t="shared" si="212"/>
        <v>2.8480669963541854E-2</v>
      </c>
      <c r="V47" s="16">
        <f t="shared" si="212"/>
        <v>0.1042339824760574</v>
      </c>
      <c r="W47" s="16">
        <f t="shared" si="212"/>
        <v>-3.3011576380062517E-2</v>
      </c>
      <c r="X47" s="16">
        <f t="shared" si="212"/>
        <v>2.4597060230628371E-2</v>
      </c>
      <c r="Y47" s="16">
        <f t="shared" si="212"/>
        <v>2.2596203019645794E-2</v>
      </c>
      <c r="Z47" s="16">
        <f t="shared" si="212"/>
        <v>2.1762151148762766E-2</v>
      </c>
      <c r="AA47" s="16">
        <f t="shared" si="212"/>
        <v>2.4906170008951147E-2</v>
      </c>
      <c r="AB47" s="16">
        <f t="shared" si="212"/>
        <v>5.0229567728060844E-2</v>
      </c>
      <c r="AC47" s="16">
        <f t="shared" si="212"/>
        <v>6.9043841686293975E-2</v>
      </c>
      <c r="AD47" s="16">
        <f t="shared" si="212"/>
        <v>6.2508457822676972E-2</v>
      </c>
      <c r="AE47" s="16">
        <f t="shared" si="212"/>
        <v>7.2784743882271671E-2</v>
      </c>
      <c r="AF47" s="16">
        <f t="shared" si="212"/>
        <v>9.1135168741299385E-2</v>
      </c>
      <c r="AG47" s="16">
        <f t="shared" si="212"/>
        <v>9.6477148989469838E-2</v>
      </c>
      <c r="AH47" s="16">
        <f t="shared" si="212"/>
        <v>0.10324222018886896</v>
      </c>
      <c r="AI47" s="16">
        <f t="shared" si="212"/>
        <v>8.4369171013477823E-2</v>
      </c>
      <c r="AJ47" s="16">
        <f t="shared" si="212"/>
        <v>8.2659057253350959E-2</v>
      </c>
      <c r="AK47" s="16">
        <f t="shared" si="212"/>
        <v>9.5609925122044692E-2</v>
      </c>
      <c r="AL47" s="16">
        <f t="shared" si="212"/>
        <v>0.11221554429721976</v>
      </c>
      <c r="AM47" s="16"/>
      <c r="AN47" s="16"/>
      <c r="BI47" s="14"/>
      <c r="BJ47" s="14"/>
      <c r="BK47" s="14"/>
      <c r="BL47" s="16">
        <f t="shared" ref="BL47" si="213">BL32/BL20</f>
        <v>1.7052162864178651E-2</v>
      </c>
      <c r="BM47" s="16">
        <f t="shared" ref="BM47" si="214">BM32/BM20</f>
        <v>4.3252736305590261E-2</v>
      </c>
      <c r="BN47" s="16">
        <f t="shared" ref="BN47" si="215">BN32/BN20</f>
        <v>4.1308703060722513E-2</v>
      </c>
      <c r="BO47" s="16">
        <f t="shared" ref="BO47" si="216">BO32/BO20</f>
        <v>5.5252496995316841E-2</v>
      </c>
      <c r="BP47" s="16">
        <f t="shared" ref="BP47" si="217">BP32/BP20</f>
        <v>7.1014128755145567E-2</v>
      </c>
      <c r="BQ47" s="16">
        <f t="shared" ref="BQ47" si="218">BQ32/BQ20</f>
        <v>1.0227964738133363E-2</v>
      </c>
      <c r="BR47" s="16">
        <f t="shared" ref="BR47" si="219">BR32/BR20</f>
        <v>5.2932835755978319E-2</v>
      </c>
      <c r="BS47" s="16">
        <f>BS32/BS20</f>
        <v>9.1383275255944391E-2</v>
      </c>
      <c r="BT47" s="16">
        <f t="shared" ref="BT47:BY47" si="220">BT32/BT20</f>
        <v>0.10069427237394817</v>
      </c>
      <c r="BU47" s="16">
        <f t="shared" si="220"/>
        <v>0.11185051130766051</v>
      </c>
      <c r="BV47" s="16">
        <f t="shared" si="220"/>
        <v>0.11722422134656732</v>
      </c>
      <c r="BW47" s="16">
        <f t="shared" si="220"/>
        <v>0.13181030079354603</v>
      </c>
      <c r="BX47" s="16">
        <f t="shared" si="220"/>
        <v>0.143479966409094</v>
      </c>
      <c r="BY47" s="16">
        <f t="shared" si="220"/>
        <v>0.15215835578619277</v>
      </c>
      <c r="CB47" s="13"/>
    </row>
    <row r="48" spans="2:80" x14ac:dyDescent="0.25">
      <c r="CA48" t="s">
        <v>76</v>
      </c>
      <c r="CB48" s="13">
        <v>0.01</v>
      </c>
    </row>
    <row r="49" spans="2:80" x14ac:dyDescent="0.25">
      <c r="B49" s="2" t="s">
        <v>75</v>
      </c>
      <c r="O49" s="4">
        <f t="shared" ref="O49:P49" si="221">+O50-O63</f>
        <v>25855</v>
      </c>
      <c r="P49" s="4">
        <f t="shared" si="221"/>
        <v>38263</v>
      </c>
      <c r="Q49" s="4">
        <f t="shared" ref="Q49" si="222">+Q50-Q63</f>
        <v>35473</v>
      </c>
      <c r="R49" s="4">
        <f t="shared" ref="R49:AB49" si="223">+R50-R63</f>
        <v>52580</v>
      </c>
      <c r="S49" s="4">
        <f t="shared" si="223"/>
        <v>41402</v>
      </c>
      <c r="T49" s="4">
        <f t="shared" si="223"/>
        <v>39615</v>
      </c>
      <c r="U49" s="4">
        <f t="shared" si="223"/>
        <v>28933</v>
      </c>
      <c r="V49" s="4">
        <f t="shared" si="223"/>
        <v>47305</v>
      </c>
      <c r="W49" s="4">
        <f t="shared" si="223"/>
        <v>18829</v>
      </c>
      <c r="X49" s="4">
        <f t="shared" si="223"/>
        <v>2657</v>
      </c>
      <c r="Y49" s="4">
        <f t="shared" si="223"/>
        <v>-257</v>
      </c>
      <c r="Z49" s="4">
        <f t="shared" si="223"/>
        <v>2876</v>
      </c>
      <c r="AA49" s="4">
        <f t="shared" si="223"/>
        <v>-2679</v>
      </c>
      <c r="AB49" s="4">
        <f t="shared" si="223"/>
        <v>878</v>
      </c>
      <c r="AC49" s="4">
        <f t="shared" ref="AC49:AD49" si="224">+AC50-AC63</f>
        <v>3071</v>
      </c>
      <c r="AD49" s="4">
        <f t="shared" si="224"/>
        <v>28466</v>
      </c>
      <c r="AE49" s="4">
        <f t="shared" ref="AE49:AG49" si="225">+AE50-AE63</f>
        <v>27440</v>
      </c>
      <c r="AF49" s="4">
        <f t="shared" si="225"/>
        <v>34203</v>
      </c>
      <c r="AG49" s="4">
        <f t="shared" si="225"/>
        <v>33161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BQ49" s="2">
        <f>+Z49</f>
        <v>2876</v>
      </c>
      <c r="BR49" s="2">
        <f>+AD49</f>
        <v>28466</v>
      </c>
      <c r="BS49" s="2">
        <f t="shared" ref="BS49:BY49" si="226">+BR49+BS32</f>
        <v>86766.236349999977</v>
      </c>
      <c r="BT49" s="2">
        <f t="shared" si="226"/>
        <v>157430.69708699506</v>
      </c>
      <c r="BU49" s="2">
        <f t="shared" si="226"/>
        <v>243773.65847109951</v>
      </c>
      <c r="BV49" s="2">
        <f t="shared" si="226"/>
        <v>343313.97284735291</v>
      </c>
      <c r="BW49" s="2">
        <f t="shared" si="226"/>
        <v>466432.57829537732</v>
      </c>
      <c r="BX49" s="2">
        <f t="shared" si="226"/>
        <v>613853.21685271082</v>
      </c>
      <c r="BY49" s="2">
        <f t="shared" si="226"/>
        <v>785824.33439998957</v>
      </c>
      <c r="CA49" t="s">
        <v>78</v>
      </c>
      <c r="CB49" s="13">
        <v>-5.0000000000000001E-3</v>
      </c>
    </row>
    <row r="50" spans="2:80" s="2" customFormat="1" x14ac:dyDescent="0.25">
      <c r="B50" s="2" t="s">
        <v>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f>27201+22091</f>
        <v>49292</v>
      </c>
      <c r="P50" s="4">
        <f>37466+33925</f>
        <v>71391</v>
      </c>
      <c r="Q50" s="4">
        <f>29930+38472</f>
        <v>68402</v>
      </c>
      <c r="R50" s="4">
        <f>42122+42274</f>
        <v>84396</v>
      </c>
      <c r="S50" s="4">
        <f>33834+39436</f>
        <v>73270</v>
      </c>
      <c r="T50" s="4">
        <f>40380+49514</f>
        <v>89894</v>
      </c>
      <c r="U50" s="4">
        <f>29944+49044</f>
        <v>78988</v>
      </c>
      <c r="V50" s="4">
        <f>36220+59829</f>
        <v>96049</v>
      </c>
      <c r="W50" s="4">
        <f>36393+29992</f>
        <v>66385</v>
      </c>
      <c r="X50" s="4">
        <f>37478+23232</f>
        <v>60710</v>
      </c>
      <c r="Y50" s="4">
        <f>34947+23715</f>
        <v>58662</v>
      </c>
      <c r="Z50" s="4">
        <f>53888+16138</f>
        <v>70026</v>
      </c>
      <c r="AA50" s="2">
        <f>49343+15062</f>
        <v>64405</v>
      </c>
      <c r="AB50" s="2">
        <f>49529+14441</f>
        <v>63970</v>
      </c>
      <c r="AC50" s="2">
        <f>49605+14564</f>
        <v>64169</v>
      </c>
      <c r="AD50" s="2">
        <f>73387+13393</f>
        <v>86780</v>
      </c>
      <c r="AE50" s="2">
        <f>72852+12222</f>
        <v>85074</v>
      </c>
      <c r="AF50" s="2">
        <f>71178+17914</f>
        <v>89092</v>
      </c>
      <c r="AG50" s="2">
        <f>75091+12960</f>
        <v>88051</v>
      </c>
      <c r="CA50" s="2" t="s">
        <v>79</v>
      </c>
      <c r="CB50" s="2">
        <f>NPV(CB45,BS32:EI32)+Main!K5-Main!K6</f>
        <v>2328823.5573249399</v>
      </c>
    </row>
    <row r="51" spans="2:80" s="2" customFormat="1" x14ac:dyDescent="0.25">
      <c r="B51" s="2" t="s">
        <v>64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18857</v>
      </c>
      <c r="P51" s="4">
        <v>19599</v>
      </c>
      <c r="Q51" s="4">
        <v>23735</v>
      </c>
      <c r="R51" s="4">
        <v>23795</v>
      </c>
      <c r="S51" s="4">
        <v>23849</v>
      </c>
      <c r="T51" s="4">
        <v>24119</v>
      </c>
      <c r="U51" s="4">
        <v>30933</v>
      </c>
      <c r="V51" s="4">
        <v>32640</v>
      </c>
      <c r="W51" s="4">
        <v>34987</v>
      </c>
      <c r="X51" s="4">
        <v>38153</v>
      </c>
      <c r="Y51" s="4">
        <v>36647</v>
      </c>
      <c r="Z51" s="4">
        <v>34405</v>
      </c>
      <c r="AA51" s="2">
        <v>34170</v>
      </c>
      <c r="AB51" s="2">
        <v>36587</v>
      </c>
      <c r="AC51" s="2">
        <v>35406</v>
      </c>
      <c r="AD51" s="2">
        <v>33318</v>
      </c>
      <c r="AE51" s="2">
        <v>31147</v>
      </c>
      <c r="AF51" s="2">
        <v>34109</v>
      </c>
      <c r="AG51" s="2">
        <v>36103</v>
      </c>
      <c r="CB51" s="1">
        <f>+CB50/Main!K3</f>
        <v>216.93745294130787</v>
      </c>
    </row>
    <row r="52" spans="2:80" s="2" customFormat="1" x14ac:dyDescent="0.25">
      <c r="B52" s="2" t="s">
        <v>63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17836</v>
      </c>
      <c r="P52" s="4">
        <v>19918</v>
      </c>
      <c r="Q52" s="4">
        <v>20832</v>
      </c>
      <c r="R52" s="4">
        <v>24542</v>
      </c>
      <c r="S52" s="4">
        <v>24289</v>
      </c>
      <c r="T52" s="4">
        <v>26835</v>
      </c>
      <c r="U52" s="4">
        <v>28610</v>
      </c>
      <c r="V52" s="4">
        <v>32891</v>
      </c>
      <c r="W52" s="4">
        <v>32504</v>
      </c>
      <c r="X52" s="4">
        <v>34804</v>
      </c>
      <c r="Y52" s="4">
        <v>36154</v>
      </c>
      <c r="Z52" s="4">
        <v>42360</v>
      </c>
      <c r="AA52" s="2">
        <v>37646</v>
      </c>
      <c r="AB52" s="2">
        <v>39925</v>
      </c>
      <c r="AC52" s="2">
        <v>43420</v>
      </c>
      <c r="AD52" s="2">
        <v>52253</v>
      </c>
      <c r="AE52" s="2">
        <v>47768</v>
      </c>
      <c r="AF52" s="2">
        <v>50106</v>
      </c>
      <c r="AG52" s="2">
        <v>51638</v>
      </c>
    </row>
    <row r="53" spans="2:80" s="2" customFormat="1" x14ac:dyDescent="0.25">
      <c r="B53" s="2" t="s">
        <v>65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77779</v>
      </c>
      <c r="P53" s="4">
        <v>86517</v>
      </c>
      <c r="Q53" s="4">
        <v>99981</v>
      </c>
      <c r="R53" s="4">
        <v>113114</v>
      </c>
      <c r="S53" s="4">
        <v>121461</v>
      </c>
      <c r="T53" s="4">
        <v>133502</v>
      </c>
      <c r="U53" s="4">
        <v>147152</v>
      </c>
      <c r="V53" s="4">
        <v>160281</v>
      </c>
      <c r="W53" s="4">
        <v>168468</v>
      </c>
      <c r="X53" s="4">
        <v>173706</v>
      </c>
      <c r="Y53" s="4">
        <v>177195</v>
      </c>
      <c r="Z53" s="4">
        <v>186715</v>
      </c>
      <c r="AA53" s="2">
        <v>190754</v>
      </c>
      <c r="AB53" s="2">
        <v>193784</v>
      </c>
      <c r="AC53" s="2">
        <v>196468</v>
      </c>
      <c r="AD53" s="2">
        <v>204177</v>
      </c>
      <c r="AE53" s="2">
        <v>209950</v>
      </c>
      <c r="AF53" s="2">
        <v>220717</v>
      </c>
      <c r="AG53" s="2">
        <v>237917</v>
      </c>
    </row>
    <row r="54" spans="2:80" s="2" customFormat="1" x14ac:dyDescent="0.25">
      <c r="B54" s="2" t="s">
        <v>66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26279</v>
      </c>
      <c r="P54" s="4">
        <v>28537</v>
      </c>
      <c r="Q54" s="4">
        <v>34119</v>
      </c>
      <c r="R54" s="4">
        <v>37553</v>
      </c>
      <c r="S54" s="4">
        <v>39328</v>
      </c>
      <c r="T54" s="4">
        <v>43346</v>
      </c>
      <c r="U54" s="4">
        <v>52151</v>
      </c>
      <c r="V54" s="4">
        <v>56082</v>
      </c>
      <c r="W54" s="4">
        <v>56161</v>
      </c>
      <c r="X54" s="4">
        <v>58430</v>
      </c>
      <c r="Y54" s="4">
        <v>62033</v>
      </c>
      <c r="Z54" s="4">
        <v>66123</v>
      </c>
      <c r="AA54" s="2">
        <v>68262</v>
      </c>
      <c r="AB54" s="2">
        <v>70332</v>
      </c>
      <c r="AC54" s="2">
        <v>70758</v>
      </c>
      <c r="AD54" s="2">
        <v>72513</v>
      </c>
      <c r="AE54" s="2">
        <v>73313</v>
      </c>
      <c r="AF54" s="2">
        <v>74575</v>
      </c>
      <c r="AG54" s="2">
        <v>76527</v>
      </c>
    </row>
    <row r="55" spans="2:80" s="2" customFormat="1" x14ac:dyDescent="0.25">
      <c r="B55" s="2" t="s">
        <v>67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14739</v>
      </c>
      <c r="P55" s="4">
        <v>14751</v>
      </c>
      <c r="Q55" s="4">
        <v>14960</v>
      </c>
      <c r="R55" s="4">
        <v>15017</v>
      </c>
      <c r="S55" s="4">
        <v>15220</v>
      </c>
      <c r="T55" s="4">
        <v>15350</v>
      </c>
      <c r="U55" s="4">
        <v>15345</v>
      </c>
      <c r="V55" s="4">
        <v>15371</v>
      </c>
      <c r="W55" s="4">
        <v>20229</v>
      </c>
      <c r="X55" s="4">
        <v>20195</v>
      </c>
      <c r="Y55" s="4">
        <v>20168</v>
      </c>
      <c r="Z55" s="4">
        <v>20288</v>
      </c>
      <c r="AA55" s="2">
        <f>22749</f>
        <v>22749</v>
      </c>
      <c r="AB55" s="2">
        <v>22785</v>
      </c>
      <c r="AC55" s="2">
        <v>22749</v>
      </c>
      <c r="AD55" s="2">
        <v>22789</v>
      </c>
      <c r="AE55" s="2">
        <v>22770</v>
      </c>
      <c r="AF55" s="2">
        <v>22879</v>
      </c>
      <c r="AG55" s="2">
        <v>23081</v>
      </c>
    </row>
    <row r="56" spans="2:80" s="2" customFormat="1" x14ac:dyDescent="0.25">
      <c r="B56" s="2" t="s">
        <v>68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16456</v>
      </c>
      <c r="P56" s="4">
        <v>17601</v>
      </c>
      <c r="Q56" s="4">
        <v>20150</v>
      </c>
      <c r="R56" s="4">
        <v>22778</v>
      </c>
      <c r="S56" s="4">
        <v>25660</v>
      </c>
      <c r="T56" s="4">
        <v>27273</v>
      </c>
      <c r="U56" s="4">
        <v>29227</v>
      </c>
      <c r="V56" s="4">
        <v>27235</v>
      </c>
      <c r="W56" s="4">
        <v>32033</v>
      </c>
      <c r="X56" s="4">
        <v>33730</v>
      </c>
      <c r="Y56" s="4">
        <v>37503</v>
      </c>
      <c r="Z56" s="4">
        <v>42758</v>
      </c>
      <c r="AA56" s="2">
        <v>46392</v>
      </c>
      <c r="AB56" s="2">
        <v>50224</v>
      </c>
      <c r="AC56" s="2">
        <v>53913</v>
      </c>
      <c r="AD56" s="2">
        <v>56024</v>
      </c>
      <c r="AE56" s="2">
        <v>60947</v>
      </c>
      <c r="AF56" s="2">
        <v>63340</v>
      </c>
      <c r="AG56" s="2">
        <v>71309</v>
      </c>
    </row>
    <row r="57" spans="2:80" s="2" customFormat="1" x14ac:dyDescent="0.25">
      <c r="B57" s="2" t="s">
        <v>62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f t="shared" ref="O57:P57" si="227">SUM(O50:O56)</f>
        <v>221238</v>
      </c>
      <c r="P57" s="4">
        <f t="shared" si="227"/>
        <v>258314</v>
      </c>
      <c r="Q57" s="4">
        <f t="shared" ref="Q57" si="228">SUM(Q50:Q56)</f>
        <v>282179</v>
      </c>
      <c r="R57" s="4">
        <f t="shared" ref="R57:AB57" si="229">SUM(R50:R56)</f>
        <v>321195</v>
      </c>
      <c r="S57" s="4">
        <f t="shared" si="229"/>
        <v>323077</v>
      </c>
      <c r="T57" s="4">
        <f t="shared" si="229"/>
        <v>360319</v>
      </c>
      <c r="U57" s="4">
        <f t="shared" si="229"/>
        <v>382406</v>
      </c>
      <c r="V57" s="4">
        <f t="shared" si="229"/>
        <v>420549</v>
      </c>
      <c r="W57" s="4">
        <f t="shared" si="229"/>
        <v>410767</v>
      </c>
      <c r="X57" s="4">
        <f t="shared" si="229"/>
        <v>419728</v>
      </c>
      <c r="Y57" s="4">
        <f t="shared" si="229"/>
        <v>428362</v>
      </c>
      <c r="Z57" s="4">
        <f t="shared" si="229"/>
        <v>462675</v>
      </c>
      <c r="AA57" s="4">
        <f t="shared" si="229"/>
        <v>464378</v>
      </c>
      <c r="AB57" s="4">
        <f t="shared" si="229"/>
        <v>477607</v>
      </c>
      <c r="AC57" s="4">
        <f t="shared" ref="AC57:AD57" si="230">SUM(AC50:AC56)</f>
        <v>486883</v>
      </c>
      <c r="AD57" s="4">
        <f t="shared" si="230"/>
        <v>527854</v>
      </c>
      <c r="AE57" s="4">
        <f t="shared" ref="AE57:AG57" si="231">SUM(AE50:AE56)</f>
        <v>530969</v>
      </c>
      <c r="AF57" s="4">
        <f t="shared" si="231"/>
        <v>554818</v>
      </c>
      <c r="AG57" s="4">
        <f t="shared" si="231"/>
        <v>584626</v>
      </c>
    </row>
    <row r="59" spans="2:80" s="2" customFormat="1" x14ac:dyDescent="0.25">
      <c r="B59" s="2" t="s">
        <v>71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40056</v>
      </c>
      <c r="P59" s="4">
        <v>51036</v>
      </c>
      <c r="Q59" s="4">
        <v>58334</v>
      </c>
      <c r="R59" s="4">
        <v>72539</v>
      </c>
      <c r="S59" s="4">
        <v>63926</v>
      </c>
      <c r="T59" s="4">
        <v>66090</v>
      </c>
      <c r="U59" s="4">
        <v>71474</v>
      </c>
      <c r="V59" s="4">
        <v>78664</v>
      </c>
      <c r="W59" s="4">
        <v>68547</v>
      </c>
      <c r="X59" s="4">
        <v>71219</v>
      </c>
      <c r="Y59" s="4">
        <v>67760</v>
      </c>
      <c r="Z59" s="4">
        <v>79600</v>
      </c>
      <c r="AA59" s="2">
        <v>66907</v>
      </c>
      <c r="AB59" s="2">
        <v>69481</v>
      </c>
      <c r="AC59" s="2">
        <v>72004</v>
      </c>
      <c r="AD59" s="2">
        <v>84981</v>
      </c>
      <c r="AE59" s="2">
        <v>73068</v>
      </c>
      <c r="AF59" s="2">
        <v>81817</v>
      </c>
      <c r="AG59" s="2">
        <v>84570</v>
      </c>
    </row>
    <row r="60" spans="2:80" s="2" customFormat="1" x14ac:dyDescent="0.25">
      <c r="B60" s="2" t="s">
        <v>72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30791</v>
      </c>
      <c r="P60" s="4">
        <v>33863</v>
      </c>
      <c r="Q60" s="4">
        <v>34327</v>
      </c>
      <c r="R60" s="4">
        <v>44138</v>
      </c>
      <c r="S60" s="4">
        <v>40939</v>
      </c>
      <c r="T60" s="4">
        <v>41007</v>
      </c>
      <c r="U60" s="4">
        <v>41546</v>
      </c>
      <c r="V60" s="4">
        <v>51775</v>
      </c>
      <c r="W60" s="4">
        <v>58141</v>
      </c>
      <c r="X60" s="4">
        <v>56254</v>
      </c>
      <c r="Y60" s="4">
        <v>59974</v>
      </c>
      <c r="Z60" s="4">
        <v>62566</v>
      </c>
      <c r="AA60" s="2">
        <v>66382</v>
      </c>
      <c r="AB60" s="2">
        <v>64235</v>
      </c>
      <c r="AC60" s="2">
        <v>58812</v>
      </c>
      <c r="AD60" s="2">
        <v>64709</v>
      </c>
      <c r="AE60" s="2">
        <v>63970</v>
      </c>
      <c r="AF60" s="2">
        <v>60351</v>
      </c>
      <c r="AG60" s="2">
        <v>60602</v>
      </c>
    </row>
    <row r="61" spans="2:80" s="2" customFormat="1" x14ac:dyDescent="0.25">
      <c r="B61" s="2" t="s">
        <v>73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8864</v>
      </c>
      <c r="P61" s="4">
        <v>8997</v>
      </c>
      <c r="Q61" s="4">
        <v>9251</v>
      </c>
      <c r="R61" s="4">
        <v>9708</v>
      </c>
      <c r="S61" s="4">
        <v>10539</v>
      </c>
      <c r="T61" s="4">
        <v>10695</v>
      </c>
      <c r="U61" s="4">
        <v>10974</v>
      </c>
      <c r="V61" s="4">
        <v>11827</v>
      </c>
      <c r="W61" s="4">
        <v>12820</v>
      </c>
      <c r="X61" s="4">
        <v>12818</v>
      </c>
      <c r="Y61" s="4">
        <v>12629</v>
      </c>
      <c r="Z61" s="4">
        <v>13227</v>
      </c>
      <c r="AA61" s="2">
        <v>14281</v>
      </c>
      <c r="AB61" s="2">
        <v>14522</v>
      </c>
      <c r="AC61" s="2">
        <v>14398</v>
      </c>
      <c r="AD61" s="2">
        <v>15227</v>
      </c>
      <c r="AE61" s="2">
        <v>15927</v>
      </c>
      <c r="AF61" s="2">
        <v>16004</v>
      </c>
      <c r="AG61" s="2">
        <v>16305</v>
      </c>
    </row>
    <row r="62" spans="2:80" s="2" customFormat="1" x14ac:dyDescent="0.25">
      <c r="B62" s="2" t="s">
        <v>66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40300</v>
      </c>
      <c r="P62" s="4">
        <v>42798</v>
      </c>
      <c r="Q62" s="4">
        <v>48589</v>
      </c>
      <c r="R62" s="4">
        <v>52573</v>
      </c>
      <c r="S62" s="4">
        <v>53067</v>
      </c>
      <c r="T62" s="4">
        <v>56297</v>
      </c>
      <c r="U62" s="4">
        <v>63848</v>
      </c>
      <c r="V62" s="4">
        <v>67651</v>
      </c>
      <c r="W62" s="4">
        <v>65731</v>
      </c>
      <c r="X62" s="4">
        <v>66524</v>
      </c>
      <c r="Y62" s="4">
        <v>69332</v>
      </c>
      <c r="Z62" s="4">
        <v>72968</v>
      </c>
      <c r="AA62" s="2">
        <v>74267</v>
      </c>
      <c r="AB62" s="2">
        <v>75822</v>
      </c>
      <c r="AC62" s="2">
        <v>75891</v>
      </c>
      <c r="AD62" s="2">
        <v>77297</v>
      </c>
      <c r="AE62" s="2">
        <v>77052</v>
      </c>
      <c r="AF62" s="2">
        <v>78084</v>
      </c>
      <c r="AG62" s="2">
        <v>79802</v>
      </c>
    </row>
    <row r="63" spans="2:80" s="2" customFormat="1" x14ac:dyDescent="0.25">
      <c r="B63" s="2" t="s">
        <v>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23437</v>
      </c>
      <c r="P63" s="4">
        <v>33128</v>
      </c>
      <c r="Q63" s="4">
        <v>32929</v>
      </c>
      <c r="R63" s="4">
        <v>31816</v>
      </c>
      <c r="S63" s="4">
        <v>31868</v>
      </c>
      <c r="T63" s="4">
        <v>50279</v>
      </c>
      <c r="U63" s="4">
        <v>50055</v>
      </c>
      <c r="V63" s="4">
        <v>48744</v>
      </c>
      <c r="W63" s="4">
        <v>47556</v>
      </c>
      <c r="X63" s="4">
        <v>58053</v>
      </c>
      <c r="Y63" s="4">
        <v>58919</v>
      </c>
      <c r="Z63" s="4">
        <v>67150</v>
      </c>
      <c r="AA63" s="2">
        <v>67084</v>
      </c>
      <c r="AB63" s="2">
        <v>63092</v>
      </c>
      <c r="AC63" s="2">
        <v>61098</v>
      </c>
      <c r="AD63" s="2">
        <v>58314</v>
      </c>
      <c r="AE63" s="2">
        <v>57634</v>
      </c>
      <c r="AF63" s="2">
        <v>54889</v>
      </c>
      <c r="AG63" s="2">
        <v>54890</v>
      </c>
    </row>
    <row r="64" spans="2:80" s="2" customFormat="1" x14ac:dyDescent="0.25">
      <c r="B64" s="2" t="s">
        <v>74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12518</v>
      </c>
      <c r="P64" s="4">
        <v>14764</v>
      </c>
      <c r="Q64" s="4">
        <v>15974</v>
      </c>
      <c r="R64" s="4">
        <v>17017</v>
      </c>
      <c r="S64" s="4">
        <v>19418</v>
      </c>
      <c r="T64" s="4">
        <v>21148</v>
      </c>
      <c r="U64" s="4">
        <v>23945</v>
      </c>
      <c r="V64" s="4">
        <v>23643</v>
      </c>
      <c r="W64" s="4">
        <v>23971</v>
      </c>
      <c r="X64" s="4">
        <v>23458</v>
      </c>
      <c r="Y64" s="4">
        <v>22259</v>
      </c>
      <c r="Z64" s="4">
        <v>21121</v>
      </c>
      <c r="AA64" s="2">
        <v>20931</v>
      </c>
      <c r="AB64" s="2">
        <v>21853</v>
      </c>
      <c r="AC64" s="2">
        <v>21707</v>
      </c>
      <c r="AD64" s="2">
        <v>25451</v>
      </c>
      <c r="AE64" s="2">
        <v>26657</v>
      </c>
      <c r="AF64" s="2">
        <v>27226</v>
      </c>
      <c r="AG64" s="2">
        <v>29306</v>
      </c>
    </row>
    <row r="65" spans="2:50" s="2" customFormat="1" x14ac:dyDescent="0.25">
      <c r="B65" s="2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v>65272</v>
      </c>
      <c r="P65" s="4">
        <v>73728</v>
      </c>
      <c r="Q65" s="4">
        <v>82775</v>
      </c>
      <c r="R65" s="4">
        <v>93404</v>
      </c>
      <c r="S65" s="4">
        <v>103320</v>
      </c>
      <c r="T65" s="4">
        <v>114803</v>
      </c>
      <c r="U65" s="4">
        <v>120564</v>
      </c>
      <c r="V65" s="4">
        <v>138245</v>
      </c>
      <c r="W65" s="4">
        <v>134001</v>
      </c>
      <c r="X65" s="4">
        <v>131402</v>
      </c>
      <c r="Y65" s="4">
        <v>137489</v>
      </c>
      <c r="Z65" s="4">
        <v>146043</v>
      </c>
      <c r="AA65" s="2">
        <v>154526</v>
      </c>
      <c r="AB65" s="2">
        <v>168602</v>
      </c>
      <c r="AC65" s="2">
        <v>182973</v>
      </c>
      <c r="AD65" s="2">
        <v>201875</v>
      </c>
      <c r="AE65" s="2">
        <v>216661</v>
      </c>
      <c r="AF65" s="2">
        <v>236447</v>
      </c>
      <c r="AG65" s="2">
        <v>259151</v>
      </c>
    </row>
    <row r="66" spans="2:50" s="2" customFormat="1" x14ac:dyDescent="0.25">
      <c r="B66" s="2" t="s">
        <v>69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P66" si="232">SUM(O59:O65)</f>
        <v>221238</v>
      </c>
      <c r="P66" s="4">
        <f t="shared" si="232"/>
        <v>258314</v>
      </c>
      <c r="Q66" s="4">
        <f t="shared" ref="Q66" si="233">SUM(Q59:Q65)</f>
        <v>282179</v>
      </c>
      <c r="R66" s="4">
        <f t="shared" ref="R66:AB66" si="234">SUM(R59:R65)</f>
        <v>321195</v>
      </c>
      <c r="S66" s="4">
        <f t="shared" si="234"/>
        <v>323077</v>
      </c>
      <c r="T66" s="4">
        <f t="shared" si="234"/>
        <v>360319</v>
      </c>
      <c r="U66" s="4">
        <f t="shared" si="234"/>
        <v>382406</v>
      </c>
      <c r="V66" s="4">
        <f t="shared" si="234"/>
        <v>420549</v>
      </c>
      <c r="W66" s="4">
        <f t="shared" si="234"/>
        <v>410767</v>
      </c>
      <c r="X66" s="4">
        <f t="shared" si="234"/>
        <v>419728</v>
      </c>
      <c r="Y66" s="4">
        <f t="shared" si="234"/>
        <v>428362</v>
      </c>
      <c r="Z66" s="4">
        <f t="shared" si="234"/>
        <v>462675</v>
      </c>
      <c r="AA66" s="4">
        <f t="shared" si="234"/>
        <v>464378</v>
      </c>
      <c r="AB66" s="4">
        <f t="shared" si="234"/>
        <v>477607</v>
      </c>
      <c r="AC66" s="4">
        <f t="shared" ref="AC66:AD66" si="235">SUM(AC59:AC65)</f>
        <v>486883</v>
      </c>
      <c r="AD66" s="4">
        <f t="shared" si="235"/>
        <v>527854</v>
      </c>
      <c r="AE66" s="4">
        <f t="shared" ref="AE66" si="236">SUM(AE59:AE65)</f>
        <v>530969</v>
      </c>
      <c r="AF66" s="4">
        <f>SUM(AF59:AF65)</f>
        <v>554818</v>
      </c>
      <c r="AG66" s="4">
        <f>SUM(AG59:AG65)</f>
        <v>584626</v>
      </c>
    </row>
    <row r="68" spans="2:50" s="2" customFormat="1" x14ac:dyDescent="0.25">
      <c r="B68" s="2" t="s">
        <v>84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f t="shared" ref="O68:AG68" si="237">+O32</f>
        <v>2535</v>
      </c>
      <c r="P68" s="4">
        <f t="shared" si="237"/>
        <v>5243</v>
      </c>
      <c r="Q68" s="4">
        <f t="shared" si="237"/>
        <v>6331</v>
      </c>
      <c r="R68" s="4">
        <f t="shared" si="237"/>
        <v>7222</v>
      </c>
      <c r="S68" s="4">
        <f t="shared" si="237"/>
        <v>8107</v>
      </c>
      <c r="T68" s="4">
        <f t="shared" si="237"/>
        <v>7778</v>
      </c>
      <c r="U68" s="4">
        <f t="shared" si="237"/>
        <v>3156</v>
      </c>
      <c r="V68" s="4">
        <f t="shared" si="237"/>
        <v>14323</v>
      </c>
      <c r="W68" s="4">
        <f t="shared" si="237"/>
        <v>-3844</v>
      </c>
      <c r="X68" s="4">
        <f t="shared" si="237"/>
        <v>2982</v>
      </c>
      <c r="Y68" s="4">
        <f t="shared" si="237"/>
        <v>2872</v>
      </c>
      <c r="Z68" s="4">
        <f t="shared" si="237"/>
        <v>3247</v>
      </c>
      <c r="AA68" s="4">
        <f t="shared" si="237"/>
        <v>3172</v>
      </c>
      <c r="AB68" s="4">
        <f t="shared" si="237"/>
        <v>6750</v>
      </c>
      <c r="AC68" s="4">
        <f t="shared" si="237"/>
        <v>9879</v>
      </c>
      <c r="AD68" s="4">
        <f t="shared" si="237"/>
        <v>10624</v>
      </c>
      <c r="AE68" s="4">
        <f t="shared" si="237"/>
        <v>10431</v>
      </c>
      <c r="AF68" s="4">
        <f t="shared" si="237"/>
        <v>13486</v>
      </c>
      <c r="AG68" s="4">
        <f t="shared" si="237"/>
        <v>15328</v>
      </c>
    </row>
    <row r="69" spans="2:50" s="2" customFormat="1" x14ac:dyDescent="0.25">
      <c r="B69" s="2" t="s">
        <v>85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2535</v>
      </c>
      <c r="P69" s="4">
        <v>5243</v>
      </c>
      <c r="Q69" s="4">
        <v>6331</v>
      </c>
      <c r="R69" s="4">
        <v>7222</v>
      </c>
      <c r="S69" s="4">
        <v>8107</v>
      </c>
      <c r="T69" s="4">
        <v>7778</v>
      </c>
      <c r="U69" s="4">
        <v>3156</v>
      </c>
      <c r="V69" s="4">
        <v>14323</v>
      </c>
      <c r="W69" s="4">
        <v>-3844</v>
      </c>
      <c r="X69" s="4">
        <v>-2028</v>
      </c>
      <c r="Y69" s="4">
        <v>2872</v>
      </c>
      <c r="Z69" s="4">
        <v>278</v>
      </c>
      <c r="AA69" s="4">
        <v>3172</v>
      </c>
      <c r="AB69" s="2">
        <v>6750</v>
      </c>
      <c r="AC69" s="2">
        <v>9879</v>
      </c>
      <c r="AD69" s="2">
        <v>10624</v>
      </c>
      <c r="AE69" s="2">
        <v>10431</v>
      </c>
      <c r="AF69" s="2">
        <v>13485</v>
      </c>
      <c r="AG69" s="2">
        <v>15328</v>
      </c>
    </row>
    <row r="70" spans="2:50" s="2" customFormat="1" x14ac:dyDescent="0.25">
      <c r="B70" s="2" t="s">
        <v>88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5362</v>
      </c>
      <c r="P70" s="4">
        <v>5748</v>
      </c>
      <c r="Q70" s="4">
        <v>6523</v>
      </c>
      <c r="R70" s="4">
        <v>7618</v>
      </c>
      <c r="S70" s="4">
        <v>7508</v>
      </c>
      <c r="T70" s="4">
        <v>8038</v>
      </c>
      <c r="U70" s="4">
        <v>8948</v>
      </c>
      <c r="V70" s="4">
        <v>9802</v>
      </c>
      <c r="W70" s="4">
        <v>8978</v>
      </c>
      <c r="X70" s="4">
        <v>9594</v>
      </c>
      <c r="Y70" s="4">
        <v>10204</v>
      </c>
      <c r="Z70" s="4">
        <v>12685</v>
      </c>
      <c r="AA70" s="2">
        <v>11123</v>
      </c>
      <c r="AB70" s="2">
        <v>11589</v>
      </c>
      <c r="AC70" s="2">
        <v>12131</v>
      </c>
      <c r="AD70" s="2">
        <v>13820</v>
      </c>
      <c r="AE70" s="2">
        <v>11684</v>
      </c>
      <c r="AF70" s="2">
        <v>12038</v>
      </c>
      <c r="AG70" s="2">
        <v>13442</v>
      </c>
    </row>
    <row r="71" spans="2:50" s="2" customFormat="1" x14ac:dyDescent="0.25">
      <c r="B71" s="2" t="s">
        <v>89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1757</v>
      </c>
      <c r="P71" s="4">
        <v>2601</v>
      </c>
      <c r="Q71" s="4">
        <v>2288</v>
      </c>
      <c r="R71" s="4">
        <v>2562</v>
      </c>
      <c r="S71" s="4">
        <v>2306</v>
      </c>
      <c r="T71" s="4">
        <v>3591</v>
      </c>
      <c r="U71" s="4">
        <v>3180</v>
      </c>
      <c r="V71" s="4">
        <v>3680</v>
      </c>
      <c r="W71" s="4">
        <v>3250</v>
      </c>
      <c r="X71" s="4">
        <v>5209</v>
      </c>
      <c r="Y71" s="4">
        <v>5556</v>
      </c>
      <c r="Z71" s="4">
        <v>5606</v>
      </c>
      <c r="AA71" s="2">
        <v>4748</v>
      </c>
      <c r="AB71" s="2">
        <v>7127</v>
      </c>
      <c r="AC71" s="2">
        <v>5829</v>
      </c>
      <c r="AD71" s="2">
        <v>6319</v>
      </c>
      <c r="AE71" s="2">
        <v>4961</v>
      </c>
      <c r="AF71" s="2">
        <v>6722</v>
      </c>
      <c r="AG71" s="2">
        <v>5333</v>
      </c>
    </row>
    <row r="72" spans="2:50" s="2" customFormat="1" x14ac:dyDescent="0.25">
      <c r="B72" s="2" t="s">
        <v>45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67</v>
      </c>
      <c r="P72" s="4">
        <v>282</v>
      </c>
      <c r="Q72" s="4">
        <v>67</v>
      </c>
      <c r="R72" s="4">
        <v>-487</v>
      </c>
      <c r="S72" s="4">
        <v>30</v>
      </c>
      <c r="T72" s="4">
        <v>18</v>
      </c>
      <c r="U72" s="4">
        <v>24</v>
      </c>
      <c r="V72" s="4">
        <v>65</v>
      </c>
      <c r="W72" s="4">
        <v>215</v>
      </c>
      <c r="X72" s="4">
        <v>122</v>
      </c>
      <c r="Y72" s="4">
        <v>123</v>
      </c>
      <c r="Z72" s="4">
        <v>3445</v>
      </c>
      <c r="AA72" s="2">
        <v>534</v>
      </c>
      <c r="AB72" s="2">
        <v>47</v>
      </c>
      <c r="AC72" s="2">
        <v>-990</v>
      </c>
      <c r="AD72" s="2">
        <v>-339</v>
      </c>
      <c r="AE72" s="2">
        <v>2734</v>
      </c>
      <c r="AF72" s="2">
        <v>-95</v>
      </c>
      <c r="AG72" s="2">
        <v>-141</v>
      </c>
    </row>
    <row r="73" spans="2:50" s="2" customFormat="1" x14ac:dyDescent="0.25">
      <c r="B73" s="2" t="s">
        <v>45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565</v>
      </c>
      <c r="P73" s="4">
        <v>-769</v>
      </c>
      <c r="Q73" s="4">
        <v>-1051</v>
      </c>
      <c r="R73" s="4">
        <v>-1327</v>
      </c>
      <c r="S73" s="4">
        <v>-1456</v>
      </c>
      <c r="T73" s="4">
        <v>-1258</v>
      </c>
      <c r="U73" s="4">
        <v>340</v>
      </c>
      <c r="V73" s="4">
        <v>-11932</v>
      </c>
      <c r="W73" s="4">
        <v>8689</v>
      </c>
      <c r="X73" s="4">
        <v>6104</v>
      </c>
      <c r="Y73" s="4">
        <v>-1272</v>
      </c>
      <c r="Z73" s="4">
        <v>0</v>
      </c>
      <c r="AA73" s="2">
        <v>0</v>
      </c>
      <c r="AB73" s="2">
        <v>0</v>
      </c>
      <c r="AC73" s="2">
        <v>0</v>
      </c>
      <c r="AD73" s="2">
        <v>0</v>
      </c>
    </row>
    <row r="74" spans="2:50" s="2" customFormat="1" x14ac:dyDescent="0.25">
      <c r="B74" s="2" t="s">
        <v>90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v>322</v>
      </c>
      <c r="P74" s="4">
        <v>465</v>
      </c>
      <c r="Q74" s="4">
        <v>295</v>
      </c>
      <c r="R74" s="4">
        <v>-1636</v>
      </c>
      <c r="S74" s="4">
        <v>1703</v>
      </c>
      <c r="T74" s="4">
        <v>701</v>
      </c>
      <c r="U74" s="4">
        <v>909</v>
      </c>
      <c r="V74" s="4">
        <v>-3623</v>
      </c>
      <c r="W74" s="4">
        <v>-2001</v>
      </c>
      <c r="X74" s="4">
        <v>-1955</v>
      </c>
      <c r="Y74" s="4">
        <v>-825</v>
      </c>
      <c r="Z74" s="4">
        <v>-3367</v>
      </c>
      <c r="AA74" s="2">
        <v>-472</v>
      </c>
      <c r="AB74" s="2">
        <v>-2744</v>
      </c>
      <c r="AC74" s="2">
        <v>-1196</v>
      </c>
      <c r="AD74" s="2">
        <v>-1464</v>
      </c>
      <c r="AE74" s="2">
        <v>-938</v>
      </c>
      <c r="AF74" s="2">
        <v>-785</v>
      </c>
      <c r="AG74" s="2">
        <v>-1317</v>
      </c>
    </row>
    <row r="75" spans="2:50" s="2" customFormat="1" x14ac:dyDescent="0.25">
      <c r="B75" s="2" t="s">
        <v>87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f>1392+1262-8044-2761+607</f>
        <v>-7544</v>
      </c>
      <c r="P75" s="4">
        <f>-672-2854+8616+1699+247</f>
        <v>7036</v>
      </c>
      <c r="Q75" s="4">
        <f>-3899-2016+3658-310+78</f>
        <v>-2489</v>
      </c>
      <c r="R75" s="4">
        <f>329-4560+13249+7127+333</f>
        <v>16478</v>
      </c>
      <c r="S75" s="4">
        <f>-304-2255-8266-4060+900</f>
        <v>-13985</v>
      </c>
      <c r="T75" s="4">
        <f>-209-4462+47-1685+156</f>
        <v>-6153</v>
      </c>
      <c r="U75" s="4">
        <f>-7059-4890+3832-1465+338</f>
        <v>-9244</v>
      </c>
      <c r="V75" s="4">
        <f>-1915-6556+7989+9333+920</f>
        <v>9771</v>
      </c>
      <c r="W75" s="4">
        <f>-2614-1516-9380-5903+1336</f>
        <v>-18077</v>
      </c>
      <c r="X75" s="4">
        <f>-3890-6799+3699-1412+321</f>
        <v>-8081</v>
      </c>
      <c r="Y75" s="4">
        <f>732-4794-1226-20+54</f>
        <v>-5254</v>
      </c>
      <c r="Z75" s="4">
        <f>3180-8788+9852+5777+505</f>
        <v>10526</v>
      </c>
      <c r="AA75" s="2">
        <f>371+1521-11264-5763+818</f>
        <v>-14317</v>
      </c>
      <c r="AB75" s="2">
        <f>-2373-5167+3029-1938+156</f>
        <v>-6293</v>
      </c>
      <c r="AC75" s="2">
        <f>808-6718+2820-1321-25</f>
        <v>-4436</v>
      </c>
      <c r="AD75" s="2">
        <f>2643-7447-2802+10888+6594+3629</f>
        <v>13505</v>
      </c>
      <c r="AE75" s="2">
        <f>1776+3684-2701-11282-2928+1568</f>
        <v>-9883</v>
      </c>
      <c r="AF75" s="2">
        <f>-3085-2209-3055+6005-4147+407</f>
        <v>-6084</v>
      </c>
      <c r="AG75" s="2">
        <f>-1509-701-4537-477+129+421</f>
        <v>-6674</v>
      </c>
    </row>
    <row r="76" spans="2:50" s="2" customFormat="1" x14ac:dyDescent="0.25">
      <c r="B76" s="2" t="s">
        <v>86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f t="shared" ref="O76:Q76" si="238">SUM(O69:O75)</f>
        <v>3064</v>
      </c>
      <c r="P76" s="4">
        <f t="shared" si="238"/>
        <v>20606</v>
      </c>
      <c r="Q76" s="4">
        <f t="shared" si="238"/>
        <v>11964</v>
      </c>
      <c r="R76" s="4">
        <f t="shared" ref="R76:AG76" si="239">SUM(R69:R75)</f>
        <v>30430</v>
      </c>
      <c r="S76" s="4">
        <f t="shared" si="239"/>
        <v>4213</v>
      </c>
      <c r="T76" s="4">
        <f t="shared" si="239"/>
        <v>12715</v>
      </c>
      <c r="U76" s="4">
        <f t="shared" si="239"/>
        <v>7313</v>
      </c>
      <c r="V76" s="4">
        <f t="shared" si="239"/>
        <v>22086</v>
      </c>
      <c r="W76" s="4">
        <f t="shared" si="239"/>
        <v>-2790</v>
      </c>
      <c r="X76" s="4">
        <f t="shared" si="239"/>
        <v>8965</v>
      </c>
      <c r="Y76" s="4">
        <f t="shared" si="239"/>
        <v>11404</v>
      </c>
      <c r="Z76" s="4">
        <f t="shared" si="239"/>
        <v>29173</v>
      </c>
      <c r="AA76" s="4">
        <f t="shared" si="239"/>
        <v>4788</v>
      </c>
      <c r="AB76" s="4">
        <f t="shared" si="239"/>
        <v>16476</v>
      </c>
      <c r="AC76" s="4">
        <f t="shared" si="239"/>
        <v>21217</v>
      </c>
      <c r="AD76" s="4">
        <f t="shared" si="239"/>
        <v>42465</v>
      </c>
      <c r="AE76" s="4">
        <f t="shared" si="239"/>
        <v>18989</v>
      </c>
      <c r="AF76" s="4">
        <f t="shared" si="239"/>
        <v>25281</v>
      </c>
      <c r="AG76" s="4">
        <f t="shared" si="239"/>
        <v>25971</v>
      </c>
      <c r="AV76" s="2">
        <v>-119.782</v>
      </c>
      <c r="AW76" s="2">
        <v>174.291</v>
      </c>
      <c r="AX76" s="2">
        <v>392.02199999999999</v>
      </c>
    </row>
    <row r="77" spans="2:50" s="2" customForma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50" s="2" customFormat="1" x14ac:dyDescent="0.25">
      <c r="B78" s="2" t="s">
        <v>91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-6795</v>
      </c>
      <c r="P78" s="4">
        <v>-7459</v>
      </c>
      <c r="Q78" s="4">
        <v>-11063</v>
      </c>
      <c r="R78" s="4">
        <v>-14824</v>
      </c>
      <c r="S78" s="4">
        <v>-12082</v>
      </c>
      <c r="T78" s="4">
        <v>-14288</v>
      </c>
      <c r="U78" s="4">
        <v>-15748</v>
      </c>
      <c r="V78" s="4">
        <v>-18935</v>
      </c>
      <c r="W78" s="4">
        <v>-14951</v>
      </c>
      <c r="X78" s="4">
        <v>-15724</v>
      </c>
      <c r="Y78" s="4">
        <v>-16378</v>
      </c>
      <c r="Z78" s="4">
        <v>-16592</v>
      </c>
      <c r="AA78" s="2">
        <v>-14207</v>
      </c>
      <c r="AB78" s="2">
        <v>-11455</v>
      </c>
      <c r="AC78" s="2">
        <v>-12479</v>
      </c>
      <c r="AD78" s="2">
        <v>-14588</v>
      </c>
      <c r="AE78" s="2">
        <v>-14925</v>
      </c>
      <c r="AF78" s="2">
        <v>-17620</v>
      </c>
      <c r="AG78" s="2">
        <v>-22620</v>
      </c>
    </row>
    <row r="79" spans="2:50" s="2" customFormat="1" x14ac:dyDescent="0.25">
      <c r="B79" s="2" t="s">
        <v>93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1367</v>
      </c>
      <c r="P79" s="4">
        <v>844</v>
      </c>
      <c r="Q79" s="4">
        <v>1255</v>
      </c>
      <c r="R79" s="4">
        <v>1629</v>
      </c>
      <c r="S79" s="4">
        <v>895</v>
      </c>
      <c r="T79" s="4">
        <v>1300</v>
      </c>
      <c r="U79" s="4">
        <v>997</v>
      </c>
      <c r="V79" s="4">
        <v>2465</v>
      </c>
      <c r="W79" s="4">
        <v>1209</v>
      </c>
      <c r="X79" s="4">
        <v>1626</v>
      </c>
      <c r="Y79" s="4">
        <v>1337</v>
      </c>
      <c r="Z79" s="4">
        <v>1152</v>
      </c>
      <c r="AA79" s="2">
        <v>1137</v>
      </c>
      <c r="AB79" s="2">
        <v>1043</v>
      </c>
      <c r="AC79" s="2">
        <v>1181</v>
      </c>
      <c r="AD79" s="2">
        <v>1235</v>
      </c>
      <c r="AE79" s="2">
        <v>990</v>
      </c>
      <c r="AF79" s="2">
        <v>1227</v>
      </c>
      <c r="AG79" s="2">
        <v>1342</v>
      </c>
    </row>
    <row r="80" spans="2:50" s="2" customFormat="1" x14ac:dyDescent="0.25">
      <c r="B80" s="2" t="s">
        <v>94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-91</v>
      </c>
      <c r="P80" s="4">
        <v>-118</v>
      </c>
      <c r="Q80" s="4">
        <v>-1735</v>
      </c>
      <c r="R80" s="4">
        <v>-380</v>
      </c>
      <c r="S80" s="4">
        <v>-630</v>
      </c>
      <c r="T80" s="4">
        <v>-320</v>
      </c>
      <c r="U80" s="4">
        <v>-654</v>
      </c>
      <c r="V80" s="4">
        <v>-381</v>
      </c>
      <c r="W80" s="4">
        <v>-6341</v>
      </c>
      <c r="X80" s="4">
        <v>-259</v>
      </c>
      <c r="Y80" s="4">
        <v>-885</v>
      </c>
      <c r="Z80" s="4">
        <v>-831</v>
      </c>
      <c r="AA80" s="2">
        <v>-3513</v>
      </c>
      <c r="AB80" s="2">
        <v>-316</v>
      </c>
      <c r="AC80" s="2">
        <v>-1629</v>
      </c>
      <c r="AD80" s="2">
        <v>-381</v>
      </c>
      <c r="AE80" s="2">
        <v>-3354</v>
      </c>
      <c r="AF80" s="2">
        <v>-571</v>
      </c>
      <c r="AG80" s="2">
        <v>-622</v>
      </c>
    </row>
    <row r="81" spans="2:45" s="2" customFormat="1" x14ac:dyDescent="0.25">
      <c r="B81" s="2" t="s">
        <v>95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f>11626-15001</f>
        <v>-3375</v>
      </c>
      <c r="P81" s="4">
        <f>8138-19209</f>
        <v>-11071</v>
      </c>
      <c r="Q81" s="4">
        <f>13135-17468</f>
        <v>-4333</v>
      </c>
      <c r="R81" s="4">
        <f>17338-20801</f>
        <v>-3463</v>
      </c>
      <c r="S81" s="4">
        <f>17826-14675</f>
        <v>3151</v>
      </c>
      <c r="T81" s="4">
        <f>13213-21985</f>
        <v>-8772</v>
      </c>
      <c r="U81" s="4">
        <f>15808-15231</f>
        <v>577</v>
      </c>
      <c r="V81" s="4">
        <f>12537-8266</f>
        <v>4271</v>
      </c>
      <c r="W81" s="4">
        <f>22753-1764</f>
        <v>20989</v>
      </c>
      <c r="X81" s="4">
        <f>2608-329</f>
        <v>2279</v>
      </c>
      <c r="Y81" s="4">
        <f>557-239</f>
        <v>318</v>
      </c>
      <c r="Z81" s="4">
        <f>5683-233</f>
        <v>5450</v>
      </c>
      <c r="AA81" s="2">
        <f>1115-338</f>
        <v>777</v>
      </c>
      <c r="AB81" s="2">
        <f>1551-496</f>
        <v>1055</v>
      </c>
      <c r="AC81" s="2">
        <f>1393-219</f>
        <v>1174</v>
      </c>
      <c r="AD81" s="2">
        <f>1568-435</f>
        <v>1133</v>
      </c>
      <c r="AE81" s="2">
        <f>1392-1965</f>
        <v>-573</v>
      </c>
      <c r="AF81" s="2">
        <f>3265-8439</f>
        <v>-5174</v>
      </c>
      <c r="AG81" s="2">
        <f>8069-3068</f>
        <v>5001</v>
      </c>
    </row>
    <row r="82" spans="2:45" s="2" customFormat="1" x14ac:dyDescent="0.25">
      <c r="B82" s="2" t="s">
        <v>92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f t="shared" ref="O82:Q82" si="240">SUM(O78:O81)</f>
        <v>-8894</v>
      </c>
      <c r="P82" s="4">
        <f t="shared" si="240"/>
        <v>-17804</v>
      </c>
      <c r="Q82" s="4">
        <f t="shared" si="240"/>
        <v>-15876</v>
      </c>
      <c r="R82" s="4">
        <f t="shared" ref="R82:AG82" si="241">SUM(R78:R81)</f>
        <v>-17038</v>
      </c>
      <c r="S82" s="4">
        <f t="shared" si="241"/>
        <v>-8666</v>
      </c>
      <c r="T82" s="4">
        <f t="shared" si="241"/>
        <v>-22080</v>
      </c>
      <c r="U82" s="4">
        <f t="shared" si="241"/>
        <v>-14828</v>
      </c>
      <c r="V82" s="4">
        <f t="shared" si="241"/>
        <v>-12580</v>
      </c>
      <c r="W82" s="4">
        <f t="shared" si="241"/>
        <v>906</v>
      </c>
      <c r="X82" s="4">
        <f t="shared" si="241"/>
        <v>-12078</v>
      </c>
      <c r="Y82" s="4">
        <f t="shared" si="241"/>
        <v>-15608</v>
      </c>
      <c r="Z82" s="4">
        <f t="shared" si="241"/>
        <v>-10821</v>
      </c>
      <c r="AA82" s="4">
        <f t="shared" si="241"/>
        <v>-15806</v>
      </c>
      <c r="AB82" s="4">
        <f t="shared" si="241"/>
        <v>-9673</v>
      </c>
      <c r="AC82" s="4">
        <f t="shared" si="241"/>
        <v>-11753</v>
      </c>
      <c r="AD82" s="4">
        <f t="shared" si="241"/>
        <v>-12601</v>
      </c>
      <c r="AE82" s="4">
        <f t="shared" si="241"/>
        <v>-17862</v>
      </c>
      <c r="AF82" s="4">
        <f t="shared" si="241"/>
        <v>-22138</v>
      </c>
      <c r="AG82" s="4">
        <f t="shared" si="241"/>
        <v>-16899</v>
      </c>
    </row>
    <row r="83" spans="2:45" s="2" customForma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45" s="2" customFormat="1" x14ac:dyDescent="0.25">
      <c r="B84" s="2" t="s">
        <v>97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-2666</v>
      </c>
      <c r="X84" s="4">
        <v>-3334</v>
      </c>
      <c r="Y84" s="4">
        <v>0</v>
      </c>
      <c r="Z84" s="4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</row>
    <row r="85" spans="2:45" s="2" customFormat="1" x14ac:dyDescent="0.25">
      <c r="B85" s="2" t="s">
        <v>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f>693-667-2600-17</f>
        <v>-2591</v>
      </c>
      <c r="P85" s="4">
        <f>2433-1906+9918-205-2817-15</f>
        <v>7408</v>
      </c>
      <c r="Q85" s="4">
        <f>1311-1349-1198-2857-12</f>
        <v>-4105</v>
      </c>
      <c r="R85" s="4">
        <f>2434-2291+531-113-2368-9</f>
        <v>-1816</v>
      </c>
      <c r="S85" s="4">
        <f>1926-2001+111-39-3406-67</f>
        <v>-3476</v>
      </c>
      <c r="T85" s="4">
        <f>18516-41-2804-28</f>
        <v>15643</v>
      </c>
      <c r="U85" s="4">
        <f>2187-1917+176-509-2693-20</f>
        <v>-2776</v>
      </c>
      <c r="V85" s="4">
        <f>2667-2659+200-1001-2260-47</f>
        <v>-3100</v>
      </c>
      <c r="W85" s="4">
        <f>13743-6231-2777-79</f>
        <v>4656</v>
      </c>
      <c r="X85" s="4">
        <f>4865-7610+12824-1-2059-59</f>
        <v>7960</v>
      </c>
      <c r="Y85" s="4">
        <f>12338-7916+107-1465-48</f>
        <v>3016</v>
      </c>
      <c r="Z85" s="4">
        <f>10607-15797+8235-1257-1640-62</f>
        <v>86</v>
      </c>
      <c r="AA85" s="2">
        <f>12780-3603-1386-1380-57</f>
        <v>6354</v>
      </c>
      <c r="AB85" s="2">
        <f>4399-7641-2000-1220-77</f>
        <v>-6539</v>
      </c>
      <c r="AC85" s="2">
        <f>216-8095-1005-64</f>
        <v>-8948</v>
      </c>
      <c r="AD85" s="2">
        <f>734-6338-290-779-73</f>
        <v>-6746</v>
      </c>
      <c r="AE85" s="2">
        <f>338-404-330-770-90</f>
        <v>-1256</v>
      </c>
      <c r="AF85" s="2">
        <f>525-229-4169-538-79</f>
        <v>-4490</v>
      </c>
      <c r="AG85" s="2">
        <f>1725-1820-2183-402-78</f>
        <v>-2758</v>
      </c>
    </row>
    <row r="86" spans="2:45" s="2" customFormat="1" x14ac:dyDescent="0.25">
      <c r="B86" s="2" t="s">
        <v>96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:Q86" si="242">SUM(O84:O85)</f>
        <v>-2591</v>
      </c>
      <c r="P86" s="4">
        <f t="shared" si="242"/>
        <v>7408</v>
      </c>
      <c r="Q86" s="4">
        <f t="shared" si="242"/>
        <v>-4105</v>
      </c>
      <c r="R86" s="4">
        <f t="shared" ref="R86:AG86" si="243">SUM(R84:R85)</f>
        <v>-1816</v>
      </c>
      <c r="S86" s="4">
        <f t="shared" si="243"/>
        <v>-3476</v>
      </c>
      <c r="T86" s="4">
        <f t="shared" si="243"/>
        <v>15643</v>
      </c>
      <c r="U86" s="4">
        <f t="shared" si="243"/>
        <v>-2776</v>
      </c>
      <c r="V86" s="4">
        <f t="shared" si="243"/>
        <v>-3100</v>
      </c>
      <c r="W86" s="4">
        <f t="shared" si="243"/>
        <v>1990</v>
      </c>
      <c r="X86" s="4">
        <f t="shared" si="243"/>
        <v>4626</v>
      </c>
      <c r="Y86" s="4">
        <f t="shared" si="243"/>
        <v>3016</v>
      </c>
      <c r="Z86" s="4">
        <f t="shared" si="243"/>
        <v>86</v>
      </c>
      <c r="AA86" s="4">
        <f t="shared" si="243"/>
        <v>6354</v>
      </c>
      <c r="AB86" s="4">
        <f t="shared" si="243"/>
        <v>-6539</v>
      </c>
      <c r="AC86" s="4">
        <f t="shared" si="243"/>
        <v>-8948</v>
      </c>
      <c r="AD86" s="4">
        <f t="shared" si="243"/>
        <v>-6746</v>
      </c>
      <c r="AE86" s="4">
        <f t="shared" si="243"/>
        <v>-1256</v>
      </c>
      <c r="AF86" s="4">
        <f t="shared" si="243"/>
        <v>-4490</v>
      </c>
      <c r="AG86" s="4">
        <f t="shared" si="243"/>
        <v>-2758</v>
      </c>
    </row>
    <row r="87" spans="2:45" s="2" customFormat="1" x14ac:dyDescent="0.25">
      <c r="B87" s="2" t="s">
        <v>98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-484</v>
      </c>
      <c r="P87" s="4">
        <v>127</v>
      </c>
      <c r="Q87" s="4">
        <v>377</v>
      </c>
      <c r="R87" s="4">
        <v>599</v>
      </c>
      <c r="S87" s="4">
        <v>-293</v>
      </c>
      <c r="T87" s="4">
        <v>234</v>
      </c>
      <c r="U87" s="4">
        <v>-199</v>
      </c>
      <c r="V87" s="4">
        <v>-106</v>
      </c>
      <c r="W87" s="4">
        <v>16</v>
      </c>
      <c r="X87" s="4">
        <v>-412</v>
      </c>
      <c r="Y87" s="4">
        <v>-1334</v>
      </c>
      <c r="Z87" s="4">
        <v>637</v>
      </c>
      <c r="AA87" s="2">
        <v>145</v>
      </c>
      <c r="AB87" s="2">
        <v>69</v>
      </c>
      <c r="AC87" s="2">
        <v>-502</v>
      </c>
      <c r="AD87" s="2">
        <v>691</v>
      </c>
      <c r="AE87" s="2">
        <v>-429</v>
      </c>
      <c r="AF87" s="2">
        <v>-312</v>
      </c>
      <c r="AG87" s="2">
        <v>690</v>
      </c>
    </row>
    <row r="88" spans="2:45" s="2" customFormat="1" x14ac:dyDescent="0.25">
      <c r="B88" s="2" t="s">
        <v>99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f t="shared" ref="O88" si="244">+O87+O86+O82+O76</f>
        <v>-8905</v>
      </c>
      <c r="P88" s="4">
        <f>+P87+P86+P82+P76</f>
        <v>10337</v>
      </c>
      <c r="Q88" s="4">
        <f>+Q87+Q86+Q82+Q76</f>
        <v>-7640</v>
      </c>
      <c r="R88" s="4">
        <f t="shared" ref="R88:AG88" si="245">+R87+R86+R82+R76</f>
        <v>12175</v>
      </c>
      <c r="S88" s="4">
        <f t="shared" si="245"/>
        <v>-8222</v>
      </c>
      <c r="T88" s="4">
        <f t="shared" si="245"/>
        <v>6512</v>
      </c>
      <c r="U88" s="4">
        <f t="shared" si="245"/>
        <v>-10490</v>
      </c>
      <c r="V88" s="4">
        <f t="shared" si="245"/>
        <v>6300</v>
      </c>
      <c r="W88" s="4">
        <f t="shared" si="245"/>
        <v>122</v>
      </c>
      <c r="X88" s="4">
        <f t="shared" si="245"/>
        <v>1101</v>
      </c>
      <c r="Y88" s="4">
        <f t="shared" si="245"/>
        <v>-2522</v>
      </c>
      <c r="Z88" s="4">
        <f t="shared" si="245"/>
        <v>19075</v>
      </c>
      <c r="AA88" s="4">
        <f t="shared" si="245"/>
        <v>-4519</v>
      </c>
      <c r="AB88" s="4">
        <f t="shared" si="245"/>
        <v>333</v>
      </c>
      <c r="AC88" s="4">
        <f t="shared" si="245"/>
        <v>14</v>
      </c>
      <c r="AD88" s="4">
        <f t="shared" si="245"/>
        <v>23809</v>
      </c>
      <c r="AE88" s="4">
        <f t="shared" si="245"/>
        <v>-558</v>
      </c>
      <c r="AF88" s="4">
        <f t="shared" si="245"/>
        <v>-1659</v>
      </c>
      <c r="AG88" s="4">
        <f t="shared" si="245"/>
        <v>7004</v>
      </c>
    </row>
    <row r="90" spans="2:45" s="2" customFormat="1" x14ac:dyDescent="0.25">
      <c r="B90" s="2" t="s">
        <v>46</v>
      </c>
      <c r="C90" s="4"/>
      <c r="D90" s="4"/>
      <c r="E90" s="4"/>
      <c r="F90" s="4"/>
      <c r="G90" s="4"/>
      <c r="H90" s="4"/>
      <c r="I90" s="4"/>
      <c r="J90" s="4">
        <v>647.5</v>
      </c>
      <c r="K90" s="4">
        <v>630.6</v>
      </c>
      <c r="L90" s="4">
        <v>653.29999999999995</v>
      </c>
      <c r="M90" s="4">
        <v>750</v>
      </c>
      <c r="N90" s="4">
        <v>798</v>
      </c>
      <c r="O90" s="4">
        <v>840.4</v>
      </c>
      <c r="P90" s="4">
        <v>876.8</v>
      </c>
      <c r="Q90" s="4">
        <v>1125.3</v>
      </c>
      <c r="R90" s="4">
        <v>1298</v>
      </c>
      <c r="S90" s="4">
        <v>1271</v>
      </c>
      <c r="T90" s="4">
        <v>1335</v>
      </c>
      <c r="U90" s="4">
        <v>1468</v>
      </c>
      <c r="V90" s="4">
        <v>1608</v>
      </c>
      <c r="W90" s="4">
        <v>1622</v>
      </c>
      <c r="X90" s="4">
        <v>1523</v>
      </c>
      <c r="Y90" s="4">
        <v>1544</v>
      </c>
      <c r="Z90" s="4">
        <v>1541</v>
      </c>
      <c r="AA90" s="2">
        <v>1465</v>
      </c>
      <c r="AB90" s="2">
        <v>1461</v>
      </c>
      <c r="AC90" s="2">
        <v>1500</v>
      </c>
      <c r="AD90" s="2">
        <v>1525</v>
      </c>
      <c r="AE90" s="2">
        <v>1521</v>
      </c>
      <c r="AF90" s="2">
        <v>1532</v>
      </c>
      <c r="AG90" s="2">
        <v>1551</v>
      </c>
      <c r="AS90" s="2">
        <v>2.1</v>
      </c>
    </row>
    <row r="92" spans="2:45" s="2" customFormat="1" x14ac:dyDescent="0.25">
      <c r="B92" s="2" t="s">
        <v>81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1900</v>
      </c>
      <c r="O92" s="4">
        <v>1312</v>
      </c>
      <c r="P92" s="4">
        <v>2141</v>
      </c>
      <c r="Q92" s="4">
        <v>2252</v>
      </c>
      <c r="R92" s="4">
        <v>2946</v>
      </c>
      <c r="S92" s="4">
        <v>3450</v>
      </c>
      <c r="T92" s="4">
        <v>3147</v>
      </c>
      <c r="U92" s="4">
        <v>880</v>
      </c>
      <c r="V92" s="4">
        <v>-206</v>
      </c>
      <c r="W92" s="4">
        <v>-1568</v>
      </c>
      <c r="X92" s="4">
        <v>-627</v>
      </c>
      <c r="Y92" s="4">
        <v>-412</v>
      </c>
      <c r="Z92" s="4">
        <v>-240</v>
      </c>
      <c r="AA92" s="2">
        <v>898</v>
      </c>
      <c r="AB92" s="2">
        <v>3211</v>
      </c>
      <c r="AC92" s="2">
        <v>4307</v>
      </c>
      <c r="AD92" s="2">
        <v>6461</v>
      </c>
      <c r="AE92" s="2">
        <v>898</v>
      </c>
      <c r="AF92" s="2">
        <v>5065</v>
      </c>
      <c r="AG92" s="2">
        <v>5663</v>
      </c>
    </row>
    <row r="93" spans="2:45" s="2" customFormat="1" x14ac:dyDescent="0.25">
      <c r="B93" s="2" t="s">
        <v>82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>
        <v>-617</v>
      </c>
      <c r="O93" s="4">
        <v>-398</v>
      </c>
      <c r="P93" s="4">
        <v>345</v>
      </c>
      <c r="Q93" s="4">
        <v>407</v>
      </c>
      <c r="R93" s="4">
        <v>363</v>
      </c>
      <c r="S93" s="4">
        <v>1252</v>
      </c>
      <c r="T93" s="4">
        <v>362</v>
      </c>
      <c r="U93" s="4">
        <v>-911</v>
      </c>
      <c r="V93" s="4">
        <v>-1627</v>
      </c>
      <c r="W93" s="4">
        <v>-1281</v>
      </c>
      <c r="X93" s="4">
        <v>-1771</v>
      </c>
      <c r="Y93" s="4">
        <v>-2466</v>
      </c>
      <c r="Z93" s="4">
        <v>-2228</v>
      </c>
      <c r="AA93" s="2">
        <v>-1247</v>
      </c>
      <c r="AB93" s="2">
        <v>-895</v>
      </c>
      <c r="AC93" s="2">
        <v>-95</v>
      </c>
      <c r="AD93" s="2">
        <v>-419</v>
      </c>
      <c r="AE93" s="2">
        <v>-1247</v>
      </c>
      <c r="AF93" s="2">
        <v>273</v>
      </c>
      <c r="AG93" s="2">
        <v>1301</v>
      </c>
    </row>
    <row r="94" spans="2:45" s="2" customFormat="1" x14ac:dyDescent="0.25">
      <c r="B94" s="2" t="s">
        <v>83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>
        <v>2596</v>
      </c>
      <c r="O94" s="4">
        <v>3075</v>
      </c>
      <c r="P94" s="4">
        <v>3357</v>
      </c>
      <c r="Q94" s="4">
        <v>3535</v>
      </c>
      <c r="R94" s="4">
        <v>3564</v>
      </c>
      <c r="S94" s="4">
        <v>4163</v>
      </c>
      <c r="T94" s="4">
        <v>4193</v>
      </c>
      <c r="U94" s="4">
        <v>4883</v>
      </c>
      <c r="V94" s="4">
        <v>5293</v>
      </c>
      <c r="W94" s="4">
        <v>6518</v>
      </c>
      <c r="X94" s="4">
        <v>5715</v>
      </c>
      <c r="Y94" s="4">
        <v>5403</v>
      </c>
      <c r="Z94" s="4">
        <v>5205</v>
      </c>
      <c r="AA94" s="2">
        <v>5123</v>
      </c>
      <c r="AB94" s="2">
        <v>5365</v>
      </c>
      <c r="AC94" s="2">
        <v>6976</v>
      </c>
      <c r="AD94" s="2">
        <v>7167</v>
      </c>
      <c r="AE94" s="2">
        <v>5123</v>
      </c>
      <c r="AF94" s="2">
        <v>9334</v>
      </c>
      <c r="AG94" s="2">
        <v>10447</v>
      </c>
    </row>
    <row r="96" spans="2:45" x14ac:dyDescent="0.25">
      <c r="B96" s="2" t="s">
        <v>102</v>
      </c>
      <c r="O96" s="4">
        <f t="shared" ref="O96:W96" si="246">+O76+O78+O79</f>
        <v>-2364</v>
      </c>
      <c r="P96" s="4">
        <f t="shared" si="246"/>
        <v>13991</v>
      </c>
      <c r="Q96" s="4">
        <f t="shared" si="246"/>
        <v>2156</v>
      </c>
      <c r="R96" s="4">
        <f t="shared" si="246"/>
        <v>17235</v>
      </c>
      <c r="S96" s="4">
        <f t="shared" si="246"/>
        <v>-6974</v>
      </c>
      <c r="T96" s="4">
        <f t="shared" si="246"/>
        <v>-273</v>
      </c>
      <c r="U96" s="4">
        <f t="shared" si="246"/>
        <v>-7438</v>
      </c>
      <c r="V96" s="4">
        <f t="shared" si="246"/>
        <v>5616</v>
      </c>
      <c r="W96" s="4">
        <f t="shared" si="246"/>
        <v>-16532</v>
      </c>
      <c r="X96" s="4">
        <f t="shared" ref="X96:Z96" si="247">+X76+X78+X79</f>
        <v>-5133</v>
      </c>
      <c r="Y96" s="4">
        <f t="shared" si="247"/>
        <v>-3637</v>
      </c>
      <c r="Z96" s="4">
        <f t="shared" si="247"/>
        <v>13733</v>
      </c>
      <c r="AA96" s="4">
        <f>+AA76+AA78+AA79</f>
        <v>-8282</v>
      </c>
      <c r="AB96" s="4">
        <f t="shared" ref="AB96:AE96" si="248">+AB76+AB78+AB79</f>
        <v>6064</v>
      </c>
      <c r="AC96" s="4">
        <f t="shared" si="248"/>
        <v>9919</v>
      </c>
      <c r="AD96" s="4">
        <f>+AD76+AD78+AD79</f>
        <v>29112</v>
      </c>
      <c r="AE96" s="4">
        <f t="shared" si="248"/>
        <v>5054</v>
      </c>
      <c r="AF96" s="4">
        <f>+AF76+AF78+AF79</f>
        <v>8888</v>
      </c>
      <c r="AG96" s="4">
        <f>+AG76+AG78+AG79</f>
        <v>4693</v>
      </c>
    </row>
    <row r="97" spans="2:46" x14ac:dyDescent="0.25">
      <c r="B97" s="2" t="s">
        <v>107</v>
      </c>
      <c r="R97" s="2">
        <f t="shared" ref="R97:T97" si="249">SUM(O96:R96)</f>
        <v>31018</v>
      </c>
      <c r="S97" s="2">
        <f t="shared" si="249"/>
        <v>26408</v>
      </c>
      <c r="T97" s="2">
        <f t="shared" si="249"/>
        <v>12144</v>
      </c>
      <c r="U97" s="2">
        <f>SUM(R96:U96)</f>
        <v>2550</v>
      </c>
      <c r="V97" s="2">
        <f>SUM(S96:V96)</f>
        <v>-9069</v>
      </c>
      <c r="W97" s="2">
        <f>SUM(T96:W96)</f>
        <v>-18627</v>
      </c>
      <c r="X97" s="2">
        <f>SUM(U96:X96)</f>
        <v>-23487</v>
      </c>
      <c r="Y97" s="2">
        <f t="shared" ref="Y97" si="250">SUM(V96:Y96)</f>
        <v>-19686</v>
      </c>
      <c r="Z97" s="2">
        <f>SUM(W96:Z96)</f>
        <v>-11569</v>
      </c>
      <c r="AA97" s="2">
        <f>SUM(X96:AA96)</f>
        <v>-3319</v>
      </c>
      <c r="AB97" s="2">
        <f t="shared" ref="AB97:AE97" si="251">SUM(Y96:AB96)</f>
        <v>7878</v>
      </c>
      <c r="AC97" s="2">
        <f t="shared" si="251"/>
        <v>21434</v>
      </c>
      <c r="AD97" s="2">
        <f t="shared" si="251"/>
        <v>36813</v>
      </c>
      <c r="AE97" s="2">
        <f t="shared" si="251"/>
        <v>50149</v>
      </c>
      <c r="AF97" s="2">
        <f>SUM(AC96:AF96)</f>
        <v>52973</v>
      </c>
      <c r="AG97" s="2">
        <f>SUM(AD96:AG96)</f>
        <v>47747</v>
      </c>
    </row>
    <row r="103" spans="2:46" x14ac:dyDescent="0.25">
      <c r="B103" t="s">
        <v>105</v>
      </c>
      <c r="AR103">
        <v>7.25</v>
      </c>
      <c r="AS103">
        <v>28.73</v>
      </c>
      <c r="AT103" s="1">
        <f>11495/AT34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2022-07-14T21:56:19Z</dcterms:created>
  <dcterms:modified xsi:type="dcterms:W3CDTF">2024-11-09T17:41:10Z</dcterms:modified>
</cp:coreProperties>
</file>