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01s\OneDrive\Pulpit\inwestycje\modele\"/>
    </mc:Choice>
  </mc:AlternateContent>
  <xr:revisionPtr revIDLastSave="0" documentId="13_ncr:1_{779386AD-D1A4-4015-A66E-F47D07C1A538}" xr6:coauthVersionLast="47" xr6:coauthVersionMax="47" xr10:uidLastSave="{00000000-0000-0000-0000-000000000000}"/>
  <bookViews>
    <workbookView xWindow="19095" yWindow="0" windowWidth="19410" windowHeight="21705" activeTab="1" xr2:uid="{B8646691-78FB-4371-BC5B-70E5C75B9FE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0" i="2" l="1"/>
  <c r="S41" i="2"/>
  <c r="S30" i="2"/>
  <c r="S32" i="2"/>
  <c r="S29" i="2"/>
  <c r="S44" i="2"/>
  <c r="S37" i="2"/>
  <c r="S28" i="2"/>
  <c r="S14" i="2"/>
  <c r="S12" i="2"/>
  <c r="S7" i="2"/>
  <c r="S22" i="2"/>
  <c r="S11" i="2"/>
  <c r="S23" i="2"/>
  <c r="R26" i="2"/>
  <c r="N26" i="2"/>
  <c r="N25" i="2"/>
  <c r="N24" i="2"/>
  <c r="N23" i="2"/>
  <c r="N22" i="2"/>
  <c r="N21" i="2"/>
  <c r="N16" i="2"/>
  <c r="N14" i="2"/>
  <c r="N13" i="2"/>
  <c r="N10" i="2"/>
  <c r="N9" i="2"/>
  <c r="N8" i="2"/>
  <c r="N6" i="2"/>
  <c r="N5" i="2"/>
  <c r="N11" i="2"/>
  <c r="N7" i="2"/>
  <c r="R16" i="2"/>
  <c r="R15" i="2"/>
  <c r="R14" i="2"/>
  <c r="R13" i="2"/>
  <c r="R10" i="2"/>
  <c r="R9" i="2"/>
  <c r="R8" i="2"/>
  <c r="R6" i="2"/>
  <c r="R5" i="2"/>
  <c r="R7" i="2"/>
  <c r="R22" i="2"/>
  <c r="F26" i="2"/>
  <c r="F25" i="2"/>
  <c r="F24" i="2"/>
  <c r="F23" i="2"/>
  <c r="F16" i="2"/>
  <c r="F14" i="2"/>
  <c r="F8" i="2"/>
  <c r="F11" i="2" s="1"/>
  <c r="J8" i="2"/>
  <c r="F7" i="2"/>
  <c r="F13" i="2"/>
  <c r="F10" i="2"/>
  <c r="F9" i="2"/>
  <c r="F6" i="2"/>
  <c r="F5" i="2"/>
  <c r="J5" i="2"/>
  <c r="S21" i="2" l="1"/>
  <c r="S24" i="2"/>
  <c r="N12" i="2"/>
  <c r="N15" i="2" s="1"/>
  <c r="N17" i="2" s="1"/>
  <c r="N18" i="2" s="1"/>
  <c r="R11" i="2"/>
  <c r="R12" i="2"/>
  <c r="R21" i="2"/>
  <c r="R23" i="2"/>
  <c r="F12" i="2"/>
  <c r="F15" i="2"/>
  <c r="F17" i="2" s="1"/>
  <c r="F18" i="2" s="1"/>
  <c r="S15" i="2" l="1"/>
  <c r="S26" i="2" s="1"/>
  <c r="R24" i="2"/>
  <c r="S17" i="2" l="1"/>
  <c r="S25" i="2"/>
  <c r="S18" i="2"/>
  <c r="R17" i="2"/>
  <c r="R25" i="2" l="1"/>
  <c r="R18" i="2"/>
  <c r="J16" i="2" l="1"/>
  <c r="J12" i="2"/>
  <c r="J13" i="2"/>
  <c r="J14" i="2"/>
  <c r="J10" i="2"/>
  <c r="J9" i="2"/>
  <c r="J6" i="2"/>
  <c r="J7" i="2" s="1"/>
  <c r="J22" i="2"/>
  <c r="E26" i="2"/>
  <c r="E25" i="2"/>
  <c r="E24" i="2"/>
  <c r="E23" i="2"/>
  <c r="E14" i="2"/>
  <c r="E5" i="2"/>
  <c r="E11" i="2"/>
  <c r="E7" i="2"/>
  <c r="D14" i="2"/>
  <c r="D5" i="2"/>
  <c r="D11" i="2"/>
  <c r="D7" i="2"/>
  <c r="D23" i="2" s="1"/>
  <c r="H14" i="2"/>
  <c r="H5" i="2"/>
  <c r="G5" i="2"/>
  <c r="H11" i="2"/>
  <c r="H7" i="2"/>
  <c r="I14" i="2"/>
  <c r="I5" i="2"/>
  <c r="I11" i="2"/>
  <c r="I7" i="2"/>
  <c r="I23" i="2" s="1"/>
  <c r="M22" i="2"/>
  <c r="K26" i="2"/>
  <c r="K25" i="2"/>
  <c r="K24" i="2"/>
  <c r="K23" i="2"/>
  <c r="K22" i="2"/>
  <c r="K21" i="2"/>
  <c r="K14" i="2"/>
  <c r="K11" i="2"/>
  <c r="K7" i="2"/>
  <c r="O14" i="2"/>
  <c r="O22" i="2"/>
  <c r="O11" i="2"/>
  <c r="O7" i="2"/>
  <c r="O23" i="2" s="1"/>
  <c r="L14" i="2"/>
  <c r="L22" i="2"/>
  <c r="L11" i="2"/>
  <c r="L7" i="2"/>
  <c r="L23" i="2" s="1"/>
  <c r="P14" i="2"/>
  <c r="P12" i="2"/>
  <c r="P7" i="2"/>
  <c r="P23" i="2" s="1"/>
  <c r="P22" i="2"/>
  <c r="P11" i="2"/>
  <c r="M16" i="2"/>
  <c r="M14" i="2"/>
  <c r="M11" i="2"/>
  <c r="M7" i="2"/>
  <c r="M23" i="2" s="1"/>
  <c r="Q14" i="2"/>
  <c r="Q12" i="2"/>
  <c r="Q23" i="2"/>
  <c r="Q22" i="2"/>
  <c r="Q11" i="2"/>
  <c r="Q7" i="2"/>
  <c r="C5" i="2"/>
  <c r="C41" i="2"/>
  <c r="C40" i="2"/>
  <c r="C44" i="2" s="1"/>
  <c r="C32" i="2"/>
  <c r="C30" i="2"/>
  <c r="C29" i="2"/>
  <c r="C28" i="2" s="1"/>
  <c r="G22" i="2"/>
  <c r="G14" i="2"/>
  <c r="G11" i="2"/>
  <c r="G7" i="2"/>
  <c r="G23" i="2" s="1"/>
  <c r="C14" i="2"/>
  <c r="C11" i="2"/>
  <c r="C7" i="2"/>
  <c r="C23" i="2" s="1"/>
  <c r="C7" i="1"/>
  <c r="J11" i="2" l="1"/>
  <c r="J23" i="2"/>
  <c r="J15" i="2"/>
  <c r="J24" i="2"/>
  <c r="J21" i="2"/>
  <c r="E12" i="2"/>
  <c r="E15" i="2" s="1"/>
  <c r="E17" i="2" s="1"/>
  <c r="E18" i="2" s="1"/>
  <c r="I22" i="2"/>
  <c r="D12" i="2"/>
  <c r="H23" i="2"/>
  <c r="H12" i="2"/>
  <c r="H21" i="2"/>
  <c r="H22" i="2"/>
  <c r="I12" i="2"/>
  <c r="I21" i="2"/>
  <c r="I24" i="2"/>
  <c r="I15" i="2"/>
  <c r="K12" i="2"/>
  <c r="K15" i="2" s="1"/>
  <c r="K17" i="2" s="1"/>
  <c r="K18" i="2" s="1"/>
  <c r="O12" i="2"/>
  <c r="O24" i="2" s="1"/>
  <c r="O21" i="2"/>
  <c r="L12" i="2"/>
  <c r="L24" i="2" s="1"/>
  <c r="L21" i="2"/>
  <c r="P15" i="2"/>
  <c r="P24" i="2"/>
  <c r="P21" i="2"/>
  <c r="Q21" i="2"/>
  <c r="M12" i="2"/>
  <c r="M24" i="2" s="1"/>
  <c r="M21" i="2"/>
  <c r="Q24" i="2"/>
  <c r="Q15" i="2"/>
  <c r="C37" i="2"/>
  <c r="G21" i="2"/>
  <c r="C12" i="2"/>
  <c r="C24" i="2" s="1"/>
  <c r="G12" i="2"/>
  <c r="J26" i="2" l="1"/>
  <c r="J17" i="2"/>
  <c r="D24" i="2"/>
  <c r="D15" i="2"/>
  <c r="H24" i="2"/>
  <c r="H15" i="2"/>
  <c r="I26" i="2"/>
  <c r="I17" i="2"/>
  <c r="O15" i="2"/>
  <c r="O26" i="2" s="1"/>
  <c r="L15" i="2"/>
  <c r="L17" i="2" s="1"/>
  <c r="L25" i="2" s="1"/>
  <c r="P26" i="2"/>
  <c r="P17" i="2"/>
  <c r="M15" i="2"/>
  <c r="M26" i="2" s="1"/>
  <c r="Q26" i="2"/>
  <c r="Q17" i="2"/>
  <c r="C15" i="2"/>
  <c r="G15" i="2"/>
  <c r="G24" i="2"/>
  <c r="C17" i="2"/>
  <c r="C26" i="2"/>
  <c r="J25" i="2" l="1"/>
  <c r="J18" i="2"/>
  <c r="D26" i="2"/>
  <c r="D17" i="2"/>
  <c r="H26" i="2"/>
  <c r="H17" i="2"/>
  <c r="I25" i="2"/>
  <c r="I18" i="2"/>
  <c r="O17" i="2"/>
  <c r="O25" i="2"/>
  <c r="O18" i="2"/>
  <c r="L26" i="2"/>
  <c r="L18" i="2"/>
  <c r="P25" i="2"/>
  <c r="P18" i="2"/>
  <c r="M17" i="2"/>
  <c r="M25" i="2"/>
  <c r="M18" i="2"/>
  <c r="Q25" i="2"/>
  <c r="Q18" i="2"/>
  <c r="C18" i="2"/>
  <c r="C25" i="2"/>
  <c r="G17" i="2"/>
  <c r="G26" i="2"/>
  <c r="D25" i="2" l="1"/>
  <c r="D18" i="2"/>
  <c r="H25" i="2"/>
  <c r="H18" i="2"/>
  <c r="G18" i="2"/>
  <c r="G25" i="2"/>
</calcChain>
</file>

<file path=xl/sharedStrings.xml><?xml version="1.0" encoding="utf-8"?>
<sst xmlns="http://schemas.openxmlformats.org/spreadsheetml/2006/main" count="68" uniqueCount="62">
  <si>
    <t>Q224</t>
  </si>
  <si>
    <t>Revenue</t>
  </si>
  <si>
    <t>Gross Margin</t>
  </si>
  <si>
    <t>Net Income</t>
  </si>
  <si>
    <t>PP&amp;E</t>
  </si>
  <si>
    <t>Main</t>
  </si>
  <si>
    <t>Price</t>
  </si>
  <si>
    <t>Cash</t>
  </si>
  <si>
    <t>MC</t>
  </si>
  <si>
    <t>Shares</t>
  </si>
  <si>
    <t>Debt</t>
  </si>
  <si>
    <t>EV</t>
  </si>
  <si>
    <t>Q120</t>
  </si>
  <si>
    <t>Q121</t>
  </si>
  <si>
    <t>Q221</t>
  </si>
  <si>
    <t>Q220</t>
  </si>
  <si>
    <t>Q320</t>
  </si>
  <si>
    <t>Q420</t>
  </si>
  <si>
    <t>Automotive</t>
  </si>
  <si>
    <t>Ford Credit</t>
  </si>
  <si>
    <t>COGS</t>
  </si>
  <si>
    <t>S&amp;A</t>
  </si>
  <si>
    <t>Other</t>
  </si>
  <si>
    <t>Operating expense</t>
  </si>
  <si>
    <t>Operating Inc</t>
  </si>
  <si>
    <t>Interest expense</t>
  </si>
  <si>
    <t xml:space="preserve">Pretax </t>
  </si>
  <si>
    <t>Taxes</t>
  </si>
  <si>
    <t>EPS</t>
  </si>
  <si>
    <t>Operatin Margin</t>
  </si>
  <si>
    <t>Net Margin</t>
  </si>
  <si>
    <t>Tax Rate</t>
  </si>
  <si>
    <t>Revenue Y/Y</t>
  </si>
  <si>
    <t>Automotive Y/Y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</si>
  <si>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</si>
  <si>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</si>
  <si>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</si>
  <si>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</si>
  <si>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</si>
  <si>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</si>
  <si>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</si>
  <si>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</si>
  <si>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</si>
  <si>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</si>
  <si>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</si>
  <si>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</si>
  <si>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</si>
  <si>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Q125</t>
  </si>
  <si>
    <t>Q225</t>
  </si>
  <si>
    <t>Q325</t>
  </si>
  <si>
    <t>Q425</t>
  </si>
  <si>
    <t>Net Cash</t>
  </si>
  <si>
    <t>Receivables</t>
  </si>
  <si>
    <t>Inventories</t>
  </si>
  <si>
    <t>Leases</t>
  </si>
  <si>
    <t>Equity of AC</t>
  </si>
  <si>
    <t>DT</t>
  </si>
  <si>
    <t>Total Assets</t>
  </si>
  <si>
    <t>AP</t>
  </si>
  <si>
    <t>DR</t>
  </si>
  <si>
    <t>SE</t>
  </si>
  <si>
    <t>Total L+SE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</si>
</sst>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/>
    <xf numFmtId="3" fontId="2" fillId="0" borderId="0" xfId="0" applyNumberFormat="1" applyFont="1"/>
    <xf numFmtId="3" fontId="1" fillId="0" borderId="0" xfId="0" applyNumberFormat="1" applyFont="1"/>
    <xf numFmtId="10" fontId="0" fillId="0" borderId="0" xfId="0" applyNumberFormat="1"/>
  </cellXfs>
  <cellStyles count="1">
    <cellStyle name="Normalny" xfId="0" builtinId="0"/>
  </cellStyles>
  <dxfs count="0"/>
  <tableStyles count="1" defaultTableStyle="TableStyleMedium2" defaultPivotStyle="PivotStyleLight16">
    <tableStyle name="Invisible" pivot="0" table="0" count="0" xr9:uid="{08A7BBC4-72FF-4387-94ED-67B01B0DC0C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5270E-94D0-401B-AD99-524AA7DF972C}">
  <dimension ref="B2:K7"/>
  <sheetViews>
    <sheetView zoomScale="136" zoomScaleNormal="136" workbookViewId="0">
      <selection activeCell="C8" sqref="C8"/>
    </sheetView>
  </sheetViews>
  <sheetFormatPr defaultRowHeight="12.75" x14ac:dyDescent="0.2"/>
  <sheetData>
    <row r="2" spans="2:11" x14ac:dyDescent="0.2">
      <c r="B2" t="s">
        <v>6</v>
      </c>
      <c r="C2">
        <v>11.04</v>
      </c>
      <c r="K2" s="1"/>
    </row>
    <row r="3" spans="2:11" x14ac:dyDescent="0.2">
      <c r="B3" t="s">
        <v>9</v>
      </c>
    </row>
    <row r="4" spans="2:11" x14ac:dyDescent="0.2">
      <c r="B4" t="s">
        <v>8</v>
      </c>
    </row>
    <row r="5" spans="2:11" x14ac:dyDescent="0.2">
      <c r="B5" t="s">
        <v>7</v>
      </c>
    </row>
    <row r="6" spans="2:11" x14ac:dyDescent="0.2">
      <c r="B6" t="s">
        <v>10</v>
      </c>
    </row>
    <row r="7" spans="2:11" x14ac:dyDescent="0.2">
      <c r="B7" t="s">
        <v>11</v>
      </c>
      <c r="C7">
        <f>C4+C6-C5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1917-BE7A-4362-84C6-AE73155838B0}">
  <dimension ref="A1:Z44"/>
  <sheetViews>
    <sheetView tabSelected="1" zoomScale="110" zoomScaleNormal="11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H49" sqref="H49"/>
    </sheetView>
  </sheetViews>
  <sheetFormatPr defaultRowHeight="12.75" x14ac:dyDescent="0.2"/>
  <cols>
    <col min="1" max="1" width="5" style="3" bestFit="1" customWidth="1"/>
    <col min="2" max="2" width="15.85546875" style="3" bestFit="1" customWidth="1"/>
    <col min="3" max="9" width="9.140625" style="3" customWidth="1"/>
    <col min="10" max="10" width="9.140625" style="2" customWidth="1"/>
    <col min="11" max="16384" width="9.140625" style="3"/>
  </cols>
  <sheetData>
    <row r="1" spans="1:26" x14ac:dyDescent="0.2">
      <c r="A1" s="3" t="s">
        <v>5</v>
      </c>
    </row>
    <row r="2" spans="1:26" s="2" customFormat="1" x14ac:dyDescent="0.2">
      <c r="C2" s="2" t="s">
        <v>12</v>
      </c>
      <c r="D2" s="2" t="s">
        <v>15</v>
      </c>
      <c r="E2" s="2" t="s">
        <v>16</v>
      </c>
      <c r="F2" s="2" t="s">
        <v>17</v>
      </c>
      <c r="G2" s="2" t="s">
        <v>13</v>
      </c>
      <c r="H2" s="2" t="s">
        <v>14</v>
      </c>
      <c r="I2" s="2" t="s">
        <v>34</v>
      </c>
      <c r="J2" s="2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40</v>
      </c>
      <c r="P2" s="2" t="s">
        <v>41</v>
      </c>
      <c r="Q2" s="2" t="s">
        <v>42</v>
      </c>
      <c r="R2" s="2" t="s">
        <v>43</v>
      </c>
      <c r="S2" s="2" t="s">
        <v>44</v>
      </c>
      <c r="T2" s="2" t="s">
        <v>0</v>
      </c>
      <c r="U2" s="2" t="s">
        <v>45</v>
      </c>
      <c r="V2" s="2" t="s">
        <v>46</v>
      </c>
      <c r="W2" s="2" t="s">
        <v>47</v>
      </c>
      <c r="X2" s="2" t="s">
        <v>48</v>
      </c>
      <c r="Y2" s="2" t="s">
        <v>49</v>
      </c>
      <c r="Z2" s="2" t="s">
        <v>50</v>
      </c>
    </row>
    <row r="3" spans="1:26" s="2" customFormat="1" x14ac:dyDescent="0.2"/>
    <row r="4" spans="1:26" s="2" customFormat="1" x14ac:dyDescent="0.2"/>
    <row r="5" spans="1:26" x14ac:dyDescent="0.2">
      <c r="B5" s="3" t="s">
        <v>18</v>
      </c>
      <c r="C5" s="3">
        <f>31342+11</f>
        <v>31353</v>
      </c>
      <c r="D5" s="3">
        <f>16625+7</f>
        <v>16632</v>
      </c>
      <c r="E5" s="3">
        <f>34710+17</f>
        <v>34727</v>
      </c>
      <c r="F5" s="3">
        <f>115894+47-E5-D5-C5</f>
        <v>33229</v>
      </c>
      <c r="G5" s="3">
        <f>33554+11</f>
        <v>33565</v>
      </c>
      <c r="H5" s="3">
        <f>24128+21</f>
        <v>24149</v>
      </c>
      <c r="I5" s="3">
        <f>33211+38</f>
        <v>33249</v>
      </c>
      <c r="J5" s="3">
        <f>126150+118-I5-H5-G5</f>
        <v>35305</v>
      </c>
      <c r="K5" s="3">
        <v>32195</v>
      </c>
      <c r="L5" s="3">
        <v>37934</v>
      </c>
      <c r="M5" s="3">
        <v>37205</v>
      </c>
      <c r="N5" s="3">
        <f>149079-M5-L5-K5</f>
        <v>41745</v>
      </c>
      <c r="O5" s="3">
        <v>39085</v>
      </c>
      <c r="P5" s="3">
        <v>42427</v>
      </c>
      <c r="Q5" s="3">
        <v>41176</v>
      </c>
      <c r="R5" s="3">
        <f>165901-Q5-P5-O5</f>
        <v>43213</v>
      </c>
      <c r="S5" s="3">
        <v>39890</v>
      </c>
    </row>
    <row r="6" spans="1:26" x14ac:dyDescent="0.2">
      <c r="B6" s="3" t="s">
        <v>19</v>
      </c>
      <c r="C6" s="3">
        <v>2967</v>
      </c>
      <c r="D6" s="3">
        <v>2739</v>
      </c>
      <c r="E6" s="3">
        <v>2774</v>
      </c>
      <c r="F6" s="3">
        <f>11203-E6-D6-C6</f>
        <v>2723</v>
      </c>
      <c r="G6" s="3">
        <v>2663</v>
      </c>
      <c r="H6" s="3">
        <v>2603</v>
      </c>
      <c r="I6" s="3">
        <v>2434</v>
      </c>
      <c r="J6" s="3">
        <f>10073-I6-H6-G6</f>
        <v>2373</v>
      </c>
      <c r="K6" s="3">
        <v>2281</v>
      </c>
      <c r="L6" s="3">
        <v>2256</v>
      </c>
      <c r="M6" s="3">
        <v>2187</v>
      </c>
      <c r="N6" s="3">
        <f>8978-M6-L6-K6</f>
        <v>2254</v>
      </c>
      <c r="O6" s="3">
        <v>2389</v>
      </c>
      <c r="P6" s="3">
        <v>2527</v>
      </c>
      <c r="Q6" s="3">
        <v>2625</v>
      </c>
      <c r="R6" s="3">
        <f>10290-Q6-P6-O6</f>
        <v>2749</v>
      </c>
      <c r="S6" s="3">
        <v>2887</v>
      </c>
    </row>
    <row r="7" spans="1:26" s="4" customFormat="1" x14ac:dyDescent="0.2">
      <c r="B7" s="4" t="s">
        <v>1</v>
      </c>
      <c r="C7" s="4">
        <f>SUM(C5:C6)</f>
        <v>34320</v>
      </c>
      <c r="D7" s="4">
        <f>SUM(D5:D6)</f>
        <v>19371</v>
      </c>
      <c r="E7" s="4">
        <f>SUM(E5:E6)</f>
        <v>37501</v>
      </c>
      <c r="F7" s="4">
        <f>SUM(F5:F6)</f>
        <v>35952</v>
      </c>
      <c r="G7" s="4">
        <f>SUM(G5:G6)</f>
        <v>36228</v>
      </c>
      <c r="H7" s="4">
        <f>SUM(H5:H6)</f>
        <v>26752</v>
      </c>
      <c r="I7" s="4">
        <f>SUM(I5:I6)</f>
        <v>35683</v>
      </c>
      <c r="J7" s="4">
        <f>SUM(J5:J6)</f>
        <v>37678</v>
      </c>
      <c r="K7" s="4">
        <f>SUM(K5:K6)</f>
        <v>34476</v>
      </c>
      <c r="L7" s="4">
        <f>SUM(L5:L6)</f>
        <v>40190</v>
      </c>
      <c r="M7" s="4">
        <f>SUM(M5:M6)</f>
        <v>39392</v>
      </c>
      <c r="N7" s="4">
        <f>SUM(N5:N6)</f>
        <v>43999</v>
      </c>
      <c r="O7" s="4">
        <f>SUM(O5:O6)</f>
        <v>41474</v>
      </c>
      <c r="P7" s="4">
        <f>SUM(P5:P6)</f>
        <v>44954</v>
      </c>
      <c r="Q7" s="4">
        <f>SUM(Q5:Q6)</f>
        <v>43801</v>
      </c>
      <c r="R7" s="4">
        <f>SUM(R5:R6)</f>
        <v>45962</v>
      </c>
      <c r="S7" s="4">
        <f>SUM(S5:S6)</f>
        <v>42777</v>
      </c>
    </row>
    <row r="8" spans="1:26" x14ac:dyDescent="0.2">
      <c r="B8" s="3" t="s">
        <v>20</v>
      </c>
      <c r="C8" s="3">
        <v>30522</v>
      </c>
      <c r="D8" s="3">
        <v>17932</v>
      </c>
      <c r="E8" s="3">
        <v>31223</v>
      </c>
      <c r="F8" s="3">
        <f>112752-E8-D8-C8</f>
        <v>33075</v>
      </c>
      <c r="G8" s="3">
        <v>29297</v>
      </c>
      <c r="H8" s="3">
        <v>22904</v>
      </c>
      <c r="I8" s="3">
        <v>30057</v>
      </c>
      <c r="J8" s="3">
        <f>114651-I8-H8-G8</f>
        <v>32393</v>
      </c>
      <c r="K8" s="3">
        <v>29036</v>
      </c>
      <c r="L8" s="3">
        <v>33191</v>
      </c>
      <c r="M8" s="3">
        <v>34354</v>
      </c>
      <c r="N8" s="3">
        <f>134397-M8-L8-K8</f>
        <v>37816</v>
      </c>
      <c r="O8" s="3">
        <v>34669</v>
      </c>
      <c r="P8" s="3">
        <v>37471</v>
      </c>
      <c r="Q8" s="3">
        <v>37548</v>
      </c>
      <c r="R8" s="3">
        <f>150550-Q8-P8-O8</f>
        <v>40862</v>
      </c>
      <c r="S8" s="3">
        <v>36476</v>
      </c>
    </row>
    <row r="9" spans="1:26" x14ac:dyDescent="0.2">
      <c r="B9" s="3" t="s">
        <v>21</v>
      </c>
      <c r="C9" s="3">
        <v>2432</v>
      </c>
      <c r="D9" s="3">
        <v>1965</v>
      </c>
      <c r="E9" s="3">
        <v>2266</v>
      </c>
      <c r="F9" s="3">
        <f>10193-E9-D9-C9</f>
        <v>3530</v>
      </c>
      <c r="G9" s="3">
        <v>2843</v>
      </c>
      <c r="H9" s="3">
        <v>2877</v>
      </c>
      <c r="I9" s="3">
        <v>2947</v>
      </c>
      <c r="J9" s="3">
        <f>11915-I9-H9-G9</f>
        <v>3248</v>
      </c>
      <c r="K9" s="3">
        <v>2740</v>
      </c>
      <c r="L9" s="3">
        <v>2759</v>
      </c>
      <c r="M9" s="3">
        <v>2847</v>
      </c>
      <c r="N9" s="3">
        <f>10888-M9-L9-K9</f>
        <v>2542</v>
      </c>
      <c r="O9" s="3">
        <v>2506</v>
      </c>
      <c r="P9" s="3">
        <v>2750</v>
      </c>
      <c r="Q9" s="3">
        <v>2671</v>
      </c>
      <c r="R9" s="3">
        <f>10702-Q9-P9-O9</f>
        <v>2775</v>
      </c>
      <c r="S9" s="3">
        <v>2376</v>
      </c>
    </row>
    <row r="10" spans="1:26" x14ac:dyDescent="0.2">
      <c r="B10" s="3" t="s">
        <v>22</v>
      </c>
      <c r="C10" s="3">
        <v>2924</v>
      </c>
      <c r="D10" s="3">
        <v>2233</v>
      </c>
      <c r="E10" s="3">
        <v>1661</v>
      </c>
      <c r="F10" s="3">
        <f>8607-E10-D10-C10</f>
        <v>1789</v>
      </c>
      <c r="G10" s="3">
        <v>1624</v>
      </c>
      <c r="H10" s="3">
        <v>993</v>
      </c>
      <c r="I10" s="3">
        <v>1337</v>
      </c>
      <c r="J10" s="3">
        <f>5252-I10-H10-G10</f>
        <v>1298</v>
      </c>
      <c r="K10" s="3">
        <v>1357</v>
      </c>
      <c r="L10" s="3">
        <v>1372</v>
      </c>
      <c r="M10" s="3">
        <v>1687</v>
      </c>
      <c r="N10" s="3">
        <f>6496-M10-L10-K10</f>
        <v>2080</v>
      </c>
      <c r="O10" s="3">
        <v>2186</v>
      </c>
      <c r="P10" s="3">
        <v>2272</v>
      </c>
      <c r="Q10" s="3">
        <v>2453</v>
      </c>
      <c r="R10" s="3">
        <f>9481-Q10-P10-O10</f>
        <v>2570</v>
      </c>
      <c r="S10" s="3">
        <v>2700</v>
      </c>
    </row>
    <row r="11" spans="1:26" x14ac:dyDescent="0.2">
      <c r="B11" s="3" t="s">
        <v>23</v>
      </c>
      <c r="C11" s="3">
        <f>SUM(C8:C10)</f>
        <v>35878</v>
      </c>
      <c r="D11" s="3">
        <f>SUM(D8:D10)</f>
        <v>22130</v>
      </c>
      <c r="E11" s="3">
        <f>SUM(E8:E10)</f>
        <v>35150</v>
      </c>
      <c r="F11" s="3">
        <f>SUM(F8:F10)</f>
        <v>38394</v>
      </c>
      <c r="G11" s="3">
        <f>SUM(G8:G10)</f>
        <v>33764</v>
      </c>
      <c r="H11" s="3">
        <f>SUM(H8:H10)</f>
        <v>26774</v>
      </c>
      <c r="I11" s="3">
        <f>SUM(I8:I10)</f>
        <v>34341</v>
      </c>
      <c r="J11" s="3">
        <f>SUM(J8:J10)</f>
        <v>36939</v>
      </c>
      <c r="K11" s="3">
        <f>SUM(K8:K10)</f>
        <v>33133</v>
      </c>
      <c r="L11" s="3">
        <f>SUM(L8:L10)</f>
        <v>37322</v>
      </c>
      <c r="M11" s="3">
        <f>SUM(M8:M10)</f>
        <v>38888</v>
      </c>
      <c r="N11" s="3">
        <f>SUM(N8:N10)</f>
        <v>42438</v>
      </c>
      <c r="O11" s="3">
        <f>SUM(O8:O10)</f>
        <v>39361</v>
      </c>
      <c r="P11" s="3">
        <f>SUM(P8:P10)</f>
        <v>42493</v>
      </c>
      <c r="Q11" s="3">
        <f>SUM(Q8:Q10)</f>
        <v>42672</v>
      </c>
      <c r="R11" s="3">
        <f>SUM(R8:R10)</f>
        <v>46207</v>
      </c>
      <c r="S11" s="3">
        <f>SUM(S8:S10)</f>
        <v>41552</v>
      </c>
    </row>
    <row r="12" spans="1:26" s="5" customFormat="1" x14ac:dyDescent="0.2">
      <c r="B12" s="5" t="s">
        <v>24</v>
      </c>
      <c r="C12" s="5">
        <f>C7-C11</f>
        <v>-1558</v>
      </c>
      <c r="D12" s="5">
        <f>D7-D11</f>
        <v>-2759</v>
      </c>
      <c r="E12" s="5">
        <f>E7-E11</f>
        <v>2351</v>
      </c>
      <c r="F12" s="5">
        <f>F7-F11</f>
        <v>-2442</v>
      </c>
      <c r="G12" s="5">
        <f>G7-G11</f>
        <v>2464</v>
      </c>
      <c r="H12" s="5">
        <f>H7-H11</f>
        <v>-22</v>
      </c>
      <c r="I12" s="5">
        <f>I7-I11</f>
        <v>1342</v>
      </c>
      <c r="J12" s="5">
        <f>J7-J11</f>
        <v>739</v>
      </c>
      <c r="K12" s="5">
        <f>K7-K11</f>
        <v>1343</v>
      </c>
      <c r="L12" s="5">
        <f>L7-L11</f>
        <v>2868</v>
      </c>
      <c r="M12" s="5">
        <f>M7-M11</f>
        <v>504</v>
      </c>
      <c r="N12" s="5">
        <f>N7-N11</f>
        <v>1561</v>
      </c>
      <c r="O12" s="5">
        <f>O7-O11</f>
        <v>2113</v>
      </c>
      <c r="P12" s="5">
        <f>P7-P11</f>
        <v>2461</v>
      </c>
      <c r="Q12" s="5">
        <f>Q7-Q11</f>
        <v>1129</v>
      </c>
      <c r="R12" s="5">
        <f>R7-R11</f>
        <v>-245</v>
      </c>
      <c r="S12" s="5">
        <f>S7-S11</f>
        <v>1225</v>
      </c>
    </row>
    <row r="13" spans="1:26" x14ac:dyDescent="0.2">
      <c r="B13" s="3" t="s">
        <v>25</v>
      </c>
      <c r="C13" s="3">
        <v>227</v>
      </c>
      <c r="D13" s="3">
        <v>450</v>
      </c>
      <c r="E13" s="3">
        <v>498</v>
      </c>
      <c r="F13" s="3">
        <f>1649-E13-D13-C13</f>
        <v>474</v>
      </c>
      <c r="G13" s="3">
        <v>473</v>
      </c>
      <c r="H13" s="3">
        <v>453</v>
      </c>
      <c r="I13" s="3">
        <v>439</v>
      </c>
      <c r="J13" s="3">
        <f>1803-I13-H13-G13</f>
        <v>438</v>
      </c>
      <c r="K13" s="3">
        <v>308</v>
      </c>
      <c r="L13" s="3">
        <v>312</v>
      </c>
      <c r="M13" s="3">
        <v>321</v>
      </c>
      <c r="N13" s="3">
        <f>1259-M13-L13-K13</f>
        <v>318</v>
      </c>
      <c r="O13" s="3">
        <v>308</v>
      </c>
      <c r="P13" s="3">
        <v>304</v>
      </c>
      <c r="Q13" s="3">
        <v>324</v>
      </c>
      <c r="R13" s="3">
        <f>1302-Q13-P13-O13</f>
        <v>366</v>
      </c>
      <c r="S13" s="3">
        <v>278</v>
      </c>
    </row>
    <row r="14" spans="1:26" x14ac:dyDescent="0.2">
      <c r="B14" s="3" t="s">
        <v>22</v>
      </c>
      <c r="C14" s="3">
        <f>680-41</f>
        <v>639</v>
      </c>
      <c r="D14" s="3">
        <f>4318-25</f>
        <v>4293</v>
      </c>
      <c r="E14" s="3">
        <f>845+58</f>
        <v>903</v>
      </c>
      <c r="F14" s="3">
        <f>4899+42-E14-D14-C14</f>
        <v>-894</v>
      </c>
      <c r="G14" s="3">
        <f>1872+79</f>
        <v>1951</v>
      </c>
      <c r="H14" s="3">
        <f>1159+51</f>
        <v>1210</v>
      </c>
      <c r="I14" s="3">
        <f>852+130</f>
        <v>982</v>
      </c>
      <c r="J14" s="3">
        <f>14733+327-I14-H14-G14</f>
        <v>10917</v>
      </c>
      <c r="K14" s="3">
        <f>-4850-33</f>
        <v>-4883</v>
      </c>
      <c r="L14" s="3">
        <f>-1823+58</f>
        <v>-1765</v>
      </c>
      <c r="M14" s="3">
        <f>1318-2626</f>
        <v>-1308</v>
      </c>
      <c r="N14" s="3">
        <f>-5150-2883-M14-L14-K14</f>
        <v>-77</v>
      </c>
      <c r="O14" s="3">
        <f>224+130</f>
        <v>354</v>
      </c>
      <c r="P14" s="3">
        <f>255-124</f>
        <v>131</v>
      </c>
      <c r="Q14" s="3">
        <f>319+263</f>
        <v>582</v>
      </c>
      <c r="R14" s="3">
        <f>-603+414-Q14-P14-O14</f>
        <v>-1256</v>
      </c>
      <c r="S14" s="3">
        <f>498+167</f>
        <v>665</v>
      </c>
    </row>
    <row r="15" spans="1:26" x14ac:dyDescent="0.2">
      <c r="B15" s="3" t="s">
        <v>26</v>
      </c>
      <c r="C15" s="3">
        <f>C12-C13+C14</f>
        <v>-1146</v>
      </c>
      <c r="D15" s="3">
        <f>D12-D13+D14</f>
        <v>1084</v>
      </c>
      <c r="E15" s="3">
        <f>E12-E13+E14</f>
        <v>2756</v>
      </c>
      <c r="F15" s="3">
        <f>F12-F13+F14</f>
        <v>-3810</v>
      </c>
      <c r="G15" s="3">
        <f>G12-G13+G14</f>
        <v>3942</v>
      </c>
      <c r="H15" s="3">
        <f>H12-H13+H14</f>
        <v>735</v>
      </c>
      <c r="I15" s="3">
        <f>I12-I13+I14</f>
        <v>1885</v>
      </c>
      <c r="J15" s="3">
        <f>J12-J13+J14</f>
        <v>11218</v>
      </c>
      <c r="K15" s="3">
        <f>K12-K13+K14</f>
        <v>-3848</v>
      </c>
      <c r="L15" s="3">
        <f>L12-L13+L14</f>
        <v>791</v>
      </c>
      <c r="M15" s="3">
        <f>M12-M13+M14</f>
        <v>-1125</v>
      </c>
      <c r="N15" s="3">
        <f>N12-N13+N14</f>
        <v>1166</v>
      </c>
      <c r="O15" s="3">
        <f>O12-O13+O14</f>
        <v>2159</v>
      </c>
      <c r="P15" s="3">
        <f>P12-P13+P14</f>
        <v>2288</v>
      </c>
      <c r="Q15" s="3">
        <f>Q12-Q13+Q14</f>
        <v>1387</v>
      </c>
      <c r="R15" s="3">
        <f>R12-R13+R14</f>
        <v>-1867</v>
      </c>
      <c r="S15" s="3">
        <f>S12-S13+S14</f>
        <v>1612</v>
      </c>
    </row>
    <row r="16" spans="1:26" x14ac:dyDescent="0.2">
      <c r="B16" s="3" t="s">
        <v>27</v>
      </c>
      <c r="C16" s="3">
        <v>847</v>
      </c>
      <c r="D16" s="3">
        <v>-34</v>
      </c>
      <c r="E16" s="3">
        <v>366</v>
      </c>
      <c r="F16" s="3">
        <f>160-D16-C16-E16</f>
        <v>-1019</v>
      </c>
      <c r="G16" s="3">
        <v>680</v>
      </c>
      <c r="H16" s="3">
        <v>182</v>
      </c>
      <c r="I16" s="3">
        <v>63</v>
      </c>
      <c r="J16" s="3">
        <f>-130-H16-G16-I16</f>
        <v>-1055</v>
      </c>
      <c r="K16" s="3">
        <v>-729</v>
      </c>
      <c r="L16" s="3">
        <v>153</v>
      </c>
      <c r="M16" s="3">
        <f>-195</f>
        <v>-195</v>
      </c>
      <c r="N16" s="3">
        <f>-864-L16-K16-M16</f>
        <v>-93</v>
      </c>
      <c r="O16" s="3">
        <v>496</v>
      </c>
      <c r="P16" s="3">
        <v>272</v>
      </c>
      <c r="Q16" s="3">
        <v>214</v>
      </c>
      <c r="R16" s="3">
        <f>-362-P16-O16-Q16</f>
        <v>-1344</v>
      </c>
      <c r="S16" s="3">
        <v>278</v>
      </c>
    </row>
    <row r="17" spans="2:19" x14ac:dyDescent="0.2">
      <c r="B17" s="3" t="s">
        <v>3</v>
      </c>
      <c r="C17" s="3">
        <f>C15-C16</f>
        <v>-1993</v>
      </c>
      <c r="D17" s="3">
        <f>D15-D16</f>
        <v>1118</v>
      </c>
      <c r="E17" s="3">
        <f>E15-E16</f>
        <v>2390</v>
      </c>
      <c r="F17" s="3">
        <f>F15-F16</f>
        <v>-2791</v>
      </c>
      <c r="G17" s="3">
        <f>G15-G16</f>
        <v>3262</v>
      </c>
      <c r="H17" s="3">
        <f>H15-H16</f>
        <v>553</v>
      </c>
      <c r="I17" s="3">
        <f>I15-I16</f>
        <v>1822</v>
      </c>
      <c r="J17" s="3">
        <f>J15-J16</f>
        <v>12273</v>
      </c>
      <c r="K17" s="3">
        <f>K15-K16</f>
        <v>-3119</v>
      </c>
      <c r="L17" s="3">
        <f>L15-L16</f>
        <v>638</v>
      </c>
      <c r="M17" s="3">
        <f>M15-M16</f>
        <v>-930</v>
      </c>
      <c r="N17" s="3">
        <f>N15-N16</f>
        <v>1259</v>
      </c>
      <c r="O17" s="3">
        <f>O15-O16</f>
        <v>1663</v>
      </c>
      <c r="P17" s="3">
        <f>P15-P16</f>
        <v>2016</v>
      </c>
      <c r="Q17" s="3">
        <f>Q15-Q16</f>
        <v>1173</v>
      </c>
      <c r="R17" s="3">
        <f>R15-R16</f>
        <v>-523</v>
      </c>
      <c r="S17" s="3">
        <f>S15-S16</f>
        <v>1334</v>
      </c>
    </row>
    <row r="18" spans="2:19" s="1" customFormat="1" x14ac:dyDescent="0.2">
      <c r="B18" s="1" t="s">
        <v>28</v>
      </c>
      <c r="C18" s="1">
        <f>C17/C19</f>
        <v>-0.50290184203885946</v>
      </c>
      <c r="D18" s="1">
        <f>D17/D19</f>
        <v>0.28006012024048094</v>
      </c>
      <c r="E18" s="1">
        <f>E17/E19</f>
        <v>0.59675405742821475</v>
      </c>
      <c r="F18" s="1">
        <f>F17/F19</f>
        <v>-0.70249181978353892</v>
      </c>
      <c r="G18" s="1">
        <f>G17/G19</f>
        <v>0.8122509960159362</v>
      </c>
      <c r="H18" s="1">
        <f>H17/H19</f>
        <v>0.13728897715988084</v>
      </c>
      <c r="I18" s="1">
        <f>I17/I19</f>
        <v>0.45143706640237857</v>
      </c>
      <c r="J18" s="1">
        <f>J17/J19</f>
        <v>3.042389687654933</v>
      </c>
      <c r="K18" s="1">
        <f>K17/K19</f>
        <v>-0.77819361277445109</v>
      </c>
      <c r="L18" s="1">
        <f>L17/L19</f>
        <v>0.15745310957551825</v>
      </c>
      <c r="M18" s="1">
        <f>M17/M19</f>
        <v>-0.23128574981347924</v>
      </c>
      <c r="N18" s="1">
        <f>N17/N19</f>
        <v>0.31365221723966119</v>
      </c>
      <c r="O18" s="1">
        <f>O17/O19</f>
        <v>0.41275750806651773</v>
      </c>
      <c r="P18" s="1">
        <f>P17/P19</f>
        <v>0.49888641425389757</v>
      </c>
      <c r="Q18" s="1">
        <f>Q17/Q19</f>
        <v>0.28962962962962963</v>
      </c>
      <c r="R18" s="1">
        <f>R17/R19</f>
        <v>-0.12942341004701807</v>
      </c>
      <c r="S18" s="1">
        <f>S17/S19</f>
        <v>0.33159333830474769</v>
      </c>
    </row>
    <row r="19" spans="2:19" x14ac:dyDescent="0.2">
      <c r="B19" s="3" t="s">
        <v>9</v>
      </c>
      <c r="C19" s="3">
        <v>3963</v>
      </c>
      <c r="D19" s="3">
        <v>3992</v>
      </c>
      <c r="E19" s="3">
        <v>4005</v>
      </c>
      <c r="F19" s="3">
        <v>3973</v>
      </c>
      <c r="G19" s="3">
        <v>4016</v>
      </c>
      <c r="H19" s="3">
        <v>4028</v>
      </c>
      <c r="I19" s="3">
        <v>4036</v>
      </c>
      <c r="J19" s="3">
        <v>4034</v>
      </c>
      <c r="K19" s="3">
        <v>4008</v>
      </c>
      <c r="L19" s="3">
        <v>4052</v>
      </c>
      <c r="M19" s="3">
        <v>4021</v>
      </c>
      <c r="N19" s="3">
        <v>4014</v>
      </c>
      <c r="O19" s="3">
        <v>4029</v>
      </c>
      <c r="P19" s="3">
        <v>4041</v>
      </c>
      <c r="Q19" s="3">
        <v>4050</v>
      </c>
      <c r="R19" s="3">
        <v>4041</v>
      </c>
      <c r="S19" s="3">
        <v>4023</v>
      </c>
    </row>
    <row r="20" spans="2:19" x14ac:dyDescent="0.2">
      <c r="J20" s="3"/>
    </row>
    <row r="21" spans="2:19" x14ac:dyDescent="0.2">
      <c r="B21" s="3" t="s">
        <v>32</v>
      </c>
      <c r="G21" s="6">
        <f>G7/C7-1</f>
        <v>5.5594405594405538E-2</v>
      </c>
      <c r="H21" s="6">
        <f>H7/D7-1</f>
        <v>0.38103350369108457</v>
      </c>
      <c r="I21" s="6">
        <f>I7/E7-1</f>
        <v>-4.8478707234473783E-2</v>
      </c>
      <c r="J21" s="6">
        <f>J7/F7-1</f>
        <v>4.8008455718736132E-2</v>
      </c>
      <c r="K21" s="6">
        <f>K7/G7-1</f>
        <v>-4.8360384233189779E-2</v>
      </c>
      <c r="L21" s="6">
        <f>L7/H7-1</f>
        <v>0.50231758373205748</v>
      </c>
      <c r="M21" s="6">
        <f>M7/I7-1</f>
        <v>0.10394305411540516</v>
      </c>
      <c r="N21" s="6">
        <f>N7/J7-1</f>
        <v>0.16776368172408307</v>
      </c>
      <c r="O21" s="6">
        <f>O7/K7-1</f>
        <v>0.20298178442974812</v>
      </c>
      <c r="P21" s="6">
        <f>P7/L7-1</f>
        <v>0.11853694948992288</v>
      </c>
      <c r="Q21" s="6">
        <f>Q7/M7-1</f>
        <v>0.11192627944760347</v>
      </c>
      <c r="R21" s="6">
        <f>R7/N7-1</f>
        <v>4.461465033296208E-2</v>
      </c>
      <c r="S21" s="6">
        <f>S7/O7-1</f>
        <v>3.1417273472537088E-2</v>
      </c>
    </row>
    <row r="22" spans="2:19" x14ac:dyDescent="0.2">
      <c r="B22" s="3" t="s">
        <v>33</v>
      </c>
      <c r="G22" s="6">
        <f>G5/C5-1</f>
        <v>7.0551462379995433E-2</v>
      </c>
      <c r="H22" s="6">
        <f>H5/D5-1</f>
        <v>0.4519600769600769</v>
      </c>
      <c r="I22" s="6">
        <f>I5/E5-1</f>
        <v>-4.2560543669191153E-2</v>
      </c>
      <c r="J22" s="6">
        <f>J5/F5-1</f>
        <v>6.2475548466700781E-2</v>
      </c>
      <c r="K22" s="6">
        <f>K5/G5-1</f>
        <v>-4.081632653061229E-2</v>
      </c>
      <c r="L22" s="6">
        <f>L5/H5-1</f>
        <v>0.57083109031429879</v>
      </c>
      <c r="M22" s="6">
        <f>M5/I5-1</f>
        <v>0.11898102198562355</v>
      </c>
      <c r="N22" s="6">
        <f>N5/J5-1</f>
        <v>0.18241042345276881</v>
      </c>
      <c r="O22" s="6">
        <f>O5/K5-1</f>
        <v>0.21400838639540298</v>
      </c>
      <c r="P22" s="6">
        <f>P5/L5-1</f>
        <v>0.11844255812727367</v>
      </c>
      <c r="Q22" s="6">
        <f>Q5/M5-1</f>
        <v>0.10673296599919357</v>
      </c>
      <c r="R22" s="6">
        <f>R5/N5-1</f>
        <v>3.516588813031496E-2</v>
      </c>
      <c r="S22" s="6">
        <f>S5/O5-1</f>
        <v>2.0596136625303796E-2</v>
      </c>
    </row>
    <row r="23" spans="2:19" x14ac:dyDescent="0.2">
      <c r="B23" s="3" t="s">
        <v>2</v>
      </c>
      <c r="C23" s="6">
        <f>(C7-C8)/C7</f>
        <v>0.11066433566433566</v>
      </c>
      <c r="D23" s="6">
        <f>(D7-D8)/D7</f>
        <v>7.4286304269268494E-2</v>
      </c>
      <c r="E23" s="6">
        <f>(E7-E8)/E7</f>
        <v>0.16740886909682409</v>
      </c>
      <c r="F23" s="6">
        <f>(F7-F8)/F7</f>
        <v>8.002336448598131E-2</v>
      </c>
      <c r="G23" s="6">
        <f>(G7-G8)/G7</f>
        <v>0.19131610908689411</v>
      </c>
      <c r="H23" s="6">
        <f>(H7-H8)/H7</f>
        <v>0.1438397129186603</v>
      </c>
      <c r="I23" s="6">
        <f>(I7-I8)/I7</f>
        <v>0.15766611551719306</v>
      </c>
      <c r="J23" s="6">
        <f>(J7-J8)/J7</f>
        <v>0.1402675301236796</v>
      </c>
      <c r="K23" s="6">
        <f>(K7-K8)/K7</f>
        <v>0.15779092702169625</v>
      </c>
      <c r="L23" s="6">
        <f>(L7-L8)/L7</f>
        <v>0.17414779795969146</v>
      </c>
      <c r="M23" s="6">
        <f>(M7-M8)/M7</f>
        <v>0.12789398862713242</v>
      </c>
      <c r="N23" s="6">
        <f>(N7-N8)/N7</f>
        <v>0.14052592104366007</v>
      </c>
      <c r="O23" s="6">
        <f>(O7-O8)/O7</f>
        <v>0.16407869990837634</v>
      </c>
      <c r="P23" s="6">
        <f>(P7-P8)/P7</f>
        <v>0.16645904702584866</v>
      </c>
      <c r="Q23" s="6">
        <f>(Q7-Q8)/Q7</f>
        <v>0.14275929773292848</v>
      </c>
      <c r="R23" s="6">
        <f>(R7-R8)/R7</f>
        <v>0.11096122884121666</v>
      </c>
      <c r="S23" s="6">
        <f>(S7-S8)/S7</f>
        <v>0.14729878205577765</v>
      </c>
    </row>
    <row r="24" spans="2:19" s="6" customFormat="1" x14ac:dyDescent="0.2">
      <c r="B24" s="6" t="s">
        <v>29</v>
      </c>
      <c r="C24" s="6">
        <f>C12/C7</f>
        <v>-4.5396270396270394E-2</v>
      </c>
      <c r="D24" s="6">
        <f>D12/D7</f>
        <v>-0.14242940478034175</v>
      </c>
      <c r="E24" s="6">
        <f>E12/E7</f>
        <v>6.2691661555691849E-2</v>
      </c>
      <c r="F24" s="6">
        <f>F12/F7</f>
        <v>-6.7923898531375163E-2</v>
      </c>
      <c r="G24" s="6">
        <f>G12/G7</f>
        <v>6.8013691067682458E-2</v>
      </c>
      <c r="H24" s="6">
        <f>H12/H7</f>
        <v>-8.2236842105263153E-4</v>
      </c>
      <c r="I24" s="6">
        <f>I12/I7</f>
        <v>3.7608945436202114E-2</v>
      </c>
      <c r="J24" s="6">
        <f>J12/J7</f>
        <v>1.9613567599129467E-2</v>
      </c>
      <c r="K24" s="6">
        <f>K12/K7</f>
        <v>3.895463510848126E-2</v>
      </c>
      <c r="L24" s="6">
        <f>L12/L7</f>
        <v>7.1361035083354063E-2</v>
      </c>
      <c r="M24" s="6">
        <f>M12/M7</f>
        <v>1.2794476035743298E-2</v>
      </c>
      <c r="N24" s="6">
        <f>N12/N7</f>
        <v>3.5478079047251074E-2</v>
      </c>
      <c r="O24" s="6">
        <f>O12/O7</f>
        <v>5.0947581617398853E-2</v>
      </c>
      <c r="P24" s="6">
        <f>P12/P7</f>
        <v>5.4744850291408999E-2</v>
      </c>
      <c r="Q24" s="6">
        <f>Q12/Q7</f>
        <v>2.5775667222209538E-2</v>
      </c>
      <c r="R24" s="6">
        <f>R12/R7</f>
        <v>-5.3304904051172707E-3</v>
      </c>
      <c r="S24" s="6">
        <f>S12/S7</f>
        <v>2.8636884306987399E-2</v>
      </c>
    </row>
    <row r="25" spans="2:19" s="6" customFormat="1" x14ac:dyDescent="0.2">
      <c r="B25" s="6" t="s">
        <v>30</v>
      </c>
      <c r="C25" s="6">
        <f>C17/C7</f>
        <v>-5.807109557109557E-2</v>
      </c>
      <c r="D25" s="6">
        <f>D17/D7</f>
        <v>5.7715141190439315E-2</v>
      </c>
      <c r="E25" s="6">
        <f>E17/E7</f>
        <v>6.3731633823098044E-2</v>
      </c>
      <c r="F25" s="6">
        <f>F17/F7</f>
        <v>-7.7631286159323548E-2</v>
      </c>
      <c r="G25" s="6">
        <f>G17/G7</f>
        <v>9.0040852379375064E-2</v>
      </c>
      <c r="H25" s="6">
        <f>H17/H7</f>
        <v>2.067135167464115E-2</v>
      </c>
      <c r="I25" s="6">
        <f>I17/I7</f>
        <v>5.1060729198778132E-2</v>
      </c>
      <c r="J25" s="6">
        <f>J17/J7</f>
        <v>0.3257338499920378</v>
      </c>
      <c r="K25" s="6">
        <f>K17/K7</f>
        <v>-9.04687318714468E-2</v>
      </c>
      <c r="L25" s="6">
        <f>L17/L7</f>
        <v>1.5874595670564817E-2</v>
      </c>
      <c r="M25" s="6">
        <f>M17/M7</f>
        <v>-2.360885458976442E-2</v>
      </c>
      <c r="N25" s="6">
        <f>N17/N7</f>
        <v>2.8614286688333827E-2</v>
      </c>
      <c r="O25" s="6">
        <f>O17/O7</f>
        <v>4.0097410425808944E-2</v>
      </c>
      <c r="P25" s="6">
        <f>P17/P7</f>
        <v>4.4845842416692622E-2</v>
      </c>
      <c r="Q25" s="6">
        <f>Q17/Q7</f>
        <v>2.6780210497477225E-2</v>
      </c>
      <c r="R25" s="6">
        <f>R17/R7</f>
        <v>-1.1378965232148297E-2</v>
      </c>
      <c r="S25" s="6">
        <f>S17/S7</f>
        <v>3.1184982584098932E-2</v>
      </c>
    </row>
    <row r="26" spans="2:19" s="6" customFormat="1" x14ac:dyDescent="0.2">
      <c r="B26" s="6" t="s">
        <v>31</v>
      </c>
      <c r="C26" s="6">
        <f>C16/C15</f>
        <v>-0.7390924956369983</v>
      </c>
      <c r="D26" s="6">
        <f>D16/D15</f>
        <v>-3.136531365313653E-2</v>
      </c>
      <c r="E26" s="6">
        <f>E16/E15</f>
        <v>0.1328011611030479</v>
      </c>
      <c r="F26" s="6">
        <f>F16/F15</f>
        <v>0.26745406824146983</v>
      </c>
      <c r="G26" s="6">
        <f>G16/G15</f>
        <v>0.17250126839167934</v>
      </c>
      <c r="H26" s="6">
        <f>H16/H15</f>
        <v>0.24761904761904763</v>
      </c>
      <c r="I26" s="6">
        <f>I16/I15</f>
        <v>3.3421750663129975E-2</v>
      </c>
      <c r="J26" s="6">
        <f>J16/J15</f>
        <v>-9.4045284364414339E-2</v>
      </c>
      <c r="K26" s="6">
        <f>K16/K15</f>
        <v>0.18944906444906445</v>
      </c>
      <c r="L26" s="6">
        <f>L16/L15</f>
        <v>0.19342604298356511</v>
      </c>
      <c r="M26" s="6">
        <f>M16/M15</f>
        <v>0.17333333333333334</v>
      </c>
      <c r="N26" s="6">
        <f>N16/N15</f>
        <v>-7.9759862778730706E-2</v>
      </c>
      <c r="O26" s="6">
        <f>O16/O15</f>
        <v>0.22973598888374247</v>
      </c>
      <c r="P26" s="6">
        <f>P16/P15</f>
        <v>0.11888111888111888</v>
      </c>
      <c r="Q26" s="6">
        <f>Q16/Q15</f>
        <v>0.15428983417447728</v>
      </c>
      <c r="R26" s="6">
        <f>R16/R15</f>
        <v>0.71987145152651311</v>
      </c>
      <c r="S26" s="6">
        <f>S16/S15</f>
        <v>0.17245657568238212</v>
      </c>
    </row>
    <row r="28" spans="2:19" x14ac:dyDescent="0.2">
      <c r="B28" s="3" t="s">
        <v>51</v>
      </c>
      <c r="C28" s="3">
        <f>C29-C41</f>
        <v>-111723</v>
      </c>
      <c r="S28" s="3">
        <f>S29-S41</f>
        <v>-114952</v>
      </c>
    </row>
    <row r="29" spans="2:19" x14ac:dyDescent="0.2">
      <c r="B29" s="3" t="s">
        <v>7</v>
      </c>
      <c r="C29" s="3">
        <f>25243+24718</f>
        <v>49961</v>
      </c>
      <c r="S29" s="3">
        <f>19721+14742</f>
        <v>34463</v>
      </c>
    </row>
    <row r="30" spans="2:19" x14ac:dyDescent="0.2">
      <c r="B30" s="3" t="s">
        <v>52</v>
      </c>
      <c r="C30" s="3">
        <f>42401+9993+55277</f>
        <v>107671</v>
      </c>
      <c r="S30" s="3">
        <f>44600+18698+56985</f>
        <v>120283</v>
      </c>
    </row>
    <row r="31" spans="2:19" x14ac:dyDescent="0.2">
      <c r="B31" s="3" t="s">
        <v>53</v>
      </c>
      <c r="C31" s="3">
        <v>10808</v>
      </c>
      <c r="S31" s="3">
        <v>18632</v>
      </c>
    </row>
    <row r="32" spans="2:19" x14ac:dyDescent="0.2">
      <c r="B32" s="3" t="s">
        <v>22</v>
      </c>
      <c r="C32" s="3">
        <f>3534+47+12882</f>
        <v>16463</v>
      </c>
      <c r="S32" s="3">
        <f>4202+12066</f>
        <v>16268</v>
      </c>
    </row>
    <row r="33" spans="2:19" x14ac:dyDescent="0.2">
      <c r="B33" s="3" t="s">
        <v>4</v>
      </c>
      <c r="C33" s="3">
        <v>37083</v>
      </c>
      <c r="S33" s="3">
        <v>40515</v>
      </c>
    </row>
    <row r="34" spans="2:19" x14ac:dyDescent="0.2">
      <c r="B34" s="3" t="s">
        <v>54</v>
      </c>
      <c r="C34" s="3">
        <v>27951</v>
      </c>
      <c r="S34" s="3">
        <v>21118</v>
      </c>
    </row>
    <row r="35" spans="2:19" x14ac:dyDescent="0.2">
      <c r="B35" s="3" t="s">
        <v>55</v>
      </c>
      <c r="C35" s="3">
        <v>4901</v>
      </c>
      <c r="S35" s="3">
        <v>6336</v>
      </c>
    </row>
    <row r="36" spans="2:19" x14ac:dyDescent="0.2">
      <c r="B36" s="3" t="s">
        <v>56</v>
      </c>
      <c r="C36" s="3">
        <v>12423</v>
      </c>
      <c r="S36" s="3">
        <v>16726</v>
      </c>
    </row>
    <row r="37" spans="2:19" x14ac:dyDescent="0.2">
      <c r="B37" s="3" t="s">
        <v>57</v>
      </c>
      <c r="C37" s="3">
        <f>SUM(C29:C36)</f>
        <v>267261</v>
      </c>
      <c r="S37" s="3">
        <f>SUM(S29:S36)</f>
        <v>274341</v>
      </c>
    </row>
    <row r="39" spans="2:19" x14ac:dyDescent="0.2">
      <c r="B39" s="3" t="s">
        <v>58</v>
      </c>
      <c r="C39" s="3">
        <v>22204</v>
      </c>
      <c r="S39" s="3">
        <v>27384</v>
      </c>
    </row>
    <row r="40" spans="2:19" x14ac:dyDescent="0.2">
      <c r="B40" s="3" t="s">
        <v>59</v>
      </c>
      <c r="C40" s="3">
        <f>23645+28379</f>
        <v>52024</v>
      </c>
      <c r="S40" s="3">
        <f>26032+27724</f>
        <v>53756</v>
      </c>
    </row>
    <row r="41" spans="2:19" x14ac:dyDescent="0.2">
      <c r="B41" s="3" t="s">
        <v>10</v>
      </c>
      <c r="C41" s="3">
        <f>1374+49969+22633+87708</f>
        <v>161684</v>
      </c>
      <c r="S41" s="3">
        <f>727+49063+19430+80195</f>
        <v>149415</v>
      </c>
    </row>
    <row r="42" spans="2:19" x14ac:dyDescent="0.2">
      <c r="B42" s="3" t="s">
        <v>56</v>
      </c>
      <c r="C42" s="3">
        <v>538</v>
      </c>
      <c r="S42" s="3">
        <v>889</v>
      </c>
    </row>
    <row r="43" spans="2:19" x14ac:dyDescent="0.2">
      <c r="B43" s="3" t="s">
        <v>60</v>
      </c>
      <c r="C43" s="3">
        <v>30811</v>
      </c>
      <c r="S43" s="3">
        <v>42897</v>
      </c>
    </row>
    <row r="44" spans="2:19" x14ac:dyDescent="0.2">
      <c r="B44" s="3" t="s">
        <v>61</v>
      </c>
      <c r="C44" s="3">
        <f>SUM(C39:C43)</f>
        <v>267261</v>
      </c>
      <c r="S44" s="3">
        <f>SUM(S39:S43)</f>
        <v>274341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Sebastian Szewczyk</cp:lastModifiedBy>
  <dcterms:created xsi:type="dcterms:W3CDTF">2024-09-25T18:44:07Z</dcterms:created>
  <dcterms:modified xsi:type="dcterms:W3CDTF">2024-11-18T17:25:21Z</dcterms:modified>
</cp:coreProperties>
</file>