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b6a9f0be765fac/Pulpit/inwestycje/modele/"/>
    </mc:Choice>
  </mc:AlternateContent>
  <xr:revisionPtr revIDLastSave="1573" documentId="13_ncr:1_{035500FD-9845-407F-93AF-46C23802C119}" xr6:coauthVersionLast="47" xr6:coauthVersionMax="47" xr10:uidLastSave="{417824AF-E939-44AB-B6DB-0108C3136240}"/>
  <bookViews>
    <workbookView xWindow="15810" yWindow="780" windowWidth="17280" windowHeight="9795" activeTab="1" xr2:uid="{D33B03BA-25DE-4C10-A5E8-895F501DECB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" i="2" l="1"/>
  <c r="AR12" i="2" l="1"/>
  <c r="AQ12" i="2"/>
  <c r="AP12" i="2"/>
  <c r="AO12" i="2"/>
  <c r="AN12" i="2"/>
  <c r="AM12" i="2"/>
  <c r="AL12" i="2"/>
  <c r="AK12" i="2"/>
  <c r="AJ12" i="2"/>
  <c r="AI12" i="2"/>
  <c r="AH26" i="2"/>
  <c r="AH12" i="2"/>
  <c r="AG12" i="2"/>
  <c r="AF12" i="2"/>
  <c r="AE12" i="2"/>
  <c r="AD12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C33" i="2"/>
  <c r="AD17" i="2" s="1"/>
  <c r="AB33" i="2"/>
  <c r="AJ14" i="2"/>
  <c r="AC27" i="2"/>
  <c r="AB27" i="2"/>
  <c r="AD16" i="2"/>
  <c r="AD27" i="2" s="1"/>
  <c r="AD15" i="2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I14" i="2"/>
  <c r="AK14" i="2" s="1"/>
  <c r="AL14" i="2" s="1"/>
  <c r="AM14" i="2" s="1"/>
  <c r="AN14" i="2" s="1"/>
  <c r="AO14" i="2" s="1"/>
  <c r="AP14" i="2" s="1"/>
  <c r="AQ14" i="2" s="1"/>
  <c r="AR14" i="2" s="1"/>
  <c r="AR16" i="2" s="1"/>
  <c r="AR27" i="2" s="1"/>
  <c r="AH14" i="2"/>
  <c r="AG14" i="2"/>
  <c r="AF14" i="2"/>
  <c r="AE14" i="2"/>
  <c r="AD14" i="2"/>
  <c r="AC26" i="2"/>
  <c r="AB26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11" i="2"/>
  <c r="AC16" i="2" s="1"/>
  <c r="AC18" i="2" s="1"/>
  <c r="AC20" i="2" s="1"/>
  <c r="AC21" i="2" s="1"/>
  <c r="AB11" i="2"/>
  <c r="AB16" i="2" s="1"/>
  <c r="AB18" i="2" s="1"/>
  <c r="AB20" i="2" s="1"/>
  <c r="AB21" i="2" s="1"/>
  <c r="AC13" i="2"/>
  <c r="AB13" i="2"/>
  <c r="AC19" i="2"/>
  <c r="AC17" i="2"/>
  <c r="AC15" i="2"/>
  <c r="AC14" i="2"/>
  <c r="AC12" i="2"/>
  <c r="AC10" i="2"/>
  <c r="AC9" i="2"/>
  <c r="AB19" i="2"/>
  <c r="AB17" i="2"/>
  <c r="AB15" i="2"/>
  <c r="AB14" i="2"/>
  <c r="AB12" i="2"/>
  <c r="AB10" i="2"/>
  <c r="AB9" i="2"/>
  <c r="AC6" i="2"/>
  <c r="AB6" i="2"/>
  <c r="AA25" i="2"/>
  <c r="Z25" i="2"/>
  <c r="AA24" i="2"/>
  <c r="Z24" i="2"/>
  <c r="AA28" i="2"/>
  <c r="AA27" i="2"/>
  <c r="AA26" i="2"/>
  <c r="Z28" i="2"/>
  <c r="Z27" i="2"/>
  <c r="Z26" i="2"/>
  <c r="Y28" i="2"/>
  <c r="Y27" i="2"/>
  <c r="Y26" i="2"/>
  <c r="AA21" i="2"/>
  <c r="Z21" i="2"/>
  <c r="Y21" i="2"/>
  <c r="AA20" i="2"/>
  <c r="Z20" i="2"/>
  <c r="Y20" i="2"/>
  <c r="AA18" i="2"/>
  <c r="Z18" i="2"/>
  <c r="Y18" i="2"/>
  <c r="AA16" i="2"/>
  <c r="Z16" i="2"/>
  <c r="Y16" i="2"/>
  <c r="AA6" i="2"/>
  <c r="AA7" i="2" s="1"/>
  <c r="Z6" i="2"/>
  <c r="Z7" i="2" s="1"/>
  <c r="AA11" i="2"/>
  <c r="Z11" i="2"/>
  <c r="AA13" i="2"/>
  <c r="Z13" i="2"/>
  <c r="Y13" i="2"/>
  <c r="Y11" i="2"/>
  <c r="Y7" i="2"/>
  <c r="Y6" i="2"/>
  <c r="AA19" i="2"/>
  <c r="Z19" i="2"/>
  <c r="AA17" i="2"/>
  <c r="Z17" i="2"/>
  <c r="AA15" i="2"/>
  <c r="Z15" i="2"/>
  <c r="AA14" i="2"/>
  <c r="Z14" i="2"/>
  <c r="AA12" i="2"/>
  <c r="Z12" i="2"/>
  <c r="AA10" i="2"/>
  <c r="Z10" i="2"/>
  <c r="AA9" i="2"/>
  <c r="Z9" i="2"/>
  <c r="AA5" i="2"/>
  <c r="Z5" i="2"/>
  <c r="AA4" i="2"/>
  <c r="Z4" i="2"/>
  <c r="Y19" i="2"/>
  <c r="Y17" i="2"/>
  <c r="Y15" i="2"/>
  <c r="Y14" i="2"/>
  <c r="Y12" i="2"/>
  <c r="Y10" i="2"/>
  <c r="Y9" i="2"/>
  <c r="Y5" i="2"/>
  <c r="Y4" i="2"/>
  <c r="U21" i="2"/>
  <c r="T21" i="2"/>
  <c r="S21" i="2"/>
  <c r="R21" i="2"/>
  <c r="Q21" i="2"/>
  <c r="U27" i="2"/>
  <c r="T27" i="2"/>
  <c r="S27" i="2"/>
  <c r="R27" i="2"/>
  <c r="Q27" i="2"/>
  <c r="R12" i="2"/>
  <c r="S12" i="2"/>
  <c r="U14" i="2"/>
  <c r="T14" i="2"/>
  <c r="S14" i="2"/>
  <c r="R14" i="2"/>
  <c r="Q14" i="2"/>
  <c r="Q16" i="2" s="1"/>
  <c r="Q18" i="2" s="1"/>
  <c r="Q12" i="2"/>
  <c r="Q13" i="2"/>
  <c r="U12" i="2"/>
  <c r="T12" i="2"/>
  <c r="T13" i="2" s="1"/>
  <c r="T26" i="2" s="1"/>
  <c r="S13" i="2"/>
  <c r="S26" i="2" s="1"/>
  <c r="R13" i="2"/>
  <c r="R26" i="2" s="1"/>
  <c r="Q26" i="2"/>
  <c r="U24" i="2"/>
  <c r="T24" i="2"/>
  <c r="S24" i="2"/>
  <c r="R24" i="2"/>
  <c r="Q24" i="2"/>
  <c r="Q15" i="2"/>
  <c r="R15" i="2"/>
  <c r="T15" i="2"/>
  <c r="U15" i="2"/>
  <c r="S15" i="2"/>
  <c r="U13" i="2"/>
  <c r="U26" i="2" s="1"/>
  <c r="U11" i="2"/>
  <c r="T11" i="2"/>
  <c r="S11" i="2"/>
  <c r="R11" i="2"/>
  <c r="Q11" i="2"/>
  <c r="U10" i="2"/>
  <c r="T10" i="2"/>
  <c r="S10" i="2"/>
  <c r="R10" i="2"/>
  <c r="Q10" i="2"/>
  <c r="U25" i="2"/>
  <c r="T25" i="2"/>
  <c r="S25" i="2"/>
  <c r="R25" i="2"/>
  <c r="Q25" i="2"/>
  <c r="U9" i="2"/>
  <c r="T9" i="2"/>
  <c r="S9" i="2"/>
  <c r="S7" i="2"/>
  <c r="R9" i="2"/>
  <c r="Q9" i="2"/>
  <c r="U6" i="2"/>
  <c r="T6" i="2"/>
  <c r="S6" i="2"/>
  <c r="R6" i="2"/>
  <c r="U7" i="2"/>
  <c r="T7" i="2"/>
  <c r="R7" i="2"/>
  <c r="Q7" i="2"/>
  <c r="Q6" i="2"/>
  <c r="P7" i="2"/>
  <c r="N79" i="2"/>
  <c r="N77" i="2"/>
  <c r="N73" i="2"/>
  <c r="O73" i="2" s="1"/>
  <c r="N71" i="2"/>
  <c r="N69" i="2"/>
  <c r="O69" i="2" s="1"/>
  <c r="P69" i="2" s="1"/>
  <c r="N68" i="2"/>
  <c r="O68" i="2" s="1"/>
  <c r="P68" i="2" s="1"/>
  <c r="N67" i="2"/>
  <c r="O67" i="2" s="1"/>
  <c r="P67" i="2" s="1"/>
  <c r="N64" i="2"/>
  <c r="P64" i="2"/>
  <c r="O64" i="2"/>
  <c r="N61" i="2"/>
  <c r="N59" i="2"/>
  <c r="O59" i="2" s="1"/>
  <c r="P59" i="2" s="1"/>
  <c r="O78" i="2"/>
  <c r="P78" i="2" s="1"/>
  <c r="O76" i="2"/>
  <c r="P76" i="2" s="1"/>
  <c r="O75" i="2"/>
  <c r="P75" i="2" s="1"/>
  <c r="O74" i="2"/>
  <c r="P74" i="2" s="1"/>
  <c r="O70" i="2"/>
  <c r="P70" i="2" s="1"/>
  <c r="O66" i="2"/>
  <c r="P66" i="2" s="1"/>
  <c r="O62" i="2"/>
  <c r="P62" i="2" s="1"/>
  <c r="O61" i="2"/>
  <c r="P61" i="2" s="1"/>
  <c r="O60" i="2"/>
  <c r="P60" i="2" s="1"/>
  <c r="O58" i="2"/>
  <c r="P58" i="2" s="1"/>
  <c r="B34" i="2"/>
  <c r="C34" i="2"/>
  <c r="D34" i="2"/>
  <c r="E34" i="2"/>
  <c r="F34" i="2"/>
  <c r="H34" i="2"/>
  <c r="I34" i="2"/>
  <c r="J34" i="2"/>
  <c r="K34" i="2"/>
  <c r="L34" i="2"/>
  <c r="M34" i="2"/>
  <c r="N34" i="2"/>
  <c r="O34" i="2"/>
  <c r="P34" i="2"/>
  <c r="P35" i="2"/>
  <c r="O35" i="2"/>
  <c r="N35" i="2"/>
  <c r="M35" i="2"/>
  <c r="L35" i="2"/>
  <c r="K35" i="2"/>
  <c r="H35" i="2"/>
  <c r="I35" i="2"/>
  <c r="F35" i="2"/>
  <c r="E35" i="2"/>
  <c r="D35" i="2"/>
  <c r="C35" i="2"/>
  <c r="B35" i="2"/>
  <c r="J35" i="2"/>
  <c r="G35" i="2"/>
  <c r="AE16" i="2" l="1"/>
  <c r="AE27" i="2" s="1"/>
  <c r="AD13" i="2"/>
  <c r="AD26" i="2" s="1"/>
  <c r="AD18" i="2"/>
  <c r="AD19" i="2" s="1"/>
  <c r="AD20" i="2" s="1"/>
  <c r="AN16" i="2"/>
  <c r="AN27" i="2" s="1"/>
  <c r="AM16" i="2"/>
  <c r="AM27" i="2" s="1"/>
  <c r="AP16" i="2"/>
  <c r="AP27" i="2" s="1"/>
  <c r="AQ16" i="2"/>
  <c r="AQ27" i="2" s="1"/>
  <c r="AO16" i="2"/>
  <c r="AO27" i="2" s="1"/>
  <c r="AK16" i="2"/>
  <c r="AK27" i="2" s="1"/>
  <c r="AL16" i="2"/>
  <c r="AL27" i="2" s="1"/>
  <c r="R16" i="2"/>
  <c r="R18" i="2" s="1"/>
  <c r="R19" i="2" s="1"/>
  <c r="R28" i="2" s="1"/>
  <c r="Q19" i="2"/>
  <c r="Q28" i="2" s="1"/>
  <c r="S16" i="2"/>
  <c r="S18" i="2" s="1"/>
  <c r="O77" i="2"/>
  <c r="O71" i="2"/>
  <c r="P73" i="2"/>
  <c r="P77" i="2" s="1"/>
  <c r="P71" i="2"/>
  <c r="P6" i="2"/>
  <c r="P49" i="2"/>
  <c r="P47" i="2"/>
  <c r="P33" i="2"/>
  <c r="P17" i="2"/>
  <c r="P25" i="2"/>
  <c r="P13" i="2"/>
  <c r="P26" i="2" s="1"/>
  <c r="P11" i="2"/>
  <c r="O6" i="2"/>
  <c r="O7" i="2" s="1"/>
  <c r="O47" i="2"/>
  <c r="O52" i="2" s="1"/>
  <c r="O49" i="2"/>
  <c r="O33" i="2"/>
  <c r="O44" i="2" s="1"/>
  <c r="O17" i="2"/>
  <c r="O13" i="2"/>
  <c r="O26" i="2" s="1"/>
  <c r="O25" i="2"/>
  <c r="O11" i="2"/>
  <c r="N6" i="2"/>
  <c r="N7" i="2" s="1"/>
  <c r="N51" i="2"/>
  <c r="N49" i="2"/>
  <c r="N47" i="2"/>
  <c r="N33" i="2"/>
  <c r="N17" i="2"/>
  <c r="N25" i="2"/>
  <c r="N13" i="2"/>
  <c r="N26" i="2" s="1"/>
  <c r="N11" i="2"/>
  <c r="N16" i="2" s="1"/>
  <c r="M5" i="2"/>
  <c r="M4" i="2"/>
  <c r="M51" i="2"/>
  <c r="M49" i="2"/>
  <c r="M47" i="2"/>
  <c r="M33" i="2"/>
  <c r="M19" i="2"/>
  <c r="M15" i="2"/>
  <c r="M14" i="2"/>
  <c r="M12" i="2"/>
  <c r="M10" i="2"/>
  <c r="M9" i="2"/>
  <c r="L6" i="2"/>
  <c r="L7" i="2" s="1"/>
  <c r="L51" i="2"/>
  <c r="L49" i="2"/>
  <c r="L47" i="2"/>
  <c r="L33" i="2"/>
  <c r="I19" i="2"/>
  <c r="I12" i="2"/>
  <c r="L17" i="2"/>
  <c r="L25" i="2"/>
  <c r="L13" i="2"/>
  <c r="L26" i="2" s="1"/>
  <c r="L11" i="2"/>
  <c r="L16" i="2" s="1"/>
  <c r="L18" i="2" s="1"/>
  <c r="K6" i="2"/>
  <c r="K7" i="2" s="1"/>
  <c r="K47" i="2"/>
  <c r="K51" i="2"/>
  <c r="K49" i="2"/>
  <c r="K33" i="2"/>
  <c r="K17" i="2"/>
  <c r="K25" i="2"/>
  <c r="K13" i="2"/>
  <c r="K26" i="2" s="1"/>
  <c r="K11" i="2"/>
  <c r="K16" i="2" s="1"/>
  <c r="J6" i="2"/>
  <c r="J7" i="2" s="1"/>
  <c r="J51" i="2"/>
  <c r="J49" i="2"/>
  <c r="J47" i="2"/>
  <c r="J33" i="2"/>
  <c r="J44" i="2" s="1"/>
  <c r="J17" i="2"/>
  <c r="J25" i="2"/>
  <c r="J13" i="2"/>
  <c r="J26" i="2" s="1"/>
  <c r="J11" i="2"/>
  <c r="H6" i="2"/>
  <c r="H7" i="2" s="1"/>
  <c r="H51" i="2"/>
  <c r="H49" i="2"/>
  <c r="H47" i="2"/>
  <c r="H33" i="2"/>
  <c r="H17" i="2"/>
  <c r="H13" i="2"/>
  <c r="H26" i="2" s="1"/>
  <c r="H11" i="2"/>
  <c r="H16" i="2" s="1"/>
  <c r="G6" i="2"/>
  <c r="G7" i="2" s="1"/>
  <c r="G51" i="2"/>
  <c r="G49" i="2"/>
  <c r="G47" i="2"/>
  <c r="G34" i="2"/>
  <c r="G33" i="2"/>
  <c r="G17" i="2"/>
  <c r="G13" i="2"/>
  <c r="G26" i="2" s="1"/>
  <c r="G11" i="2"/>
  <c r="G16" i="2" s="1"/>
  <c r="F6" i="2"/>
  <c r="F7" i="2" s="1"/>
  <c r="F51" i="2"/>
  <c r="F49" i="2"/>
  <c r="F47" i="2"/>
  <c r="F33" i="2"/>
  <c r="F17" i="2"/>
  <c r="F13" i="2"/>
  <c r="F26" i="2" s="1"/>
  <c r="F11" i="2"/>
  <c r="F16" i="2" s="1"/>
  <c r="I5" i="2"/>
  <c r="I4" i="2"/>
  <c r="I51" i="2"/>
  <c r="I49" i="2"/>
  <c r="I47" i="2"/>
  <c r="I52" i="2" s="1"/>
  <c r="I33" i="2"/>
  <c r="I44" i="2" s="1"/>
  <c r="H25" i="2"/>
  <c r="G25" i="2"/>
  <c r="F25" i="2"/>
  <c r="I15" i="2"/>
  <c r="I14" i="2"/>
  <c r="I10" i="2"/>
  <c r="I9" i="2"/>
  <c r="E5" i="2"/>
  <c r="E4" i="2"/>
  <c r="E49" i="2"/>
  <c r="E47" i="2"/>
  <c r="E33" i="2"/>
  <c r="E19" i="2"/>
  <c r="E15" i="2"/>
  <c r="E14" i="2"/>
  <c r="E12" i="2"/>
  <c r="E10" i="2"/>
  <c r="E9" i="2"/>
  <c r="D6" i="2"/>
  <c r="D7" i="2" s="1"/>
  <c r="D51" i="2"/>
  <c r="D49" i="2"/>
  <c r="D47" i="2"/>
  <c r="D33" i="2"/>
  <c r="D44" i="2" s="1"/>
  <c r="D17" i="2"/>
  <c r="D13" i="2"/>
  <c r="D26" i="2" s="1"/>
  <c r="D11" i="2"/>
  <c r="D16" i="2" s="1"/>
  <c r="C6" i="2"/>
  <c r="C7" i="2" s="1"/>
  <c r="C51" i="2"/>
  <c r="C49" i="2"/>
  <c r="C47" i="2"/>
  <c r="C33" i="2"/>
  <c r="C13" i="2"/>
  <c r="C26" i="2" s="1"/>
  <c r="C17" i="2"/>
  <c r="C11" i="2"/>
  <c r="C16" i="2" s="1"/>
  <c r="C18" i="2" s="1"/>
  <c r="C28" i="2" s="1"/>
  <c r="B6" i="2"/>
  <c r="B7" i="2" s="1"/>
  <c r="D4" i="1"/>
  <c r="B51" i="2"/>
  <c r="B49" i="2"/>
  <c r="B47" i="2"/>
  <c r="B33" i="2"/>
  <c r="B44" i="2" s="1"/>
  <c r="B17" i="2"/>
  <c r="B13" i="2"/>
  <c r="B26" i="2" s="1"/>
  <c r="B11" i="2"/>
  <c r="B16" i="2" s="1"/>
  <c r="B27" i="2" s="1"/>
  <c r="AF16" i="2" l="1"/>
  <c r="AF27" i="2" s="1"/>
  <c r="AD33" i="2"/>
  <c r="AE17" i="2" s="1"/>
  <c r="AE18" i="2" s="1"/>
  <c r="AD21" i="2"/>
  <c r="AE13" i="2"/>
  <c r="AE26" i="2" s="1"/>
  <c r="R20" i="2"/>
  <c r="T16" i="2"/>
  <c r="T18" i="2" s="1"/>
  <c r="U16" i="2"/>
  <c r="U18" i="2" s="1"/>
  <c r="S19" i="2"/>
  <c r="S28" i="2" s="1"/>
  <c r="Q20" i="2"/>
  <c r="O79" i="2"/>
  <c r="M13" i="2"/>
  <c r="P52" i="2"/>
  <c r="G52" i="2"/>
  <c r="P79" i="2"/>
  <c r="N44" i="2"/>
  <c r="P44" i="2"/>
  <c r="M17" i="2"/>
  <c r="N32" i="2"/>
  <c r="K44" i="2"/>
  <c r="L44" i="2"/>
  <c r="H44" i="2"/>
  <c r="L52" i="2"/>
  <c r="I32" i="2"/>
  <c r="M44" i="2"/>
  <c r="N52" i="2"/>
  <c r="P24" i="2"/>
  <c r="J24" i="2"/>
  <c r="C54" i="2"/>
  <c r="I17" i="2"/>
  <c r="F54" i="2"/>
  <c r="B54" i="2"/>
  <c r="D54" i="2"/>
  <c r="B52" i="2"/>
  <c r="J52" i="2"/>
  <c r="D32" i="2"/>
  <c r="O24" i="2"/>
  <c r="E6" i="2"/>
  <c r="E7" i="2" s="1"/>
  <c r="I25" i="2"/>
  <c r="L54" i="2"/>
  <c r="E52" i="2"/>
  <c r="C20" i="2"/>
  <c r="C21" i="2" s="1"/>
  <c r="D52" i="2"/>
  <c r="J32" i="2"/>
  <c r="K52" i="2"/>
  <c r="M52" i="2"/>
  <c r="C27" i="2"/>
  <c r="E17" i="2"/>
  <c r="H52" i="2"/>
  <c r="C44" i="2"/>
  <c r="O32" i="2"/>
  <c r="K32" i="2"/>
  <c r="P54" i="2"/>
  <c r="N54" i="2"/>
  <c r="H54" i="2"/>
  <c r="J54" i="2"/>
  <c r="O54" i="2"/>
  <c r="K54" i="2"/>
  <c r="K24" i="2"/>
  <c r="P32" i="2"/>
  <c r="P16" i="2"/>
  <c r="O16" i="2"/>
  <c r="N18" i="2"/>
  <c r="N20" i="2" s="1"/>
  <c r="N24" i="2"/>
  <c r="N27" i="2"/>
  <c r="M6" i="2"/>
  <c r="M7" i="2" s="1"/>
  <c r="M32" i="2"/>
  <c r="M26" i="2"/>
  <c r="M11" i="2"/>
  <c r="M16" i="2" s="1"/>
  <c r="M25" i="2"/>
  <c r="L32" i="2"/>
  <c r="L27" i="2"/>
  <c r="L24" i="2"/>
  <c r="K18" i="2"/>
  <c r="K20" i="2" s="1"/>
  <c r="K21" i="2" s="1"/>
  <c r="K27" i="2"/>
  <c r="J16" i="2"/>
  <c r="H32" i="2"/>
  <c r="H27" i="2"/>
  <c r="H18" i="2"/>
  <c r="H24" i="2"/>
  <c r="G32" i="2"/>
  <c r="G44" i="2"/>
  <c r="G24" i="2"/>
  <c r="G18" i="2"/>
  <c r="G27" i="2"/>
  <c r="F32" i="2"/>
  <c r="F52" i="2"/>
  <c r="F44" i="2"/>
  <c r="F24" i="2"/>
  <c r="F27" i="2"/>
  <c r="F18" i="2"/>
  <c r="I13" i="2"/>
  <c r="I26" i="2" s="1"/>
  <c r="I6" i="2"/>
  <c r="I7" i="2" s="1"/>
  <c r="I11" i="2"/>
  <c r="I54" i="2" s="1"/>
  <c r="E32" i="2"/>
  <c r="E44" i="2"/>
  <c r="E11" i="2"/>
  <c r="E16" i="2" s="1"/>
  <c r="E13" i="2"/>
  <c r="E26" i="2" s="1"/>
  <c r="D18" i="2"/>
  <c r="D27" i="2"/>
  <c r="C52" i="2"/>
  <c r="C32" i="2"/>
  <c r="B32" i="2"/>
  <c r="D7" i="1"/>
  <c r="B18" i="2"/>
  <c r="AG16" i="2" l="1"/>
  <c r="AG27" i="2" s="1"/>
  <c r="AE19" i="2"/>
  <c r="AE20" i="2" s="1"/>
  <c r="AF13" i="2"/>
  <c r="AF26" i="2" s="1"/>
  <c r="S20" i="2"/>
  <c r="U19" i="2"/>
  <c r="U28" i="2" s="1"/>
  <c r="T19" i="2"/>
  <c r="T28" i="2" s="1"/>
  <c r="N21" i="2"/>
  <c r="N57" i="2"/>
  <c r="N28" i="2"/>
  <c r="K28" i="2"/>
  <c r="I16" i="2"/>
  <c r="I18" i="2" s="1"/>
  <c r="M54" i="2"/>
  <c r="E54" i="2"/>
  <c r="E18" i="2"/>
  <c r="E27" i="2"/>
  <c r="B28" i="2"/>
  <c r="B20" i="2"/>
  <c r="B21" i="2" s="1"/>
  <c r="P18" i="2"/>
  <c r="P27" i="2"/>
  <c r="O27" i="2"/>
  <c r="O18" i="2"/>
  <c r="M24" i="2"/>
  <c r="L28" i="2"/>
  <c r="L20" i="2"/>
  <c r="L21" i="2" s="1"/>
  <c r="J27" i="2"/>
  <c r="J18" i="2"/>
  <c r="H28" i="2"/>
  <c r="H20" i="2"/>
  <c r="H21" i="2" s="1"/>
  <c r="G28" i="2"/>
  <c r="G20" i="2"/>
  <c r="G21" i="2" s="1"/>
  <c r="I24" i="2"/>
  <c r="F20" i="2"/>
  <c r="F21" i="2" s="1"/>
  <c r="F28" i="2"/>
  <c r="D20" i="2"/>
  <c r="D21" i="2" s="1"/>
  <c r="D28" i="2"/>
  <c r="AH16" i="2" l="1"/>
  <c r="AH27" i="2" s="1"/>
  <c r="AE33" i="2"/>
  <c r="AF17" i="2" s="1"/>
  <c r="AF18" i="2" s="1"/>
  <c r="AE21" i="2"/>
  <c r="AG13" i="2"/>
  <c r="AG26" i="2" s="1"/>
  <c r="U20" i="2"/>
  <c r="T20" i="2"/>
  <c r="E20" i="2"/>
  <c r="E21" i="2" s="1"/>
  <c r="E28" i="2"/>
  <c r="P28" i="2"/>
  <c r="P20" i="2"/>
  <c r="P57" i="2" s="1"/>
  <c r="O28" i="2"/>
  <c r="O20" i="2"/>
  <c r="M27" i="2"/>
  <c r="M18" i="2"/>
  <c r="J28" i="2"/>
  <c r="J20" i="2"/>
  <c r="J21" i="2" s="1"/>
  <c r="I27" i="2"/>
  <c r="AJ16" i="2" l="1"/>
  <c r="AJ27" i="2" s="1"/>
  <c r="AI16" i="2"/>
  <c r="AI27" i="2" s="1"/>
  <c r="AF19" i="2"/>
  <c r="AF20" i="2" s="1"/>
  <c r="AH13" i="2"/>
  <c r="O21" i="2"/>
  <c r="O57" i="2"/>
  <c r="P21" i="2"/>
  <c r="M20" i="2"/>
  <c r="M21" i="2" s="1"/>
  <c r="M28" i="2"/>
  <c r="I28" i="2"/>
  <c r="I20" i="2"/>
  <c r="I21" i="2" s="1"/>
  <c r="AF33" i="2" l="1"/>
  <c r="AF21" i="2"/>
  <c r="AG17" i="2"/>
  <c r="AG18" i="2" s="1"/>
  <c r="AI13" i="2"/>
  <c r="AI26" i="2" s="1"/>
  <c r="AG19" i="2" l="1"/>
  <c r="AG20" i="2" s="1"/>
  <c r="AJ13" i="2"/>
  <c r="AJ26" i="2" s="1"/>
  <c r="AG33" i="2" l="1"/>
  <c r="AH17" i="2" s="1"/>
  <c r="AH18" i="2" s="1"/>
  <c r="AG21" i="2"/>
  <c r="AK13" i="2"/>
  <c r="AK26" i="2" s="1"/>
  <c r="AH19" i="2" l="1"/>
  <c r="AH20" i="2" s="1"/>
  <c r="AL13" i="2"/>
  <c r="AL26" i="2" s="1"/>
  <c r="AH33" i="2" l="1"/>
  <c r="AI17" i="2" s="1"/>
  <c r="AI18" i="2" s="1"/>
  <c r="AH21" i="2"/>
  <c r="AM13" i="2"/>
  <c r="AM26" i="2" s="1"/>
  <c r="AI19" i="2" l="1"/>
  <c r="AI20" i="2" s="1"/>
  <c r="AN13" i="2"/>
  <c r="AN26" i="2" s="1"/>
  <c r="AI33" i="2" l="1"/>
  <c r="AJ17" i="2" s="1"/>
  <c r="AJ18" i="2" s="1"/>
  <c r="AI21" i="2"/>
  <c r="AO13" i="2"/>
  <c r="AO26" i="2" s="1"/>
  <c r="AJ19" i="2" l="1"/>
  <c r="AJ20" i="2" s="1"/>
  <c r="AP13" i="2"/>
  <c r="AP26" i="2" s="1"/>
  <c r="AJ33" i="2" l="1"/>
  <c r="AK18" i="2" s="1"/>
  <c r="AJ21" i="2"/>
  <c r="AQ13" i="2"/>
  <c r="AQ26" i="2" s="1"/>
  <c r="AR13" i="2"/>
  <c r="AR26" i="2" s="1"/>
  <c r="AK19" i="2" l="1"/>
  <c r="AK20" i="2" s="1"/>
  <c r="AK33" i="2" l="1"/>
  <c r="AL17" i="2" s="1"/>
  <c r="AL18" i="2" s="1"/>
  <c r="AK21" i="2"/>
  <c r="AL19" i="2" l="1"/>
  <c r="AL20" i="2" s="1"/>
  <c r="AL33" i="2" l="1"/>
  <c r="AL21" i="2"/>
  <c r="AM17" i="2"/>
  <c r="AM18" i="2" s="1"/>
  <c r="AM19" i="2" l="1"/>
  <c r="AM20" i="2" s="1"/>
  <c r="AM33" i="2" l="1"/>
  <c r="AN17" i="2" s="1"/>
  <c r="AN18" i="2" s="1"/>
  <c r="AM21" i="2"/>
  <c r="AN19" i="2" l="1"/>
  <c r="AN20" i="2" s="1"/>
  <c r="AN33" i="2" l="1"/>
  <c r="AO17" i="2" s="1"/>
  <c r="AO18" i="2" s="1"/>
  <c r="AN21" i="2"/>
  <c r="AO19" i="2" l="1"/>
  <c r="AO20" i="2" s="1"/>
  <c r="AO33" i="2" l="1"/>
  <c r="AP17" i="2" s="1"/>
  <c r="AP18" i="2" s="1"/>
  <c r="AO21" i="2"/>
  <c r="AP19" i="2" l="1"/>
  <c r="AP20" i="2" s="1"/>
  <c r="AP33" i="2" l="1"/>
  <c r="AQ17" i="2" s="1"/>
  <c r="AQ18" i="2" s="1"/>
  <c r="AP21" i="2"/>
  <c r="AQ19" i="2" l="1"/>
  <c r="AQ20" i="2" s="1"/>
  <c r="AQ33" i="2" l="1"/>
  <c r="AR17" i="2" s="1"/>
  <c r="AR18" i="2" s="1"/>
  <c r="AQ21" i="2"/>
  <c r="AR19" i="2" l="1"/>
  <c r="AR20" i="2" l="1"/>
  <c r="AS20" i="2" l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 s="1"/>
  <c r="GD20" i="2" s="1"/>
  <c r="GE20" i="2" s="1"/>
  <c r="GF20" i="2" s="1"/>
  <c r="GG20" i="2" s="1"/>
  <c r="GH20" i="2" s="1"/>
  <c r="GI20" i="2" s="1"/>
  <c r="GJ20" i="2" s="1"/>
  <c r="GK20" i="2" s="1"/>
  <c r="GL20" i="2" s="1"/>
  <c r="GM20" i="2" s="1"/>
  <c r="GN20" i="2" s="1"/>
  <c r="GO20" i="2" s="1"/>
  <c r="GP20" i="2" s="1"/>
  <c r="GQ20" i="2" s="1"/>
  <c r="GR20" i="2" s="1"/>
  <c r="GS20" i="2" s="1"/>
  <c r="GT20" i="2" s="1"/>
  <c r="GU20" i="2" s="1"/>
  <c r="GV20" i="2" s="1"/>
  <c r="GW20" i="2" s="1"/>
  <c r="GX20" i="2" s="1"/>
  <c r="GY20" i="2" s="1"/>
  <c r="GZ20" i="2" s="1"/>
  <c r="HA20" i="2" s="1"/>
  <c r="HB20" i="2" s="1"/>
  <c r="HC20" i="2" s="1"/>
  <c r="HD20" i="2" s="1"/>
  <c r="HE20" i="2" s="1"/>
  <c r="HF20" i="2" s="1"/>
  <c r="HG20" i="2" s="1"/>
  <c r="HH20" i="2" s="1"/>
  <c r="HI20" i="2" s="1"/>
  <c r="HJ20" i="2" s="1"/>
  <c r="HK20" i="2" s="1"/>
  <c r="HL20" i="2" s="1"/>
  <c r="HM20" i="2" s="1"/>
  <c r="HN20" i="2" s="1"/>
  <c r="HO20" i="2" s="1"/>
  <c r="HP20" i="2" s="1"/>
  <c r="HQ20" i="2" s="1"/>
  <c r="HR20" i="2" s="1"/>
  <c r="HS20" i="2" s="1"/>
  <c r="HT20" i="2" s="1"/>
  <c r="HU20" i="2" s="1"/>
  <c r="HV20" i="2" s="1"/>
  <c r="HW20" i="2" s="1"/>
  <c r="HX20" i="2" s="1"/>
  <c r="HY20" i="2" s="1"/>
  <c r="HZ20" i="2" s="1"/>
  <c r="IA20" i="2" s="1"/>
  <c r="IB20" i="2" s="1"/>
  <c r="IC20" i="2" s="1"/>
  <c r="ID20" i="2" s="1"/>
  <c r="IE20" i="2" s="1"/>
  <c r="IF20" i="2" s="1"/>
  <c r="IG20" i="2" s="1"/>
  <c r="IH20" i="2" s="1"/>
  <c r="II20" i="2" s="1"/>
  <c r="IJ20" i="2" s="1"/>
  <c r="IK20" i="2" s="1"/>
  <c r="AV33" i="2" s="1"/>
  <c r="AV34" i="2" s="1"/>
  <c r="AR21" i="2"/>
  <c r="AR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tc={9DFD83E0-2484-43CC-A209-18953F79C5D7}</author>
  </authors>
  <commentList>
    <comment ref="C20" authorId="0" shapeId="0" xr:uid="{9DFD83E0-2484-43CC-A209-18953F79C5D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3.5B Guidance</t>
      </text>
    </comment>
  </commentList>
</comments>
</file>

<file path=xl/sharedStrings.xml><?xml version="1.0" encoding="utf-8"?>
<sst xmlns="http://schemas.openxmlformats.org/spreadsheetml/2006/main" count="104" uniqueCount="90">
  <si>
    <t>Price</t>
  </si>
  <si>
    <t>Shares</t>
  </si>
  <si>
    <t>MC</t>
  </si>
  <si>
    <t>Cash</t>
  </si>
  <si>
    <t>Debt</t>
  </si>
  <si>
    <t>EV</t>
  </si>
  <si>
    <t>Q224</t>
  </si>
  <si>
    <t>CEO</t>
  </si>
  <si>
    <t>Mary Barra</t>
  </si>
  <si>
    <t>2014-</t>
  </si>
  <si>
    <t>Main</t>
  </si>
  <si>
    <t>Revenue</t>
  </si>
  <si>
    <t>SG&amp;A</t>
  </si>
  <si>
    <t>Automotive</t>
  </si>
  <si>
    <t>Financial</t>
  </si>
  <si>
    <t>Q121</t>
  </si>
  <si>
    <t>Automotive COGS</t>
  </si>
  <si>
    <t>Automotive GM</t>
  </si>
  <si>
    <t>Operating expenses</t>
  </si>
  <si>
    <t>Operating Income</t>
  </si>
  <si>
    <t>Interest Income</t>
  </si>
  <si>
    <t>Pretax</t>
  </si>
  <si>
    <t>Tax</t>
  </si>
  <si>
    <t>Net Income</t>
  </si>
  <si>
    <t>EPS</t>
  </si>
  <si>
    <t>Operating Margin</t>
  </si>
  <si>
    <t>Tax Rate</t>
  </si>
  <si>
    <t>Rev y/y</t>
  </si>
  <si>
    <t>Automotive y/y</t>
  </si>
  <si>
    <t>Net Cash</t>
  </si>
  <si>
    <t>AR</t>
  </si>
  <si>
    <t>Inventories</t>
  </si>
  <si>
    <t>OCA</t>
  </si>
  <si>
    <t>PP&amp;E</t>
  </si>
  <si>
    <t>Equity</t>
  </si>
  <si>
    <t>Goodwill</t>
  </si>
  <si>
    <t>Eq on Leases</t>
  </si>
  <si>
    <t>DT</t>
  </si>
  <si>
    <t>OA</t>
  </si>
  <si>
    <t>Total Assets</t>
  </si>
  <si>
    <t>AP</t>
  </si>
  <si>
    <t>AL</t>
  </si>
  <si>
    <t>OL</t>
  </si>
  <si>
    <t>Pensions</t>
  </si>
  <si>
    <t>SE</t>
  </si>
  <si>
    <t>L&amp;SE</t>
  </si>
  <si>
    <t>Q323</t>
  </si>
  <si>
    <t>Q324</t>
  </si>
  <si>
    <t>Q221</t>
  </si>
  <si>
    <t>IR</t>
  </si>
  <si>
    <t>Deliveries</t>
  </si>
  <si>
    <t>GMNA deliveries</t>
  </si>
  <si>
    <t>GMI deliveries</t>
  </si>
  <si>
    <t>Automotive ASP</t>
  </si>
  <si>
    <t>Q321</t>
  </si>
  <si>
    <t>Q421</t>
  </si>
  <si>
    <t>Q122</t>
  </si>
  <si>
    <t>Q222</t>
  </si>
  <si>
    <t>Q322</t>
  </si>
  <si>
    <t>Q422</t>
  </si>
  <si>
    <t>Q123</t>
  </si>
  <si>
    <t>Q223</t>
  </si>
  <si>
    <t>Q423</t>
  </si>
  <si>
    <t>Q124</t>
  </si>
  <si>
    <t>Q424</t>
  </si>
  <si>
    <t>Q125</t>
  </si>
  <si>
    <t>Q225</t>
  </si>
  <si>
    <t>Q325</t>
  </si>
  <si>
    <t>Q425</t>
  </si>
  <si>
    <t>DSO</t>
  </si>
  <si>
    <t>Model NI</t>
  </si>
  <si>
    <t>Reported NI</t>
  </si>
  <si>
    <t>D&amp;A</t>
  </si>
  <si>
    <t>FX</t>
  </si>
  <si>
    <t>Other</t>
  </si>
  <si>
    <t>CapEx</t>
  </si>
  <si>
    <t>Investing</t>
  </si>
  <si>
    <t>Financial Receivables</t>
  </si>
  <si>
    <t>Leases</t>
  </si>
  <si>
    <t>Buybacks</t>
  </si>
  <si>
    <t>Dividends</t>
  </si>
  <si>
    <t>CFFI</t>
  </si>
  <si>
    <t>CFFO</t>
  </si>
  <si>
    <t>CFFF</t>
  </si>
  <si>
    <t>CIC</t>
  </si>
  <si>
    <t>ROIC</t>
  </si>
  <si>
    <t>Terminal</t>
  </si>
  <si>
    <t>NPV</t>
  </si>
  <si>
    <t>Discount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</si>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</sst>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0.0%"/>
    <numFmt numFmtId="169" formatCode="#,##0_ ;\-#,##0\ 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  <charset val="238"/>
    </font>
    <font>
      <u/>
      <sz val="10"/>
      <color theme="10"/>
      <name val="Arial"/>
      <family val="2"/>
    </font>
    <font>
      <b/>
      <sz val="10"/>
      <color theme="1"/>
      <name val="Arial"/>
      <family val="2"/>
      <charset val="238"/>
    </font>
    <font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/>
    <xf numFmtId="0" fontId="1" fillId="0" borderId="0" xfId="0" applyFont="1"/>
    <xf numFmtId="2" fontId="0" fillId="0" borderId="0" xfId="0" applyNumberFormat="1"/>
    <xf numFmtId="3" fontId="0" fillId="0" borderId="0" xfId="0" applyNumberFormat="1" applyAlignment="1">
      <alignment horizontal="right"/>
    </xf>
    <xf numFmtId="3" fontId="3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49" fontId="0" fillId="0" borderId="0" xfId="0" applyNumberFormat="1"/>
    <xf numFmtId="0" fontId="2" fillId="0" borderId="0" xfId="1"/>
    <xf numFmtId="10" fontId="3" fillId="0" borderId="0" xfId="0" applyNumberFormat="1" applyFont="1"/>
    <xf numFmtId="166" fontId="1" fillId="0" borderId="0" xfId="0" applyNumberFormat="1" applyFont="1"/>
    <xf numFmtId="9" fontId="0" fillId="0" borderId="0" xfId="0" applyNumberFormat="1"/>
    <xf numFmtId="169" fontId="0" fillId="0" borderId="0" xfId="0" applyNumberFormat="1" applyAlignment="1">
      <alignment horizontal="right"/>
    </xf>
  </cellXfs>
  <cellStyles count="2">
    <cellStyle name="Hiperłącze" xfId="1" builtinId="8"/>
    <cellStyle name="Normalny" xfId="0" builtinId="0"/>
  </cellStyles>
  <dxfs count="0"/>
  <tableStyles count="1" defaultTableStyle="TableStyleMedium2" defaultPivotStyle="PivotStyleLight16">
    <tableStyle name="Invisible" pivot="0" table="0" count="0" xr9:uid="{4842DDB0-2D2D-4571-8C94-58CC812F25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0</xdr:row>
      <xdr:rowOff>15240</xdr:rowOff>
    </xdr:from>
    <xdr:to>
      <xdr:col>16</xdr:col>
      <xdr:colOff>28575</xdr:colOff>
      <xdr:row>89</xdr:row>
      <xdr:rowOff>66675</xdr:rowOff>
    </xdr:to>
    <xdr:cxnSp macro="">
      <xdr:nvCxnSpPr>
        <xdr:cNvPr id="3" name="Łącznik prosty 2">
          <a:extLst>
            <a:ext uri="{FF2B5EF4-FFF2-40B4-BE49-F238E27FC236}">
              <a16:creationId xmlns:a16="http://schemas.microsoft.com/office/drawing/2014/main" id="{E70D33FE-89AE-A929-1BE9-2D5709BF9CB3}"/>
            </a:ext>
          </a:extLst>
        </xdr:cNvPr>
        <xdr:cNvCxnSpPr/>
      </xdr:nvCxnSpPr>
      <xdr:spPr>
        <a:xfrm>
          <a:off x="9892665" y="15240"/>
          <a:ext cx="13335" cy="153104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38100</xdr:rowOff>
    </xdr:from>
    <xdr:to>
      <xdr:col>27</xdr:col>
      <xdr:colOff>19050</xdr:colOff>
      <xdr:row>66</xdr:row>
      <xdr:rowOff>104775</xdr:rowOff>
    </xdr:to>
    <xdr:cxnSp macro="">
      <xdr:nvCxnSpPr>
        <xdr:cNvPr id="6" name="Łącznik prosty 5">
          <a:extLst>
            <a:ext uri="{FF2B5EF4-FFF2-40B4-BE49-F238E27FC236}">
              <a16:creationId xmlns:a16="http://schemas.microsoft.com/office/drawing/2014/main" id="{60246563-7304-35D9-1EDF-4B8ABE08BC27}"/>
            </a:ext>
          </a:extLst>
        </xdr:cNvPr>
        <xdr:cNvCxnSpPr/>
      </xdr:nvCxnSpPr>
      <xdr:spPr>
        <a:xfrm flipH="1">
          <a:off x="16716375" y="38100"/>
          <a:ext cx="19050" cy="11382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ebastian Szewczyk" id="{6083D1FB-25A0-464E-958E-1E39AC802450}" userId="0eb6a9f0be765fac" providerId="Windows Live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4-11-11T14:13:03.35" personId="{6083D1FB-25A0-464E-958E-1E39AC802450}" id="{9DFD83E0-2484-43CC-A209-18953F79C5D7}">
    <text>3.5B Guidance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gm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637-4AE3-43AF-BADC-C3D9094F35BE}">
  <dimension ref="A1:E10"/>
  <sheetViews>
    <sheetView zoomScale="130" zoomScaleNormal="130" workbookViewId="0">
      <selection activeCell="H16" sqref="H16"/>
    </sheetView>
  </sheetViews>
  <sheetFormatPr defaultRowHeight="13.2" x14ac:dyDescent="0.25"/>
  <cols>
    <col min="3" max="3" width="10.21875" bestFit="1" customWidth="1"/>
    <col min="4" max="4" width="12.44140625" customWidth="1"/>
  </cols>
  <sheetData>
    <row r="1" spans="1:5" x14ac:dyDescent="0.25">
      <c r="A1" s="13" t="s">
        <v>49</v>
      </c>
    </row>
    <row r="2" spans="1:5" x14ac:dyDescent="0.25">
      <c r="C2" t="s">
        <v>0</v>
      </c>
      <c r="D2">
        <v>55.58</v>
      </c>
    </row>
    <row r="3" spans="1:5" x14ac:dyDescent="0.25">
      <c r="C3" s="1" t="s">
        <v>1</v>
      </c>
      <c r="D3" s="3">
        <v>1131</v>
      </c>
      <c r="E3" s="2" t="s">
        <v>47</v>
      </c>
    </row>
    <row r="4" spans="1:5" x14ac:dyDescent="0.25">
      <c r="C4" t="s">
        <v>2</v>
      </c>
      <c r="D4" s="3">
        <f>+D2*D3</f>
        <v>62860.979999999996</v>
      </c>
    </row>
    <row r="5" spans="1:5" x14ac:dyDescent="0.25">
      <c r="C5" t="s">
        <v>3</v>
      </c>
      <c r="D5" s="3">
        <v>32221</v>
      </c>
      <c r="E5" s="2" t="s">
        <v>47</v>
      </c>
    </row>
    <row r="6" spans="1:5" x14ac:dyDescent="0.25">
      <c r="C6" t="s">
        <v>4</v>
      </c>
      <c r="D6" s="3">
        <v>127851</v>
      </c>
      <c r="E6" s="2" t="s">
        <v>47</v>
      </c>
    </row>
    <row r="7" spans="1:5" x14ac:dyDescent="0.25">
      <c r="C7" t="s">
        <v>5</v>
      </c>
      <c r="D7" s="3">
        <f>+D4-D5+D6</f>
        <v>158490.97999999998</v>
      </c>
    </row>
    <row r="10" spans="1:5" x14ac:dyDescent="0.25">
      <c r="B10" t="s">
        <v>7</v>
      </c>
      <c r="C10" t="s">
        <v>8</v>
      </c>
      <c r="D10" t="s">
        <v>9</v>
      </c>
    </row>
  </sheetData>
  <hyperlinks>
    <hyperlink ref="A1" r:id="rId1" xr:uid="{ABC6F5F9-5F79-46F5-BB59-2078AC529F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9DE1-0C20-415F-876A-BF161E6CF865}">
  <dimension ref="A1:IK79"/>
  <sheetViews>
    <sheetView tabSelected="1" topLeftCell="A4" zoomScaleNormal="100" workbookViewId="0">
      <pane xSplit="1" topLeftCell="B1" activePane="topRight" state="frozen"/>
      <selection pane="topRight" activeCell="M12" sqref="M12"/>
    </sheetView>
  </sheetViews>
  <sheetFormatPr defaultRowHeight="13.2" x14ac:dyDescent="0.25"/>
  <cols>
    <col min="1" max="1" width="18.77734375" bestFit="1" customWidth="1"/>
    <col min="2" max="2" width="9.21875" style="3" bestFit="1" customWidth="1"/>
    <col min="3" max="3" width="9.109375" bestFit="1" customWidth="1"/>
    <col min="7" max="7" width="0" hidden="1" customWidth="1"/>
    <col min="9" max="9" width="9.109375" bestFit="1" customWidth="1"/>
    <col min="17" max="18" width="9" bestFit="1" customWidth="1"/>
    <col min="19" max="21" width="9.109375" bestFit="1" customWidth="1"/>
    <col min="25" max="27" width="9.109375" bestFit="1" customWidth="1"/>
    <col min="28" max="29" width="9.21875" bestFit="1" customWidth="1"/>
    <col min="30" max="30" width="10.109375" bestFit="1" customWidth="1"/>
    <col min="31" max="35" width="9.109375" bestFit="1" customWidth="1"/>
    <col min="36" max="37" width="11.109375" bestFit="1" customWidth="1"/>
    <col min="38" max="44" width="9.109375" bestFit="1" customWidth="1"/>
    <col min="48" max="48" width="11.88671875" bestFit="1" customWidth="1"/>
  </cols>
  <sheetData>
    <row r="1" spans="1:44" x14ac:dyDescent="0.25">
      <c r="A1" s="13" t="s">
        <v>10</v>
      </c>
    </row>
    <row r="2" spans="1:44" s="2" customFormat="1" x14ac:dyDescent="0.25">
      <c r="B2" s="7" t="s">
        <v>15</v>
      </c>
      <c r="C2" s="2" t="s">
        <v>48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  <c r="L2" s="2" t="s">
        <v>46</v>
      </c>
      <c r="M2" s="2" t="s">
        <v>62</v>
      </c>
      <c r="N2" s="2" t="s">
        <v>63</v>
      </c>
      <c r="O2" s="2" t="s">
        <v>6</v>
      </c>
      <c r="P2" s="2" t="s">
        <v>47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Y2" s="2">
        <v>2021</v>
      </c>
      <c r="Z2" s="2">
        <v>2022</v>
      </c>
      <c r="AA2" s="2">
        <v>2023</v>
      </c>
      <c r="AB2" s="2">
        <v>2024</v>
      </c>
      <c r="AC2" s="2">
        <v>2025</v>
      </c>
      <c r="AD2" s="2">
        <v>2026</v>
      </c>
      <c r="AE2" s="2">
        <v>2027</v>
      </c>
      <c r="AF2" s="2">
        <v>2028</v>
      </c>
      <c r="AG2" s="2">
        <v>2029</v>
      </c>
      <c r="AH2" s="2">
        <v>2030</v>
      </c>
      <c r="AI2" s="2">
        <v>2031</v>
      </c>
      <c r="AJ2" s="2">
        <v>2032</v>
      </c>
      <c r="AK2" s="2">
        <v>2033</v>
      </c>
      <c r="AL2" s="2">
        <v>2034</v>
      </c>
      <c r="AM2" s="2">
        <v>2035</v>
      </c>
      <c r="AN2" s="2">
        <v>2036</v>
      </c>
      <c r="AO2" s="2">
        <v>2037</v>
      </c>
      <c r="AP2" s="2">
        <v>2038</v>
      </c>
      <c r="AQ2" s="2">
        <v>2039</v>
      </c>
      <c r="AR2" s="2">
        <v>2040</v>
      </c>
    </row>
    <row r="3" spans="1:44" s="2" customFormat="1" x14ac:dyDescent="0.25">
      <c r="B3" s="7"/>
    </row>
    <row r="4" spans="1:44" x14ac:dyDescent="0.25">
      <c r="A4" t="s">
        <v>51</v>
      </c>
      <c r="B4" s="3">
        <v>664000</v>
      </c>
      <c r="C4" s="3">
        <v>642000</v>
      </c>
      <c r="D4" s="3">
        <v>423000</v>
      </c>
      <c r="E4" s="3">
        <f>2308000-D4-C4-B4</f>
        <v>579000</v>
      </c>
      <c r="F4" s="3">
        <v>694000</v>
      </c>
      <c r="G4" s="3">
        <v>662000</v>
      </c>
      <c r="H4" s="3">
        <v>784000</v>
      </c>
      <c r="I4" s="3">
        <f>2926000-H4-G4-F4</f>
        <v>786000</v>
      </c>
      <c r="J4" s="3">
        <v>723000</v>
      </c>
      <c r="K4" s="3">
        <v>833000</v>
      </c>
      <c r="L4" s="3">
        <v>810000</v>
      </c>
      <c r="M4" s="3">
        <f>3147000-L4-K4-J4</f>
        <v>781000</v>
      </c>
      <c r="N4" s="3">
        <v>792000</v>
      </c>
      <c r="O4" s="3">
        <v>903000</v>
      </c>
      <c r="P4" s="3">
        <v>893000</v>
      </c>
      <c r="Y4" s="3">
        <f>SUM(B4:E4)</f>
        <v>2308000</v>
      </c>
      <c r="Z4" s="3">
        <f>SUM(F4:J4)</f>
        <v>3649000</v>
      </c>
      <c r="AA4" s="3">
        <f>SUM(J4:M4)</f>
        <v>3147000</v>
      </c>
    </row>
    <row r="5" spans="1:44" x14ac:dyDescent="0.25">
      <c r="A5" t="s">
        <v>52</v>
      </c>
      <c r="B5" s="3">
        <v>157000</v>
      </c>
      <c r="C5" s="3">
        <v>118000</v>
      </c>
      <c r="D5" s="3">
        <v>113000</v>
      </c>
      <c r="E5" s="3">
        <f>551000-D5-C5-B5</f>
        <v>163000</v>
      </c>
      <c r="F5" s="3">
        <v>137000</v>
      </c>
      <c r="G5" s="3">
        <v>155000</v>
      </c>
      <c r="H5" s="3">
        <v>182000</v>
      </c>
      <c r="I5" s="3">
        <f>653000-H5-G5-F5</f>
        <v>179000</v>
      </c>
      <c r="J5" s="3">
        <v>141000</v>
      </c>
      <c r="K5" s="3">
        <v>147000</v>
      </c>
      <c r="L5" s="3">
        <v>171000</v>
      </c>
      <c r="M5" s="3">
        <f>621000-L5-K5-J5</f>
        <v>162000</v>
      </c>
      <c r="N5" s="3">
        <v>104000</v>
      </c>
      <c r="O5" s="3">
        <v>140000</v>
      </c>
      <c r="P5" s="3">
        <v>140000</v>
      </c>
      <c r="Y5" s="3">
        <f>SUM(B5:E5)</f>
        <v>551000</v>
      </c>
      <c r="Z5" s="3">
        <f>SUM(F5:J5)</f>
        <v>794000</v>
      </c>
      <c r="AA5" s="3">
        <f>SUM(J5:M5)</f>
        <v>621000</v>
      </c>
    </row>
    <row r="6" spans="1:44" s="4" customFormat="1" x14ac:dyDescent="0.25">
      <c r="A6" s="4" t="s">
        <v>50</v>
      </c>
      <c r="B6" s="8">
        <f>SUM(B4:B5)</f>
        <v>821000</v>
      </c>
      <c r="C6" s="8">
        <f>SUM(C4:C5)</f>
        <v>760000</v>
      </c>
      <c r="D6" s="8">
        <f>SUM(D4:D5)</f>
        <v>536000</v>
      </c>
      <c r="E6" s="8">
        <f>SUM(E4:E5)</f>
        <v>742000</v>
      </c>
      <c r="F6" s="8">
        <f>SUM(F4:F5)</f>
        <v>831000</v>
      </c>
      <c r="G6" s="8">
        <f>SUM(G4:G5)</f>
        <v>817000</v>
      </c>
      <c r="H6" s="8">
        <f>SUM(H4:H5)</f>
        <v>966000</v>
      </c>
      <c r="I6" s="8">
        <f>SUM(I4:I5)</f>
        <v>965000</v>
      </c>
      <c r="J6" s="8">
        <f>SUM(J4:J5)</f>
        <v>864000</v>
      </c>
      <c r="K6" s="8">
        <f>SUM(K4:K5)</f>
        <v>980000</v>
      </c>
      <c r="L6" s="8">
        <f>SUM(L4:L5)</f>
        <v>981000</v>
      </c>
      <c r="M6" s="8">
        <f>SUM(M4:M5)</f>
        <v>943000</v>
      </c>
      <c r="N6" s="8">
        <f>SUM(N4:N5)</f>
        <v>896000</v>
      </c>
      <c r="O6" s="8">
        <f>SUM(O4:O5)</f>
        <v>1043000</v>
      </c>
      <c r="P6" s="8">
        <f>SUM(P4:P5)</f>
        <v>1033000</v>
      </c>
      <c r="Q6" s="8">
        <f>M6*1.05</f>
        <v>990150</v>
      </c>
      <c r="R6" s="8">
        <f>N6*1.03</f>
        <v>922880</v>
      </c>
      <c r="S6" s="8">
        <f>O6*1.03</f>
        <v>1074290</v>
      </c>
      <c r="T6" s="8">
        <f>P6*1.03</f>
        <v>1063990</v>
      </c>
      <c r="U6" s="8">
        <f>Q6*1.03</f>
        <v>1019854.5</v>
      </c>
      <c r="Y6" s="8">
        <f>SUM(Y4:Y5)</f>
        <v>2859000</v>
      </c>
      <c r="Z6" s="8">
        <f>SUM(Z4:Z5)</f>
        <v>4443000</v>
      </c>
      <c r="AA6" s="8">
        <f>SUM(AA4:AA5)</f>
        <v>3768000</v>
      </c>
      <c r="AB6" s="8">
        <f>SUM(N6:Q6)</f>
        <v>3962150</v>
      </c>
      <c r="AC6" s="8">
        <f>SUM(R6:U6)</f>
        <v>4081014.5</v>
      </c>
      <c r="AD6" s="8">
        <f>AC6*1.04</f>
        <v>4244255.08</v>
      </c>
      <c r="AE6" s="8">
        <f>AD6*1.04</f>
        <v>4414025.2832000004</v>
      </c>
      <c r="AF6" s="8">
        <f>AE6*1.04</f>
        <v>4590586.294528001</v>
      </c>
      <c r="AG6" s="8">
        <f>AF6*1.04</f>
        <v>4774209.7463091211</v>
      </c>
      <c r="AH6" s="8">
        <f>AG6*1.04</f>
        <v>4965178.1361614866</v>
      </c>
      <c r="AI6" s="8">
        <f>AH6*1.04</f>
        <v>5163785.2616079459</v>
      </c>
      <c r="AJ6" s="8">
        <f>AI6*1.02</f>
        <v>5267060.9668401051</v>
      </c>
      <c r="AK6" s="8">
        <f>AJ6*1</f>
        <v>5267060.9668401051</v>
      </c>
      <c r="AL6" s="8">
        <f>AK6*1</f>
        <v>5267060.9668401051</v>
      </c>
      <c r="AM6" s="8">
        <f>AL6*1</f>
        <v>5267060.9668401051</v>
      </c>
      <c r="AN6" s="8">
        <f>AM6*1</f>
        <v>5267060.9668401051</v>
      </c>
      <c r="AO6" s="8">
        <f>AN6*1</f>
        <v>5267060.9668401051</v>
      </c>
      <c r="AP6" s="8">
        <f>AO6*1</f>
        <v>5267060.9668401051</v>
      </c>
      <c r="AQ6" s="8">
        <f>AP6*1</f>
        <v>5267060.9668401051</v>
      </c>
      <c r="AR6" s="8">
        <f>AQ6*1</f>
        <v>5267060.9668401051</v>
      </c>
    </row>
    <row r="7" spans="1:44" x14ac:dyDescent="0.25">
      <c r="A7" t="s">
        <v>53</v>
      </c>
      <c r="B7" s="3">
        <f>B9/B6*1000000</f>
        <v>35404.384896467724</v>
      </c>
      <c r="C7" s="3">
        <f>C9/C6*1000000</f>
        <v>40452.631578947367</v>
      </c>
      <c r="D7" s="3">
        <f>D9/D6*1000000</f>
        <v>43705.223880597012</v>
      </c>
      <c r="E7" s="3">
        <f>E9/E6*1000000</f>
        <v>40907.008086253365</v>
      </c>
      <c r="F7" s="3">
        <f>F9/F6*1000000</f>
        <v>39499.398315282793</v>
      </c>
      <c r="G7" s="3">
        <f>G9/G6*1000000</f>
        <v>39919.216646266832</v>
      </c>
      <c r="H7" s="3">
        <f>H9/H6*1000000</f>
        <v>40065.217391304352</v>
      </c>
      <c r="I7" s="3">
        <f>I9/I6*1000000</f>
        <v>41278.756476683935</v>
      </c>
      <c r="J7" s="3">
        <f>J9/J6*1000000</f>
        <v>42414.351851851847</v>
      </c>
      <c r="K7" s="3">
        <f>K9/K6*1000000</f>
        <v>42095.918367346938</v>
      </c>
      <c r="L7" s="3">
        <f>L9/L6*1000000</f>
        <v>41282.364933741082</v>
      </c>
      <c r="M7" s="3">
        <f>M9/M6*1000000</f>
        <v>41633.085896076351</v>
      </c>
      <c r="N7" s="3">
        <f>N9/N6*1000000</f>
        <v>43763.392857142855</v>
      </c>
      <c r="O7" s="3">
        <f>O9/O6*1000000</f>
        <v>42243.528283796739</v>
      </c>
      <c r="P7" s="3">
        <f>P9/P6*1000000</f>
        <v>43305.905130687323</v>
      </c>
      <c r="Q7" s="3">
        <f>M7*1.04</f>
        <v>43298.409331919407</v>
      </c>
      <c r="R7" s="3">
        <f>N7*1.04</f>
        <v>45513.928571428572</v>
      </c>
      <c r="S7" s="3">
        <f>O7*1.04</f>
        <v>43933.269415148607</v>
      </c>
      <c r="T7" s="3">
        <f>P7*1.04</f>
        <v>45038.141335914814</v>
      </c>
      <c r="U7" s="3">
        <f>Q7*1.04</f>
        <v>45030.345705196181</v>
      </c>
      <c r="Y7" s="3">
        <f>Y9/Y6*1000000</f>
        <v>39730.675061210211</v>
      </c>
      <c r="Z7" s="3">
        <f>Z9/Z6*1000000</f>
        <v>40652.937204591486</v>
      </c>
      <c r="AA7" s="3">
        <f>AA9/AA6*1000000</f>
        <v>41841.295116772824</v>
      </c>
      <c r="AB7" s="3">
        <f>AB9/AB6*1000000</f>
        <v>43127.827063589211</v>
      </c>
      <c r="AC7" s="3">
        <f>AC9/AC6*1000000</f>
        <v>44852.940146132787</v>
      </c>
      <c r="AD7" s="3">
        <f>AC7*1.02</f>
        <v>45749.998949055444</v>
      </c>
      <c r="AE7" s="3">
        <f>AD7*1.02</f>
        <v>46664.998928036555</v>
      </c>
      <c r="AF7" s="3">
        <f>AE7*1.02</f>
        <v>47598.298906597287</v>
      </c>
      <c r="AG7" s="3">
        <f>AF7*1.02</f>
        <v>48550.264884729237</v>
      </c>
      <c r="AH7" s="3">
        <f>AG7*1.02</f>
        <v>49521.270182423825</v>
      </c>
      <c r="AI7" s="3">
        <f>AH7*1.02</f>
        <v>50511.695586072303</v>
      </c>
      <c r="AJ7" s="3">
        <f>AI7*1.02</f>
        <v>51521.929497793753</v>
      </c>
      <c r="AK7" s="3">
        <f>AJ7*1.02</f>
        <v>52552.36808774963</v>
      </c>
      <c r="AL7" s="3">
        <f>AK7*1.02</f>
        <v>53603.415449504624</v>
      </c>
      <c r="AM7" s="3">
        <f>AL7*1.02</f>
        <v>54675.483758494716</v>
      </c>
      <c r="AN7" s="3">
        <f>AM7*1.02</f>
        <v>55768.993433664611</v>
      </c>
      <c r="AO7" s="3">
        <f>AN7*1.02</f>
        <v>56884.373302337903</v>
      </c>
      <c r="AP7" s="3">
        <f>AO7*1.02</f>
        <v>58022.060768384661</v>
      </c>
      <c r="AQ7" s="3">
        <f>AP7*1.02</f>
        <v>59182.501983752358</v>
      </c>
      <c r="AR7" s="3">
        <f>AQ7*1.02</f>
        <v>60366.152023427407</v>
      </c>
    </row>
    <row r="8" spans="1:44" x14ac:dyDescent="0.25">
      <c r="AB8" s="5"/>
    </row>
    <row r="9" spans="1:44" s="3" customFormat="1" x14ac:dyDescent="0.25">
      <c r="A9" s="3" t="s">
        <v>13</v>
      </c>
      <c r="B9" s="3">
        <v>29067</v>
      </c>
      <c r="C9" s="3">
        <v>30744</v>
      </c>
      <c r="D9" s="3">
        <v>23426</v>
      </c>
      <c r="E9" s="3">
        <f>113590-D9-B9-C9</f>
        <v>30353</v>
      </c>
      <c r="F9" s="3">
        <v>32824</v>
      </c>
      <c r="G9" s="3">
        <v>32614</v>
      </c>
      <c r="H9" s="3">
        <v>38703</v>
      </c>
      <c r="I9" s="3">
        <f>143975-H9-F9-G9</f>
        <v>39834</v>
      </c>
      <c r="J9" s="3">
        <v>36646</v>
      </c>
      <c r="K9" s="3">
        <v>41254</v>
      </c>
      <c r="L9" s="3">
        <v>40498</v>
      </c>
      <c r="M9" s="3">
        <f>157658-L9-J9-K9</f>
        <v>39260</v>
      </c>
      <c r="N9" s="3">
        <v>39212</v>
      </c>
      <c r="O9" s="3">
        <v>44060</v>
      </c>
      <c r="P9" s="3">
        <v>44735</v>
      </c>
      <c r="Q9" s="3">
        <f>Q6*Q7/1000000</f>
        <v>42871.92</v>
      </c>
      <c r="R9" s="3">
        <f>R6*R7/1000000</f>
        <v>42003.894399999997</v>
      </c>
      <c r="S9" s="3">
        <f>S6*S7/1000000</f>
        <v>47197.072</v>
      </c>
      <c r="T9" s="3">
        <f>T6*T7/1000000</f>
        <v>47920.131999999998</v>
      </c>
      <c r="U9" s="3">
        <f>U6*U7/1000000</f>
        <v>45924.400704</v>
      </c>
      <c r="Y9" s="3">
        <f>SUM(B9:E9)</f>
        <v>113590</v>
      </c>
      <c r="Z9" s="3">
        <f>SUM(F9:J9)</f>
        <v>180621</v>
      </c>
      <c r="AA9" s="3">
        <f>SUM(J9:M9)</f>
        <v>157658</v>
      </c>
      <c r="AB9" s="9">
        <f>SUM(N9:Q9)</f>
        <v>170878.91999999998</v>
      </c>
      <c r="AC9" s="9">
        <f>SUM(R9:U9)</f>
        <v>183045.49910400002</v>
      </c>
      <c r="AD9" s="3">
        <f>AD6*AD7/1000000</f>
        <v>194174.66544952322</v>
      </c>
      <c r="AE9" s="3">
        <f>AE6*AE7/1000000</f>
        <v>205980.48510885428</v>
      </c>
      <c r="AF9" s="3">
        <f t="shared" ref="AF9:AR9" si="0">AF6*AF7/1000000</f>
        <v>218504.09860347264</v>
      </c>
      <c r="AG9" s="3">
        <f t="shared" si="0"/>
        <v>231789.14779856382</v>
      </c>
      <c r="AH9" s="3">
        <f t="shared" si="0"/>
        <v>245881.92798471652</v>
      </c>
      <c r="AI9" s="3">
        <f t="shared" si="0"/>
        <v>260831.54920618728</v>
      </c>
      <c r="AJ9" s="3">
        <f t="shared" si="0"/>
        <v>271369.14379411732</v>
      </c>
      <c r="AK9" s="3">
        <f t="shared" si="0"/>
        <v>276796.52666999964</v>
      </c>
      <c r="AL9" s="3">
        <f t="shared" si="0"/>
        <v>282332.45720339968</v>
      </c>
      <c r="AM9" s="3">
        <f t="shared" si="0"/>
        <v>287979.10634746763</v>
      </c>
      <c r="AN9" s="3">
        <f t="shared" si="0"/>
        <v>293738.68847441697</v>
      </c>
      <c r="AO9" s="3">
        <f t="shared" si="0"/>
        <v>299613.46224390535</v>
      </c>
      <c r="AP9" s="3">
        <f t="shared" si="0"/>
        <v>305605.73148878344</v>
      </c>
      <c r="AQ9" s="3">
        <f t="shared" si="0"/>
        <v>311717.84611855913</v>
      </c>
      <c r="AR9" s="3">
        <f t="shared" si="0"/>
        <v>317952.20304093033</v>
      </c>
    </row>
    <row r="10" spans="1:44" s="3" customFormat="1" x14ac:dyDescent="0.25">
      <c r="A10" s="3" t="s">
        <v>14</v>
      </c>
      <c r="B10" s="3">
        <v>3407</v>
      </c>
      <c r="C10" s="3">
        <v>3423</v>
      </c>
      <c r="D10" s="3">
        <v>3353</v>
      </c>
      <c r="E10" s="3">
        <f>13414-D10-C10-C10</f>
        <v>3215</v>
      </c>
      <c r="F10" s="3">
        <v>3155</v>
      </c>
      <c r="G10" s="3">
        <v>3145</v>
      </c>
      <c r="H10" s="3">
        <v>3185</v>
      </c>
      <c r="I10" s="3">
        <f>12760-H10-G10-G10</f>
        <v>3285</v>
      </c>
      <c r="J10" s="3">
        <v>3339</v>
      </c>
      <c r="K10" s="3">
        <v>3493</v>
      </c>
      <c r="L10" s="3">
        <v>3633</v>
      </c>
      <c r="M10" s="3">
        <f>14184-L10-K10-K10</f>
        <v>3565</v>
      </c>
      <c r="N10" s="3">
        <v>3802</v>
      </c>
      <c r="O10" s="3">
        <v>3908</v>
      </c>
      <c r="P10" s="3">
        <v>4021</v>
      </c>
      <c r="Q10" s="3">
        <f>M10*1.1</f>
        <v>3921.5000000000005</v>
      </c>
      <c r="R10" s="3">
        <f>N10*1.1</f>
        <v>4182.2000000000007</v>
      </c>
      <c r="S10" s="3">
        <f>O10*1.1</f>
        <v>4298.8</v>
      </c>
      <c r="T10" s="3">
        <f>P10*1.1</f>
        <v>4423.1000000000004</v>
      </c>
      <c r="U10" s="3">
        <f>Q10*1.1</f>
        <v>4313.6500000000005</v>
      </c>
      <c r="Y10" s="3">
        <f>SUM(B10:E10)</f>
        <v>13398</v>
      </c>
      <c r="Z10" s="3">
        <f>SUM(F10:J10)</f>
        <v>16109</v>
      </c>
      <c r="AA10" s="3">
        <f>SUM(J10:M10)</f>
        <v>14030</v>
      </c>
      <c r="AB10" s="9">
        <f>SUM(N10:Q10)</f>
        <v>15652.5</v>
      </c>
      <c r="AC10" s="9">
        <f>SUM(R10:U10)</f>
        <v>17217.75</v>
      </c>
      <c r="AD10" s="3">
        <f>AC10*1.1</f>
        <v>18939.525000000001</v>
      </c>
      <c r="AE10" s="3">
        <f>AD10*1.1</f>
        <v>20833.477500000005</v>
      </c>
      <c r="AF10" s="3">
        <f>AE10*1.1</f>
        <v>22916.825250000005</v>
      </c>
      <c r="AG10" s="3">
        <f>AF10*1.1</f>
        <v>25208.507775000009</v>
      </c>
      <c r="AH10" s="3">
        <f>AG10*1.1</f>
        <v>27729.358552500013</v>
      </c>
      <c r="AI10" s="3">
        <f>AH10*1.1</f>
        <v>30502.294407750018</v>
      </c>
      <c r="AJ10" s="3">
        <f>AI10*1.05</f>
        <v>32027.409128137519</v>
      </c>
      <c r="AK10" s="3">
        <f>AJ10*1.05</f>
        <v>33628.779584544398</v>
      </c>
      <c r="AL10" s="3">
        <f>AK10*1.05</f>
        <v>35310.218563771617</v>
      </c>
      <c r="AM10" s="3">
        <f>AL10*1.05</f>
        <v>37075.729491960199</v>
      </c>
      <c r="AN10" s="3">
        <f>AM10*1.05</f>
        <v>38929.51596655821</v>
      </c>
      <c r="AO10" s="3">
        <f>AN10*1.05</f>
        <v>40875.991764886123</v>
      </c>
      <c r="AP10" s="3">
        <f>AO10*1.05</f>
        <v>42919.791353130429</v>
      </c>
      <c r="AQ10" s="3">
        <f>AP10*1.05</f>
        <v>45065.78092078695</v>
      </c>
      <c r="AR10" s="3">
        <f>AQ10*1.05</f>
        <v>47319.069966826297</v>
      </c>
    </row>
    <row r="11" spans="1:44" s="4" customFormat="1" x14ac:dyDescent="0.25">
      <c r="A11" s="4" t="s">
        <v>11</v>
      </c>
      <c r="B11" s="8">
        <f>SUM(B9:B10)</f>
        <v>32474</v>
      </c>
      <c r="C11" s="8">
        <f>SUM(C9:C10)</f>
        <v>34167</v>
      </c>
      <c r="D11" s="8">
        <f>SUM(D9:D10)</f>
        <v>26779</v>
      </c>
      <c r="E11" s="8">
        <f>SUM(E9:E10)</f>
        <v>33568</v>
      </c>
      <c r="F11" s="8">
        <f>SUM(F9:F10)</f>
        <v>35979</v>
      </c>
      <c r="G11" s="8">
        <f>SUM(G9:G10)</f>
        <v>35759</v>
      </c>
      <c r="H11" s="8">
        <f>SUM(H9:H10)</f>
        <v>41888</v>
      </c>
      <c r="I11" s="8">
        <f>SUM(I9:I10)</f>
        <v>43119</v>
      </c>
      <c r="J11" s="8">
        <f>SUM(J9:J10)</f>
        <v>39985</v>
      </c>
      <c r="K11" s="8">
        <f>SUM(K9:K10)</f>
        <v>44747</v>
      </c>
      <c r="L11" s="8">
        <f>SUM(L9:L10)</f>
        <v>44131</v>
      </c>
      <c r="M11" s="8">
        <f>SUM(M9:M10)</f>
        <v>42825</v>
      </c>
      <c r="N11" s="8">
        <f>SUM(N9:N10)</f>
        <v>43014</v>
      </c>
      <c r="O11" s="8">
        <f>SUM(O9:O10)</f>
        <v>47968</v>
      </c>
      <c r="P11" s="8">
        <f>SUM(P9:P10)</f>
        <v>48756</v>
      </c>
      <c r="Q11" s="8">
        <f>SUM(Q9:Q10)</f>
        <v>46793.42</v>
      </c>
      <c r="R11" s="8">
        <f>SUM(R9:R10)</f>
        <v>46186.094400000002</v>
      </c>
      <c r="S11" s="8">
        <f>SUM(S9:S10)</f>
        <v>51495.872000000003</v>
      </c>
      <c r="T11" s="8">
        <f>SUM(T9:T10)</f>
        <v>52343.231999999996</v>
      </c>
      <c r="U11" s="8">
        <f>SUM(U9:U10)</f>
        <v>50238.050704000001</v>
      </c>
      <c r="Y11" s="8">
        <f>SUM(Y9:Y10)</f>
        <v>126988</v>
      </c>
      <c r="Z11" s="8">
        <f>SUM(Z9:Z10)</f>
        <v>196730</v>
      </c>
      <c r="AA11" s="8">
        <f>SUM(AA9:AA10)</f>
        <v>171688</v>
      </c>
      <c r="AB11" s="8">
        <f>SUM(AB9:AB10)</f>
        <v>186531.41999999998</v>
      </c>
      <c r="AC11" s="8">
        <f>SUM(AC9:AC10)</f>
        <v>200263.24910400002</v>
      </c>
      <c r="AD11" s="8">
        <f t="shared" ref="AD11:AR11" si="1">SUM(AD9:AD10)</f>
        <v>213114.19044952322</v>
      </c>
      <c r="AE11" s="8">
        <f t="shared" si="1"/>
        <v>226813.96260885429</v>
      </c>
      <c r="AF11" s="8">
        <f t="shared" si="1"/>
        <v>241420.92385347263</v>
      </c>
      <c r="AG11" s="8">
        <f t="shared" si="1"/>
        <v>256997.65557356382</v>
      </c>
      <c r="AH11" s="8">
        <f t="shared" si="1"/>
        <v>273611.28653721651</v>
      </c>
      <c r="AI11" s="8">
        <f t="shared" si="1"/>
        <v>291333.84361393732</v>
      </c>
      <c r="AJ11" s="8">
        <f t="shared" si="1"/>
        <v>303396.55292225484</v>
      </c>
      <c r="AK11" s="8">
        <f t="shared" si="1"/>
        <v>310425.30625454406</v>
      </c>
      <c r="AL11" s="8">
        <f t="shared" si="1"/>
        <v>317642.67576717131</v>
      </c>
      <c r="AM11" s="8">
        <f t="shared" si="1"/>
        <v>325054.83583942783</v>
      </c>
      <c r="AN11" s="8">
        <f t="shared" si="1"/>
        <v>332668.20444097515</v>
      </c>
      <c r="AO11" s="8">
        <f t="shared" si="1"/>
        <v>340489.45400879148</v>
      </c>
      <c r="AP11" s="8">
        <f t="shared" si="1"/>
        <v>348525.52284191386</v>
      </c>
      <c r="AQ11" s="8">
        <f t="shared" si="1"/>
        <v>356783.62703934609</v>
      </c>
      <c r="AR11" s="8">
        <f t="shared" si="1"/>
        <v>365271.27300775662</v>
      </c>
    </row>
    <row r="12" spans="1:44" s="9" customFormat="1" x14ac:dyDescent="0.25">
      <c r="A12" s="9" t="s">
        <v>16</v>
      </c>
      <c r="B12" s="9">
        <v>25115</v>
      </c>
      <c r="C12" s="9">
        <v>27266</v>
      </c>
      <c r="D12" s="9">
        <v>20672</v>
      </c>
      <c r="E12" s="9">
        <f>100544-D12-C12-B12</f>
        <v>27491</v>
      </c>
      <c r="F12" s="9">
        <v>29353</v>
      </c>
      <c r="G12" s="9">
        <v>29261</v>
      </c>
      <c r="H12" s="9">
        <v>33700</v>
      </c>
      <c r="I12" s="9">
        <f>126892-H12-G12-F12</f>
        <v>34578</v>
      </c>
      <c r="J12" s="9">
        <v>32247</v>
      </c>
      <c r="K12" s="9">
        <v>36632</v>
      </c>
      <c r="L12" s="9">
        <v>35842</v>
      </c>
      <c r="M12" s="9">
        <f>141330-L12-K12-J12</f>
        <v>36609</v>
      </c>
      <c r="N12" s="9">
        <v>33996</v>
      </c>
      <c r="O12" s="9">
        <v>38615</v>
      </c>
      <c r="P12" s="9">
        <v>39007</v>
      </c>
      <c r="Q12" s="9">
        <f>M12*1.05</f>
        <v>38439.450000000004</v>
      </c>
      <c r="R12" s="9">
        <f>N12*1.07</f>
        <v>36375.72</v>
      </c>
      <c r="S12" s="9">
        <f>O12*1.07</f>
        <v>41318.050000000003</v>
      </c>
      <c r="T12" s="9">
        <f>P12*1.07</f>
        <v>41737.490000000005</v>
      </c>
      <c r="U12" s="9">
        <f>Q12*1.07</f>
        <v>41130.211500000005</v>
      </c>
      <c r="Y12" s="3">
        <f>SUM(B12:E12)</f>
        <v>100544</v>
      </c>
      <c r="Z12" s="3">
        <f>SUM(F12:J12)</f>
        <v>159139</v>
      </c>
      <c r="AA12" s="3">
        <f>SUM(J12:M12)</f>
        <v>141330</v>
      </c>
      <c r="AB12" s="9">
        <f>SUM(N12:Q12)</f>
        <v>150057.45000000001</v>
      </c>
      <c r="AC12" s="9">
        <f>SUM(R12:U12)</f>
        <v>160561.47150000001</v>
      </c>
      <c r="AD12" s="9">
        <f>AC12*1.06</f>
        <v>170195.15979000003</v>
      </c>
      <c r="AE12" s="9">
        <f>AD12*1.06</f>
        <v>180406.86937740006</v>
      </c>
      <c r="AF12" s="9">
        <f>AE12*1.06</f>
        <v>191231.28154004406</v>
      </c>
      <c r="AG12" s="9">
        <f>AF12*1.06</f>
        <v>202705.15843244671</v>
      </c>
      <c r="AH12" s="9">
        <f>AG12*1.06</f>
        <v>214867.46793839353</v>
      </c>
      <c r="AI12" s="9">
        <f>AH12*1.06</f>
        <v>227759.51601469715</v>
      </c>
      <c r="AJ12" s="9">
        <f>AJ9*0.865</f>
        <v>234734.30938191147</v>
      </c>
      <c r="AK12" s="9">
        <f>AK9*0.865</f>
        <v>239428.99556954968</v>
      </c>
      <c r="AL12" s="9">
        <f>AL9*0.865</f>
        <v>244217.57548094072</v>
      </c>
      <c r="AM12" s="9">
        <f>AM9*0.865</f>
        <v>249101.9269905595</v>
      </c>
      <c r="AN12" s="9">
        <f>AN9*0.865</f>
        <v>254083.96553037068</v>
      </c>
      <c r="AO12" s="9">
        <f>AO9*0.865</f>
        <v>259165.64484097812</v>
      </c>
      <c r="AP12" s="9">
        <f>AP9*0.865</f>
        <v>264348.9577377977</v>
      </c>
      <c r="AQ12" s="9">
        <f>AQ9*0.865</f>
        <v>269635.93689255364</v>
      </c>
      <c r="AR12" s="9">
        <f>AR9*0.865</f>
        <v>275028.65563040471</v>
      </c>
    </row>
    <row r="13" spans="1:44" s="5" customFormat="1" x14ac:dyDescent="0.25">
      <c r="A13" s="5" t="s">
        <v>17</v>
      </c>
      <c r="B13" s="9">
        <f>B9-B12</f>
        <v>3952</v>
      </c>
      <c r="C13" s="9">
        <f>C9-C12</f>
        <v>3478</v>
      </c>
      <c r="D13" s="9">
        <f>D9-D12</f>
        <v>2754</v>
      </c>
      <c r="E13" s="9">
        <f>E9-E12</f>
        <v>2862</v>
      </c>
      <c r="F13" s="9">
        <f>F9-F12</f>
        <v>3471</v>
      </c>
      <c r="G13" s="9">
        <f>G9-G12</f>
        <v>3353</v>
      </c>
      <c r="H13" s="9">
        <f>H9-H12</f>
        <v>5003</v>
      </c>
      <c r="I13" s="9">
        <f>I9-I12</f>
        <v>5256</v>
      </c>
      <c r="J13" s="9">
        <f>J9-J12</f>
        <v>4399</v>
      </c>
      <c r="K13" s="9">
        <f>K9-K12</f>
        <v>4622</v>
      </c>
      <c r="L13" s="9">
        <f>L9-L12</f>
        <v>4656</v>
      </c>
      <c r="M13" s="9">
        <f>M9-M12</f>
        <v>2651</v>
      </c>
      <c r="N13" s="9">
        <f>N9-N12</f>
        <v>5216</v>
      </c>
      <c r="O13" s="9">
        <f>O9-O12</f>
        <v>5445</v>
      </c>
      <c r="P13" s="9">
        <f>P9-P12</f>
        <v>5728</v>
      </c>
      <c r="Q13" s="9">
        <f>Q9-Q12</f>
        <v>4432.4699999999939</v>
      </c>
      <c r="R13" s="9">
        <f>R9-R12</f>
        <v>5628.1743999999962</v>
      </c>
      <c r="S13" s="9">
        <f>S9-S12</f>
        <v>5879.0219999999972</v>
      </c>
      <c r="T13" s="9">
        <f>T9-T12</f>
        <v>6182.6419999999925</v>
      </c>
      <c r="U13" s="9">
        <f>U9-U12</f>
        <v>4794.1892039999948</v>
      </c>
      <c r="Y13" s="9">
        <f>Y9-Y12</f>
        <v>13046</v>
      </c>
      <c r="Z13" s="9">
        <f>Z9-Z12</f>
        <v>21482</v>
      </c>
      <c r="AA13" s="9">
        <f>AA9-AA12</f>
        <v>16328</v>
      </c>
      <c r="AB13" s="9">
        <f>AB9-AB12</f>
        <v>20821.469999999972</v>
      </c>
      <c r="AC13" s="9">
        <f>AC9-AC12</f>
        <v>22484.027604000003</v>
      </c>
      <c r="AD13" s="9">
        <f>AD9-AD12</f>
        <v>23979.505659523187</v>
      </c>
      <c r="AE13" s="9">
        <f>AE9-AE12</f>
        <v>25573.615731454222</v>
      </c>
      <c r="AF13" s="9">
        <f>AF9-AF12</f>
        <v>27272.817063428578</v>
      </c>
      <c r="AG13" s="9">
        <f>AG9-AG12</f>
        <v>29083.989366117108</v>
      </c>
      <c r="AH13" s="9">
        <f>AH9-AH12</f>
        <v>31014.460046322987</v>
      </c>
      <c r="AI13" s="9">
        <f>AI9-AI12</f>
        <v>33072.033191490133</v>
      </c>
      <c r="AJ13" s="9">
        <f>AJ9-AJ12</f>
        <v>36634.834412205848</v>
      </c>
      <c r="AK13" s="9">
        <f>AK9-AK12</f>
        <v>37367.531100449967</v>
      </c>
      <c r="AL13" s="9">
        <f>AL9-AL12</f>
        <v>38114.881722458958</v>
      </c>
      <c r="AM13" s="9">
        <f>AM9-AM12</f>
        <v>38877.179356908135</v>
      </c>
      <c r="AN13" s="9">
        <f>AN9-AN12</f>
        <v>39654.722944046283</v>
      </c>
      <c r="AO13" s="9">
        <f>AO9-AO12</f>
        <v>40447.817402927234</v>
      </c>
      <c r="AP13" s="9">
        <f>AP9-AP12</f>
        <v>41256.77375098574</v>
      </c>
      <c r="AQ13" s="9">
        <f>AQ9-AQ12</f>
        <v>42081.909226005489</v>
      </c>
      <c r="AR13" s="9">
        <f>AR9-AR12</f>
        <v>42923.547410525614</v>
      </c>
    </row>
    <row r="14" spans="1:44" s="9" customFormat="1" x14ac:dyDescent="0.25">
      <c r="A14" s="9" t="s">
        <v>18</v>
      </c>
      <c r="B14" s="9">
        <v>2279</v>
      </c>
      <c r="C14" s="9">
        <v>1894</v>
      </c>
      <c r="D14" s="9">
        <v>2314</v>
      </c>
      <c r="E14" s="9">
        <f>8582-D14-C14-B14</f>
        <v>2095</v>
      </c>
      <c r="F14" s="9">
        <v>1926</v>
      </c>
      <c r="G14" s="9">
        <v>2089</v>
      </c>
      <c r="H14" s="9">
        <v>2320</v>
      </c>
      <c r="I14" s="9">
        <f>8862-H14-G14-F14</f>
        <v>2527</v>
      </c>
      <c r="J14" s="9">
        <v>2612</v>
      </c>
      <c r="K14" s="9">
        <v>2768</v>
      </c>
      <c r="L14" s="9">
        <v>2933</v>
      </c>
      <c r="M14" s="9">
        <f>11374-L14-K14-J14</f>
        <v>3061</v>
      </c>
      <c r="N14" s="9">
        <v>3106</v>
      </c>
      <c r="O14" s="9">
        <v>3109</v>
      </c>
      <c r="P14" s="9">
        <v>3353</v>
      </c>
      <c r="Q14" s="9">
        <f>P14*1.06</f>
        <v>3554.1800000000003</v>
      </c>
      <c r="R14" s="9">
        <f>Q14*1.07</f>
        <v>3802.9726000000005</v>
      </c>
      <c r="S14" s="9">
        <f>R14*1.08</f>
        <v>4107.2104080000008</v>
      </c>
      <c r="T14" s="9">
        <f>S14*1.08</f>
        <v>4435.7872406400011</v>
      </c>
      <c r="U14" s="9">
        <f>T14*1.08</f>
        <v>4790.6502198912012</v>
      </c>
      <c r="Y14" s="3">
        <f>SUM(B14:E14)</f>
        <v>8582</v>
      </c>
      <c r="Z14" s="3">
        <f>SUM(F14:J14)</f>
        <v>11474</v>
      </c>
      <c r="AA14" s="3">
        <f>SUM(J14:M14)</f>
        <v>11374</v>
      </c>
      <c r="AB14" s="9">
        <f>SUM(N14:Q14)</f>
        <v>13122.18</v>
      </c>
      <c r="AC14" s="9">
        <f>SUM(R14:U14)</f>
        <v>17136.620468531204</v>
      </c>
      <c r="AD14" s="9">
        <f>AC14*1.06</f>
        <v>18164.817696643076</v>
      </c>
      <c r="AE14" s="9">
        <f>AD14*1.06</f>
        <v>19254.706758441662</v>
      </c>
      <c r="AF14" s="9">
        <f t="shared" ref="AF14:AR14" si="2">AE14*1.06</f>
        <v>20409.989163948161</v>
      </c>
      <c r="AG14" s="9">
        <f t="shared" si="2"/>
        <v>21634.588513785053</v>
      </c>
      <c r="AH14" s="9">
        <f t="shared" si="2"/>
        <v>22932.663824612158</v>
      </c>
      <c r="AI14" s="9">
        <f t="shared" si="2"/>
        <v>24308.623654088889</v>
      </c>
      <c r="AJ14" s="9">
        <f t="shared" si="2"/>
        <v>25767.141073334224</v>
      </c>
      <c r="AK14" s="9">
        <f t="shared" si="2"/>
        <v>27313.169537734277</v>
      </c>
      <c r="AL14" s="9">
        <f t="shared" si="2"/>
        <v>28951.959709998333</v>
      </c>
      <c r="AM14" s="9">
        <f t="shared" si="2"/>
        <v>30689.077292598235</v>
      </c>
      <c r="AN14" s="9">
        <f t="shared" si="2"/>
        <v>32530.421930154131</v>
      </c>
      <c r="AO14" s="9">
        <f t="shared" si="2"/>
        <v>34482.247245963379</v>
      </c>
      <c r="AP14" s="9">
        <f t="shared" si="2"/>
        <v>36551.182080721184</v>
      </c>
      <c r="AQ14" s="9">
        <f t="shared" si="2"/>
        <v>38744.25300556446</v>
      </c>
      <c r="AR14" s="9">
        <f t="shared" si="2"/>
        <v>41068.908185898326</v>
      </c>
    </row>
    <row r="15" spans="1:44" x14ac:dyDescent="0.25">
      <c r="A15" s="5" t="s">
        <v>12</v>
      </c>
      <c r="B15" s="3">
        <v>1803</v>
      </c>
      <c r="C15" s="3">
        <v>2125</v>
      </c>
      <c r="D15" s="3">
        <v>2148</v>
      </c>
      <c r="E15" s="3">
        <f>8554-D15-C15-B15</f>
        <v>2478</v>
      </c>
      <c r="F15" s="3">
        <v>2504</v>
      </c>
      <c r="G15" s="3">
        <v>2293</v>
      </c>
      <c r="H15" s="3">
        <v>2477</v>
      </c>
      <c r="I15" s="3">
        <f>10667-H15-G15-F15</f>
        <v>3393</v>
      </c>
      <c r="J15" s="3">
        <v>2547</v>
      </c>
      <c r="K15" s="3">
        <v>2558</v>
      </c>
      <c r="L15" s="3">
        <v>2344</v>
      </c>
      <c r="M15" s="3">
        <f>9840-L15-K15-J15</f>
        <v>2391</v>
      </c>
      <c r="N15" s="3">
        <v>2175</v>
      </c>
      <c r="O15" s="3">
        <v>2372</v>
      </c>
      <c r="P15" s="3">
        <v>2745</v>
      </c>
      <c r="Q15" s="3">
        <f>M15*1.05</f>
        <v>2510.5500000000002</v>
      </c>
      <c r="R15" s="3">
        <f>N15*1.07</f>
        <v>2327.25</v>
      </c>
      <c r="S15" s="3">
        <f>O15*1.07</f>
        <v>2538.04</v>
      </c>
      <c r="T15" s="3">
        <f>P15*1.07</f>
        <v>2937.15</v>
      </c>
      <c r="U15" s="3">
        <f>Q15*1.07</f>
        <v>2686.2885000000006</v>
      </c>
      <c r="Y15" s="3">
        <f>SUM(B15:E15)</f>
        <v>8554</v>
      </c>
      <c r="Z15" s="3">
        <f>SUM(F15:J15)</f>
        <v>13214</v>
      </c>
      <c r="AA15" s="3">
        <f>SUM(J15:M15)</f>
        <v>9840</v>
      </c>
      <c r="AB15" s="9">
        <f>SUM(N15:Q15)</f>
        <v>9802.5499999999993</v>
      </c>
      <c r="AC15" s="9">
        <f>SUM(R15:U15)</f>
        <v>10488.728500000001</v>
      </c>
      <c r="AD15" s="9">
        <f t="shared" ref="AD15:AR15" si="3">AC15*1.06</f>
        <v>11118.052210000002</v>
      </c>
      <c r="AE15" s="9">
        <f t="shared" si="3"/>
        <v>11785.135342600002</v>
      </c>
      <c r="AF15" s="9">
        <f t="shared" si="3"/>
        <v>12492.243463156003</v>
      </c>
      <c r="AG15" s="9">
        <f t="shared" si="3"/>
        <v>13241.778070945364</v>
      </c>
      <c r="AH15" s="9">
        <f t="shared" si="3"/>
        <v>14036.284755202087</v>
      </c>
      <c r="AI15" s="9">
        <f t="shared" si="3"/>
        <v>14878.461840514212</v>
      </c>
      <c r="AJ15" s="9">
        <f t="shared" si="3"/>
        <v>15771.169550945066</v>
      </c>
      <c r="AK15" s="9">
        <f t="shared" si="3"/>
        <v>16717.439724001772</v>
      </c>
      <c r="AL15" s="9">
        <f t="shared" si="3"/>
        <v>17720.48610744188</v>
      </c>
      <c r="AM15" s="9">
        <f t="shared" si="3"/>
        <v>18783.715273888392</v>
      </c>
      <c r="AN15" s="9">
        <f t="shared" si="3"/>
        <v>19910.738190321696</v>
      </c>
      <c r="AO15" s="9">
        <f t="shared" si="3"/>
        <v>21105.382481740999</v>
      </c>
      <c r="AP15" s="9">
        <f t="shared" si="3"/>
        <v>22371.705430645459</v>
      </c>
      <c r="AQ15" s="9">
        <f t="shared" si="3"/>
        <v>23714.007756484189</v>
      </c>
      <c r="AR15" s="9">
        <f t="shared" si="3"/>
        <v>25136.848221873242</v>
      </c>
    </row>
    <row r="16" spans="1:44" x14ac:dyDescent="0.25">
      <c r="A16" s="5" t="s">
        <v>19</v>
      </c>
      <c r="B16" s="3">
        <f>B11-B12-B14-B15</f>
        <v>3277</v>
      </c>
      <c r="C16" s="3">
        <f>C11-C12-C14-C15</f>
        <v>2882</v>
      </c>
      <c r="D16" s="3">
        <f>D11-D12-D14-D15</f>
        <v>1645</v>
      </c>
      <c r="E16" s="3">
        <f>E11-E12-E14-E15</f>
        <v>1504</v>
      </c>
      <c r="F16" s="3">
        <f>F11-F12-F14-F15</f>
        <v>2196</v>
      </c>
      <c r="G16" s="3">
        <f>G11-G12-G14-G15</f>
        <v>2116</v>
      </c>
      <c r="H16" s="3">
        <f>H11-H12-H14-H15</f>
        <v>3391</v>
      </c>
      <c r="I16" s="3">
        <f>I11-I12-I14-I15</f>
        <v>2621</v>
      </c>
      <c r="J16" s="3">
        <f>J11-J12-J14-J15</f>
        <v>2579</v>
      </c>
      <c r="K16" s="3">
        <f>K11-K12-K14-K15</f>
        <v>2789</v>
      </c>
      <c r="L16" s="3">
        <f>L11-L12-L14-L15</f>
        <v>3012</v>
      </c>
      <c r="M16" s="3">
        <f>M11-M12-M14-M15</f>
        <v>764</v>
      </c>
      <c r="N16" s="3">
        <f>N11-N12-N14-N15</f>
        <v>3737</v>
      </c>
      <c r="O16" s="3">
        <f>O11-O12-O14-O15</f>
        <v>3872</v>
      </c>
      <c r="P16" s="3">
        <f>P11-P12-P14-P15</f>
        <v>3651</v>
      </c>
      <c r="Q16" s="3">
        <f>Q11-Q12-Q14-Q15</f>
        <v>2289.2399999999934</v>
      </c>
      <c r="R16" s="3">
        <f>R11-R12-R14-R15</f>
        <v>3680.1517999999996</v>
      </c>
      <c r="S16" s="3">
        <f>S11-S12-S14-S15</f>
        <v>3532.5715919999993</v>
      </c>
      <c r="T16" s="3">
        <f>T11-T12-T14-T15</f>
        <v>3232.8047593599899</v>
      </c>
      <c r="U16" s="3">
        <f>U11-U12-U14-U15</f>
        <v>1630.9004841087944</v>
      </c>
      <c r="Y16" s="3">
        <f>Y11-Y12-Y14-Y15</f>
        <v>9308</v>
      </c>
      <c r="Z16" s="3">
        <f>Z11-Z12-Z14-Z15</f>
        <v>12903</v>
      </c>
      <c r="AA16" s="3">
        <f>AA11-AA12-AA14-AA15</f>
        <v>9144</v>
      </c>
      <c r="AB16" s="3">
        <f>AB11-AB12-AB14-AB15</f>
        <v>13549.239999999972</v>
      </c>
      <c r="AC16" s="3">
        <f>AC11-AC12-AC14-AC15</f>
        <v>12076.428635468797</v>
      </c>
      <c r="AD16" s="3">
        <f t="shared" ref="AD16:AR16" si="4">AD11-AD12-AD14-AD15</f>
        <v>13636.160752880103</v>
      </c>
      <c r="AE16" s="3">
        <f t="shared" si="4"/>
        <v>15367.251130412566</v>
      </c>
      <c r="AF16" s="3">
        <f t="shared" si="4"/>
        <v>17287.409686324409</v>
      </c>
      <c r="AG16" s="3">
        <f t="shared" si="4"/>
        <v>19416.130556386699</v>
      </c>
      <c r="AH16" s="3">
        <f t="shared" si="4"/>
        <v>21774.870019008737</v>
      </c>
      <c r="AI16" s="3">
        <f t="shared" si="4"/>
        <v>24387.242104637073</v>
      </c>
      <c r="AJ16" s="3">
        <f t="shared" si="4"/>
        <v>27123.932916064077</v>
      </c>
      <c r="AK16" s="3">
        <f t="shared" si="4"/>
        <v>26965.701423258339</v>
      </c>
      <c r="AL16" s="3">
        <f t="shared" si="4"/>
        <v>26752.654468790373</v>
      </c>
      <c r="AM16" s="3">
        <f t="shared" si="4"/>
        <v>26480.11628238171</v>
      </c>
      <c r="AN16" s="3">
        <f t="shared" si="4"/>
        <v>26143.078790128646</v>
      </c>
      <c r="AO16" s="3">
        <f t="shared" si="4"/>
        <v>25736.179440108986</v>
      </c>
      <c r="AP16" s="3">
        <f t="shared" si="4"/>
        <v>25253.677592749518</v>
      </c>
      <c r="AQ16" s="3">
        <f t="shared" si="4"/>
        <v>24689.429384743798</v>
      </c>
      <c r="AR16" s="3">
        <f t="shared" si="4"/>
        <v>24036.860969580342</v>
      </c>
    </row>
    <row r="17" spans="1:245" s="3" customFormat="1" x14ac:dyDescent="0.25">
      <c r="A17" s="9" t="s">
        <v>20</v>
      </c>
      <c r="B17" s="9">
        <f>-250+799+365</f>
        <v>914</v>
      </c>
      <c r="C17" s="9">
        <f>-243+784+327</f>
        <v>868</v>
      </c>
      <c r="D17" s="9">
        <f>-230+800+323</f>
        <v>893</v>
      </c>
      <c r="E17" s="9">
        <f>-950+3041+1301-D17-C17-B17</f>
        <v>717</v>
      </c>
      <c r="F17" s="9">
        <f>-226+517+292</f>
        <v>583</v>
      </c>
      <c r="G17" s="9">
        <f>-234+295-45</f>
        <v>16</v>
      </c>
      <c r="H17" s="9">
        <f>-259+598+367</f>
        <v>706</v>
      </c>
      <c r="I17" s="9">
        <f>-987+1432+837-H17-G17-F17</f>
        <v>-23</v>
      </c>
      <c r="J17" s="9">
        <f>-234+409+21</f>
        <v>196</v>
      </c>
      <c r="K17" s="9">
        <f>-226+358+108</f>
        <v>240</v>
      </c>
      <c r="L17" s="9">
        <f>-229+453+227</f>
        <v>451</v>
      </c>
      <c r="M17" s="9">
        <f>-911+1537+480-L17-K17-J17</f>
        <v>219</v>
      </c>
      <c r="N17" s="9">
        <f>-219+302-105</f>
        <v>-22</v>
      </c>
      <c r="O17" s="9">
        <f>-206-24</f>
        <v>-230</v>
      </c>
      <c r="P17" s="9">
        <f>-206+394-122</f>
        <v>66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Y17" s="3">
        <f>SUM(B17:E17)</f>
        <v>3392</v>
      </c>
      <c r="Z17" s="3">
        <f>SUM(F17:J17)</f>
        <v>1478</v>
      </c>
      <c r="AA17" s="3">
        <f>SUM(J17:M17)</f>
        <v>1106</v>
      </c>
      <c r="AB17" s="9">
        <f>SUM(N17:Q17)</f>
        <v>-186</v>
      </c>
      <c r="AC17" s="9">
        <f>SUM(R17:U17)</f>
        <v>0</v>
      </c>
      <c r="AD17" s="3">
        <f>AC33*$AV$32</f>
        <v>420.02907194729727</v>
      </c>
      <c r="AE17" s="3">
        <f>AD33*$AV$32</f>
        <v>535.28982851088199</v>
      </c>
      <c r="AF17" s="3">
        <f>AE33*$AV$32</f>
        <v>665.69066437405422</v>
      </c>
      <c r="AG17" s="3">
        <f>AF33*$AV$32</f>
        <v>812.90608724978154</v>
      </c>
      <c r="AH17" s="3">
        <f>AG33*$AV$32</f>
        <v>978.78418772760085</v>
      </c>
      <c r="AI17" s="3">
        <f>AH33*$AV$32</f>
        <v>1165.3641522228388</v>
      </c>
      <c r="AJ17" s="3">
        <f>AI33*$AV$32</f>
        <v>1374.89552352909</v>
      </c>
      <c r="AK17" s="3">
        <f>AJ33*$AV$32</f>
        <v>1608.5859167337539</v>
      </c>
      <c r="AL17" s="3">
        <f>AK33*$AV$32</f>
        <v>1842.8950729216892</v>
      </c>
      <c r="AM17" s="3">
        <f>AL33*$AV$32</f>
        <v>2077.3785791637279</v>
      </c>
      <c r="AN17" s="3">
        <f>AM33*$AV$32</f>
        <v>2311.5500370284008</v>
      </c>
      <c r="AO17" s="3">
        <f>AN33*$AV$32</f>
        <v>2544.8779934110885</v>
      </c>
      <c r="AP17" s="3">
        <f>AO33*$AV$32</f>
        <v>2776.7826643659532</v>
      </c>
      <c r="AQ17" s="3">
        <f>AP33*$AV$32</f>
        <v>3006.6324384742998</v>
      </c>
      <c r="AR17" s="3">
        <f>AQ33*$AV$32</f>
        <v>3233.7401454246883</v>
      </c>
    </row>
    <row r="18" spans="1:245" x14ac:dyDescent="0.25">
      <c r="A18" s="5" t="s">
        <v>21</v>
      </c>
      <c r="B18" s="3">
        <f>B16+B17</f>
        <v>4191</v>
      </c>
      <c r="C18" s="3">
        <f>C16+C17</f>
        <v>3750</v>
      </c>
      <c r="D18" s="3">
        <f>D16+D17</f>
        <v>2538</v>
      </c>
      <c r="E18" s="3">
        <f>E16+E17</f>
        <v>2221</v>
      </c>
      <c r="F18" s="3">
        <f>F16+F17</f>
        <v>2779</v>
      </c>
      <c r="G18" s="3">
        <f>G16+G17</f>
        <v>2132</v>
      </c>
      <c r="H18" s="3">
        <f>H16+H17</f>
        <v>4097</v>
      </c>
      <c r="I18" s="3">
        <f>I16+I17</f>
        <v>2598</v>
      </c>
      <c r="J18" s="3">
        <f>J16+J17</f>
        <v>2775</v>
      </c>
      <c r="K18" s="3">
        <f>K16+K17</f>
        <v>3029</v>
      </c>
      <c r="L18" s="3">
        <f>L16+L17</f>
        <v>3463</v>
      </c>
      <c r="M18" s="3">
        <f>M16+M17</f>
        <v>983</v>
      </c>
      <c r="N18" s="3">
        <f>N16+N17</f>
        <v>3715</v>
      </c>
      <c r="O18" s="3">
        <f>O16+O17</f>
        <v>3642</v>
      </c>
      <c r="P18" s="3">
        <f>P16+P17</f>
        <v>3717</v>
      </c>
      <c r="Q18" s="3">
        <f>Q16+Q17</f>
        <v>2289.2399999999934</v>
      </c>
      <c r="R18" s="3">
        <f>R16+R17</f>
        <v>3680.1517999999996</v>
      </c>
      <c r="S18" s="3">
        <f>S16+S17</f>
        <v>3532.5715919999993</v>
      </c>
      <c r="T18" s="3">
        <f>T16+T17</f>
        <v>3232.8047593599899</v>
      </c>
      <c r="U18" s="3">
        <f>U16+U17</f>
        <v>1630.9004841087944</v>
      </c>
      <c r="Y18" s="3">
        <f>Y16+Y17</f>
        <v>12700</v>
      </c>
      <c r="Z18" s="3">
        <f>Z16+Z17</f>
        <v>14381</v>
      </c>
      <c r="AA18" s="3">
        <f>AA16+AA17</f>
        <v>10250</v>
      </c>
      <c r="AB18" s="3">
        <f>AB16+AB17</f>
        <v>13363.239999999972</v>
      </c>
      <c r="AC18" s="3">
        <f>AC16+AC17</f>
        <v>12076.428635468797</v>
      </c>
      <c r="AD18" s="3">
        <f>AD16+AD17</f>
        <v>14056.189824827401</v>
      </c>
      <c r="AE18" s="3">
        <f>AE16+AE17</f>
        <v>15902.540958923448</v>
      </c>
      <c r="AF18" s="3">
        <f>AF16+AF17</f>
        <v>17953.100350698463</v>
      </c>
      <c r="AG18" s="3">
        <f t="shared" ref="AG18:AR18" si="5">AG16+AG17</f>
        <v>20229.036643636482</v>
      </c>
      <c r="AH18" s="3">
        <f t="shared" si="5"/>
        <v>22753.654206736337</v>
      </c>
      <c r="AI18" s="3">
        <f t="shared" si="5"/>
        <v>25552.606256859912</v>
      </c>
      <c r="AJ18" s="3">
        <f t="shared" si="5"/>
        <v>28498.828439593166</v>
      </c>
      <c r="AK18" s="3">
        <f t="shared" si="5"/>
        <v>28574.287339992094</v>
      </c>
      <c r="AL18" s="3">
        <f t="shared" si="5"/>
        <v>28595.549541712062</v>
      </c>
      <c r="AM18" s="3">
        <f t="shared" si="5"/>
        <v>28557.494861545438</v>
      </c>
      <c r="AN18" s="3">
        <f t="shared" si="5"/>
        <v>28454.628827157045</v>
      </c>
      <c r="AO18" s="3">
        <f t="shared" si="5"/>
        <v>28281.057433520076</v>
      </c>
      <c r="AP18" s="3">
        <f t="shared" si="5"/>
        <v>28030.460257115472</v>
      </c>
      <c r="AQ18" s="3">
        <f t="shared" si="5"/>
        <v>27696.061823218097</v>
      </c>
      <c r="AR18" s="3">
        <f>AR16+AR17</f>
        <v>27270.601115005033</v>
      </c>
    </row>
    <row r="19" spans="1:245" s="9" customFormat="1" x14ac:dyDescent="0.25">
      <c r="A19" s="9" t="s">
        <v>22</v>
      </c>
      <c r="B19" s="9">
        <v>1177</v>
      </c>
      <c r="C19" s="9">
        <v>971</v>
      </c>
      <c r="D19" s="9">
        <v>152</v>
      </c>
      <c r="E19" s="9">
        <f>2771-D19-C19-B19</f>
        <v>471</v>
      </c>
      <c r="F19" s="9">
        <v>-28</v>
      </c>
      <c r="G19" s="9">
        <v>490</v>
      </c>
      <c r="H19" s="9">
        <v>845</v>
      </c>
      <c r="I19" s="9">
        <f>1888-H19-G19-F19</f>
        <v>581</v>
      </c>
      <c r="J19" s="9">
        <v>428</v>
      </c>
      <c r="K19" s="9">
        <v>522</v>
      </c>
      <c r="L19" s="9">
        <v>470</v>
      </c>
      <c r="M19" s="9">
        <f>563-L19-K19-J19</f>
        <v>-857</v>
      </c>
      <c r="N19" s="9">
        <v>762</v>
      </c>
      <c r="O19" s="9">
        <v>767</v>
      </c>
      <c r="P19" s="9">
        <v>709</v>
      </c>
      <c r="Q19" s="9">
        <f>Q18*0.19</f>
        <v>434.95559999999875</v>
      </c>
      <c r="R19" s="9">
        <f>R18*0.19</f>
        <v>699.22884199999999</v>
      </c>
      <c r="S19" s="9">
        <f>S18*0.19</f>
        <v>671.18860247999987</v>
      </c>
      <c r="T19" s="9">
        <f>T18*0.19</f>
        <v>614.23290427839811</v>
      </c>
      <c r="U19" s="9">
        <f>U18*0.19</f>
        <v>309.87109198067094</v>
      </c>
      <c r="Y19" s="9">
        <f>SUM(B19:E19)</f>
        <v>2771</v>
      </c>
      <c r="Z19" s="9">
        <f>SUM(F19:J19)</f>
        <v>2316</v>
      </c>
      <c r="AA19" s="9">
        <f>SUM(J19:M19)</f>
        <v>563</v>
      </c>
      <c r="AB19" s="9">
        <f>SUM(N19:Q19)</f>
        <v>2672.9555999999989</v>
      </c>
      <c r="AC19" s="9">
        <f>SUM(R19:U19)</f>
        <v>2294.521440739069</v>
      </c>
      <c r="AD19" s="9">
        <f>AD18*0.18</f>
        <v>2530.1141684689319</v>
      </c>
      <c r="AE19" s="9">
        <f>AE18*0.18</f>
        <v>2862.4573726062204</v>
      </c>
      <c r="AF19" s="9">
        <f>AF18*0.18</f>
        <v>3231.5580631257235</v>
      </c>
      <c r="AG19" s="9">
        <f>AG18*0.18</f>
        <v>3641.2265958545668</v>
      </c>
      <c r="AH19" s="9">
        <f>AH18*0.18</f>
        <v>4095.6577572125407</v>
      </c>
      <c r="AI19" s="9">
        <f>AI18*0.18</f>
        <v>4599.4691262347842</v>
      </c>
      <c r="AJ19" s="9">
        <f>AJ18*0.18</f>
        <v>5129.7891191267699</v>
      </c>
      <c r="AK19" s="9">
        <f t="shared" ref="AK19:AR19" si="6">AK18*0.18</f>
        <v>5143.3717211985768</v>
      </c>
      <c r="AL19" s="9">
        <f t="shared" si="6"/>
        <v>5147.1989175081708</v>
      </c>
      <c r="AM19" s="9">
        <f t="shared" si="6"/>
        <v>5140.3490750781784</v>
      </c>
      <c r="AN19" s="9">
        <f t="shared" si="6"/>
        <v>5121.8331888882676</v>
      </c>
      <c r="AO19" s="9">
        <f t="shared" si="6"/>
        <v>5090.590338033614</v>
      </c>
      <c r="AP19" s="9">
        <f t="shared" si="6"/>
        <v>5045.4828462807845</v>
      </c>
      <c r="AQ19" s="9">
        <f t="shared" si="6"/>
        <v>4985.2911281792576</v>
      </c>
      <c r="AR19" s="9">
        <f t="shared" si="6"/>
        <v>4908.7082007009058</v>
      </c>
    </row>
    <row r="20" spans="1:245" s="3" customFormat="1" x14ac:dyDescent="0.25">
      <c r="A20" s="5" t="s">
        <v>23</v>
      </c>
      <c r="B20" s="3">
        <f>B18-B19</f>
        <v>3014</v>
      </c>
      <c r="C20" s="3">
        <f>C18-C19</f>
        <v>2779</v>
      </c>
      <c r="D20" s="3">
        <f>D18-D19</f>
        <v>2386</v>
      </c>
      <c r="E20" s="3">
        <f>E18-E19</f>
        <v>1750</v>
      </c>
      <c r="F20" s="3">
        <f>F18-F19</f>
        <v>2807</v>
      </c>
      <c r="G20" s="3">
        <f>G18-G19</f>
        <v>1642</v>
      </c>
      <c r="H20" s="3">
        <f>H18-H19</f>
        <v>3252</v>
      </c>
      <c r="I20" s="3">
        <f>I18-I19</f>
        <v>2017</v>
      </c>
      <c r="J20" s="3">
        <f>J18-J19</f>
        <v>2347</v>
      </c>
      <c r="K20" s="3">
        <f>K18-K19</f>
        <v>2507</v>
      </c>
      <c r="L20" s="3">
        <f>L18-L19</f>
        <v>2993</v>
      </c>
      <c r="M20" s="3">
        <f>M18-M19</f>
        <v>1840</v>
      </c>
      <c r="N20" s="3">
        <f>N18-N19</f>
        <v>2953</v>
      </c>
      <c r="O20" s="3">
        <f>O18-O19</f>
        <v>2875</v>
      </c>
      <c r="P20" s="3">
        <f>P18-P19</f>
        <v>3008</v>
      </c>
      <c r="Q20" s="3">
        <f>Q18-Q19</f>
        <v>1854.2843999999945</v>
      </c>
      <c r="R20" s="3">
        <f>R18-R19</f>
        <v>2980.9229579999997</v>
      </c>
      <c r="S20" s="3">
        <f>S18-S19</f>
        <v>2861.3829895199997</v>
      </c>
      <c r="T20" s="3">
        <f>T18-T19</f>
        <v>2618.5718550815918</v>
      </c>
      <c r="U20" s="3">
        <f>U18-U19</f>
        <v>1321.0293921281236</v>
      </c>
      <c r="V20"/>
      <c r="W20"/>
      <c r="X20"/>
      <c r="Y20" s="3">
        <f>Y18-Y19</f>
        <v>9929</v>
      </c>
      <c r="Z20" s="3">
        <f>Z18-Z19</f>
        <v>12065</v>
      </c>
      <c r="AA20" s="3">
        <f>AA18-AA19</f>
        <v>9687</v>
      </c>
      <c r="AB20" s="3">
        <f>AB18-AB19</f>
        <v>10690.284399999973</v>
      </c>
      <c r="AC20" s="3">
        <f>AC18-AC19</f>
        <v>9781.9071947297289</v>
      </c>
      <c r="AD20" s="3">
        <f t="shared" ref="AD20:AR20" si="7">AD18-AD19</f>
        <v>11526.075656358469</v>
      </c>
      <c r="AE20" s="3">
        <f t="shared" si="7"/>
        <v>13040.083586317227</v>
      </c>
      <c r="AF20" s="3">
        <f t="shared" si="7"/>
        <v>14721.54228757274</v>
      </c>
      <c r="AG20" s="3">
        <f t="shared" si="7"/>
        <v>16587.810047781917</v>
      </c>
      <c r="AH20" s="3">
        <f t="shared" si="7"/>
        <v>18657.996449523795</v>
      </c>
      <c r="AI20" s="3">
        <f t="shared" si="7"/>
        <v>20953.137130625128</v>
      </c>
      <c r="AJ20" s="3">
        <f t="shared" si="7"/>
        <v>23369.039320466396</v>
      </c>
      <c r="AK20" s="3">
        <f t="shared" si="7"/>
        <v>23430.915618793515</v>
      </c>
      <c r="AL20" s="3">
        <f t="shared" si="7"/>
        <v>23448.350624203893</v>
      </c>
      <c r="AM20" s="3">
        <f t="shared" si="7"/>
        <v>23417.145786467259</v>
      </c>
      <c r="AN20" s="3">
        <f t="shared" si="7"/>
        <v>23332.795638268777</v>
      </c>
      <c r="AO20" s="3">
        <f t="shared" si="7"/>
        <v>23190.467095486463</v>
      </c>
      <c r="AP20" s="3">
        <f t="shared" si="7"/>
        <v>22984.977410834686</v>
      </c>
      <c r="AQ20" s="3">
        <f t="shared" si="7"/>
        <v>22710.770695038838</v>
      </c>
      <c r="AR20" s="3">
        <f>AR18-AR19</f>
        <v>22361.892914304128</v>
      </c>
      <c r="AS20" s="3">
        <f>AR20*(1+$AV$31)</f>
        <v>22138.273985161086</v>
      </c>
      <c r="AT20" s="3">
        <f t="shared" ref="AT20:DE20" si="8">AS20*(1+$AV$31)</f>
        <v>21916.891245309474</v>
      </c>
      <c r="AU20" s="3">
        <f t="shared" si="8"/>
        <v>21697.722332856378</v>
      </c>
      <c r="AV20" s="3">
        <f t="shared" si="8"/>
        <v>21480.745109527812</v>
      </c>
      <c r="AW20" s="3">
        <f t="shared" si="8"/>
        <v>21265.937658432533</v>
      </c>
      <c r="AX20" s="3">
        <f t="shared" si="8"/>
        <v>21053.278281848208</v>
      </c>
      <c r="AY20" s="3">
        <f t="shared" si="8"/>
        <v>20842.745499029726</v>
      </c>
      <c r="AZ20" s="3">
        <f t="shared" si="8"/>
        <v>20634.318044039428</v>
      </c>
      <c r="BA20" s="3">
        <f t="shared" si="8"/>
        <v>20427.974863599033</v>
      </c>
      <c r="BB20" s="3">
        <f t="shared" si="8"/>
        <v>20223.69511496304</v>
      </c>
      <c r="BC20" s="3">
        <f t="shared" si="8"/>
        <v>20021.458163813411</v>
      </c>
      <c r="BD20" s="3">
        <f t="shared" si="8"/>
        <v>19821.243582175277</v>
      </c>
      <c r="BE20" s="3">
        <f t="shared" si="8"/>
        <v>19623.031146353525</v>
      </c>
      <c r="BF20" s="3">
        <f t="shared" si="8"/>
        <v>19426.800834889989</v>
      </c>
      <c r="BG20" s="3">
        <f t="shared" si="8"/>
        <v>19232.53282654109</v>
      </c>
      <c r="BH20" s="3">
        <f t="shared" si="8"/>
        <v>19040.207498275679</v>
      </c>
      <c r="BI20" s="3">
        <f t="shared" si="8"/>
        <v>18849.805423292921</v>
      </c>
      <c r="BJ20" s="3">
        <f t="shared" si="8"/>
        <v>18661.307369059992</v>
      </c>
      <c r="BK20" s="3">
        <f t="shared" si="8"/>
        <v>18474.694295369391</v>
      </c>
      <c r="BL20" s="3">
        <f t="shared" si="8"/>
        <v>18289.947352415697</v>
      </c>
      <c r="BM20" s="3">
        <f t="shared" si="8"/>
        <v>18107.047878891539</v>
      </c>
      <c r="BN20" s="3">
        <f t="shared" si="8"/>
        <v>17925.977400102624</v>
      </c>
      <c r="BO20" s="3">
        <f t="shared" si="8"/>
        <v>17746.717626101596</v>
      </c>
      <c r="BP20" s="3">
        <f t="shared" si="8"/>
        <v>17569.25044984058</v>
      </c>
      <c r="BQ20" s="3">
        <f t="shared" si="8"/>
        <v>17393.557945342174</v>
      </c>
      <c r="BR20" s="3">
        <f t="shared" si="8"/>
        <v>17219.622365888754</v>
      </c>
      <c r="BS20" s="3">
        <f t="shared" si="8"/>
        <v>17047.426142229866</v>
      </c>
      <c r="BT20" s="3">
        <f t="shared" si="8"/>
        <v>16876.951880807566</v>
      </c>
      <c r="BU20" s="3">
        <f t="shared" si="8"/>
        <v>16708.18236199949</v>
      </c>
      <c r="BV20" s="3">
        <f t="shared" si="8"/>
        <v>16541.100538379495</v>
      </c>
      <c r="BW20" s="3">
        <f t="shared" si="8"/>
        <v>16375.689532995699</v>
      </c>
      <c r="BX20" s="3">
        <f t="shared" si="8"/>
        <v>16211.932637665741</v>
      </c>
      <c r="BY20" s="3">
        <f t="shared" si="8"/>
        <v>16049.813311289083</v>
      </c>
      <c r="BZ20" s="3">
        <f t="shared" si="8"/>
        <v>15889.315178176192</v>
      </c>
      <c r="CA20" s="3">
        <f t="shared" si="8"/>
        <v>15730.42202639443</v>
      </c>
      <c r="CB20" s="3">
        <f t="shared" si="8"/>
        <v>15573.117806130485</v>
      </c>
      <c r="CC20" s="3">
        <f t="shared" si="8"/>
        <v>15417.38662806918</v>
      </c>
      <c r="CD20" s="3">
        <f t="shared" si="8"/>
        <v>15263.212761788489</v>
      </c>
      <c r="CE20" s="3">
        <f t="shared" si="8"/>
        <v>15110.580634170605</v>
      </c>
      <c r="CF20" s="3">
        <f t="shared" si="8"/>
        <v>14959.474827828899</v>
      </c>
      <c r="CG20" s="3">
        <f t="shared" si="8"/>
        <v>14809.88007955061</v>
      </c>
      <c r="CH20" s="3">
        <f t="shared" si="8"/>
        <v>14661.781278755105</v>
      </c>
      <c r="CI20" s="3">
        <f t="shared" si="8"/>
        <v>14515.163465967553</v>
      </c>
      <c r="CJ20" s="3">
        <f t="shared" si="8"/>
        <v>14370.011831307876</v>
      </c>
      <c r="CK20" s="3">
        <f t="shared" si="8"/>
        <v>14226.311712994797</v>
      </c>
      <c r="CL20" s="3">
        <f t="shared" si="8"/>
        <v>14084.04859586485</v>
      </c>
      <c r="CM20" s="3">
        <f t="shared" si="8"/>
        <v>13943.208109906202</v>
      </c>
      <c r="CN20" s="3">
        <f t="shared" si="8"/>
        <v>13803.776028807139</v>
      </c>
      <c r="CO20" s="3">
        <f t="shared" si="8"/>
        <v>13665.738268519068</v>
      </c>
      <c r="CP20" s="3">
        <f t="shared" si="8"/>
        <v>13529.080885833877</v>
      </c>
      <c r="CQ20" s="3">
        <f t="shared" si="8"/>
        <v>13393.790076975538</v>
      </c>
      <c r="CR20" s="3">
        <f t="shared" si="8"/>
        <v>13259.852176205783</v>
      </c>
      <c r="CS20" s="3">
        <f t="shared" si="8"/>
        <v>13127.253654443724</v>
      </c>
      <c r="CT20" s="3">
        <f t="shared" si="8"/>
        <v>12995.981117899288</v>
      </c>
      <c r="CU20" s="3">
        <f t="shared" si="8"/>
        <v>12866.021306720295</v>
      </c>
      <c r="CV20" s="3">
        <f t="shared" si="8"/>
        <v>12737.361093653091</v>
      </c>
      <c r="CW20" s="3">
        <f t="shared" si="8"/>
        <v>12609.98748271656</v>
      </c>
      <c r="CX20" s="3">
        <f t="shared" si="8"/>
        <v>12483.887607889395</v>
      </c>
      <c r="CY20" s="3">
        <f t="shared" si="8"/>
        <v>12359.048731810501</v>
      </c>
      <c r="CZ20" s="3">
        <f t="shared" si="8"/>
        <v>12235.458244492396</v>
      </c>
      <c r="DA20" s="3">
        <f t="shared" si="8"/>
        <v>12113.103662047472</v>
      </c>
      <c r="DB20" s="3">
        <f t="shared" si="8"/>
        <v>11991.972625426997</v>
      </c>
      <c r="DC20" s="3">
        <f t="shared" si="8"/>
        <v>11872.052899172728</v>
      </c>
      <c r="DD20" s="3">
        <f t="shared" si="8"/>
        <v>11753.332370181</v>
      </c>
      <c r="DE20" s="3">
        <f t="shared" si="8"/>
        <v>11635.799046479191</v>
      </c>
      <c r="DF20" s="3">
        <f t="shared" ref="DF20:FQ20" si="9">DE20*(1+$AV$31)</f>
        <v>11519.441056014399</v>
      </c>
      <c r="DG20" s="3">
        <f t="shared" si="9"/>
        <v>11404.246645454255</v>
      </c>
      <c r="DH20" s="3">
        <f t="shared" si="9"/>
        <v>11290.204178999713</v>
      </c>
      <c r="DI20" s="3">
        <f t="shared" si="9"/>
        <v>11177.302137209716</v>
      </c>
      <c r="DJ20" s="3">
        <f t="shared" si="9"/>
        <v>11065.529115837619</v>
      </c>
      <c r="DK20" s="3">
        <f t="shared" si="9"/>
        <v>10954.873824679242</v>
      </c>
      <c r="DL20" s="3">
        <f t="shared" si="9"/>
        <v>10845.325086432449</v>
      </c>
      <c r="DM20" s="3">
        <f t="shared" si="9"/>
        <v>10736.871835568125</v>
      </c>
      <c r="DN20" s="3">
        <f t="shared" si="9"/>
        <v>10629.503117212444</v>
      </c>
      <c r="DO20" s="3">
        <f t="shared" si="9"/>
        <v>10523.208086040318</v>
      </c>
      <c r="DP20" s="3">
        <f t="shared" si="9"/>
        <v>10417.976005179915</v>
      </c>
      <c r="DQ20" s="3">
        <f t="shared" si="9"/>
        <v>10313.796245128116</v>
      </c>
      <c r="DR20" s="3">
        <f t="shared" si="9"/>
        <v>10210.658282676835</v>
      </c>
      <c r="DS20" s="3">
        <f t="shared" si="9"/>
        <v>10108.551699850066</v>
      </c>
      <c r="DT20" s="3">
        <f t="shared" si="9"/>
        <v>10007.466182851565</v>
      </c>
      <c r="DU20" s="3">
        <f t="shared" si="9"/>
        <v>9907.3915210230498</v>
      </c>
      <c r="DV20" s="3">
        <f t="shared" si="9"/>
        <v>9808.3176058128192</v>
      </c>
      <c r="DW20" s="3">
        <f t="shared" si="9"/>
        <v>9710.2344297546915</v>
      </c>
      <c r="DX20" s="3">
        <f t="shared" si="9"/>
        <v>9613.1320854571441</v>
      </c>
      <c r="DY20" s="3">
        <f t="shared" si="9"/>
        <v>9517.0007646025733</v>
      </c>
      <c r="DZ20" s="3">
        <f t="shared" si="9"/>
        <v>9421.8307569565477</v>
      </c>
      <c r="EA20" s="3">
        <f t="shared" si="9"/>
        <v>9327.6124493869829</v>
      </c>
      <c r="EB20" s="3">
        <f t="shared" si="9"/>
        <v>9234.3363248931128</v>
      </c>
      <c r="EC20" s="3">
        <f t="shared" si="9"/>
        <v>9141.9929616441823</v>
      </c>
      <c r="ED20" s="3">
        <f t="shared" si="9"/>
        <v>9050.5730320277398</v>
      </c>
      <c r="EE20" s="3">
        <f t="shared" si="9"/>
        <v>8960.0673017074623</v>
      </c>
      <c r="EF20" s="3">
        <f t="shared" si="9"/>
        <v>8870.4666286903885</v>
      </c>
      <c r="EG20" s="3">
        <f t="shared" si="9"/>
        <v>8781.7619624034851</v>
      </c>
      <c r="EH20" s="3">
        <f t="shared" si="9"/>
        <v>8693.9443427794504</v>
      </c>
      <c r="EI20" s="3">
        <f t="shared" si="9"/>
        <v>8607.0048993516557</v>
      </c>
      <c r="EJ20" s="3">
        <f t="shared" si="9"/>
        <v>8520.9348503581386</v>
      </c>
      <c r="EK20" s="3">
        <f t="shared" si="9"/>
        <v>8435.7255018545566</v>
      </c>
      <c r="EL20" s="3">
        <f t="shared" si="9"/>
        <v>8351.3682468360112</v>
      </c>
      <c r="EM20" s="3">
        <f t="shared" si="9"/>
        <v>8267.8545643676516</v>
      </c>
      <c r="EN20" s="3">
        <f t="shared" si="9"/>
        <v>8185.1760187239752</v>
      </c>
      <c r="EO20" s="3">
        <f t="shared" si="9"/>
        <v>8103.3242585367352</v>
      </c>
      <c r="EP20" s="3">
        <f t="shared" si="9"/>
        <v>8022.2910159513676</v>
      </c>
      <c r="EQ20" s="3">
        <f t="shared" si="9"/>
        <v>7942.0681057918537</v>
      </c>
      <c r="ER20" s="3">
        <f t="shared" si="9"/>
        <v>7862.6474247339347</v>
      </c>
      <c r="ES20" s="3">
        <f t="shared" si="9"/>
        <v>7784.0209504865952</v>
      </c>
      <c r="ET20" s="3">
        <f t="shared" si="9"/>
        <v>7706.1807409817293</v>
      </c>
      <c r="EU20" s="3">
        <f t="shared" si="9"/>
        <v>7629.1189335719118</v>
      </c>
      <c r="EV20" s="3">
        <f t="shared" si="9"/>
        <v>7552.8277442361923</v>
      </c>
      <c r="EW20" s="3">
        <f t="shared" si="9"/>
        <v>7477.2994667938301</v>
      </c>
      <c r="EX20" s="3">
        <f t="shared" si="9"/>
        <v>7402.5264721258918</v>
      </c>
      <c r="EY20" s="3">
        <f t="shared" si="9"/>
        <v>7328.5012074046326</v>
      </c>
      <c r="EZ20" s="3">
        <f t="shared" si="9"/>
        <v>7255.2161953305858</v>
      </c>
      <c r="FA20" s="3">
        <f t="shared" si="9"/>
        <v>7182.6640333772802</v>
      </c>
      <c r="FB20" s="3">
        <f t="shared" si="9"/>
        <v>7110.8373930435073</v>
      </c>
      <c r="FC20" s="3">
        <f t="shared" si="9"/>
        <v>7039.7290191130724</v>
      </c>
      <c r="FD20" s="3">
        <f t="shared" si="9"/>
        <v>6969.3317289219412</v>
      </c>
      <c r="FE20" s="3">
        <f t="shared" si="9"/>
        <v>6899.6384116327217</v>
      </c>
      <c r="FF20" s="3">
        <f t="shared" si="9"/>
        <v>6830.6420275163946</v>
      </c>
      <c r="FG20" s="3">
        <f t="shared" si="9"/>
        <v>6762.3356072412307</v>
      </c>
      <c r="FH20" s="3">
        <f t="shared" si="9"/>
        <v>6694.7122511688185</v>
      </c>
      <c r="FI20" s="3">
        <f t="shared" si="9"/>
        <v>6627.7651286571299</v>
      </c>
      <c r="FJ20" s="3">
        <f t="shared" si="9"/>
        <v>6561.4874773705587</v>
      </c>
      <c r="FK20" s="3">
        <f t="shared" si="9"/>
        <v>6495.8726025968535</v>
      </c>
      <c r="FL20" s="3">
        <f t="shared" si="9"/>
        <v>6430.9138765708849</v>
      </c>
      <c r="FM20" s="3">
        <f t="shared" si="9"/>
        <v>6366.6047378051762</v>
      </c>
      <c r="FN20" s="3">
        <f t="shared" si="9"/>
        <v>6302.9386904271241</v>
      </c>
      <c r="FO20" s="3">
        <f t="shared" si="9"/>
        <v>6239.9093035228525</v>
      </c>
      <c r="FP20" s="3">
        <f t="shared" si="9"/>
        <v>6177.5102104876241</v>
      </c>
      <c r="FQ20" s="3">
        <f t="shared" si="9"/>
        <v>6115.735108382748</v>
      </c>
      <c r="FR20" s="3">
        <f t="shared" ref="FR20:IC20" si="10">FQ20*(1+$AV$31)</f>
        <v>6054.57775729892</v>
      </c>
      <c r="FS20" s="3">
        <f t="shared" si="10"/>
        <v>5994.0319797259308</v>
      </c>
      <c r="FT20" s="3">
        <f t="shared" si="10"/>
        <v>5934.0916599286711</v>
      </c>
      <c r="FU20" s="3">
        <f t="shared" si="10"/>
        <v>5874.750743329384</v>
      </c>
      <c r="FV20" s="3">
        <f t="shared" si="10"/>
        <v>5816.0032358960898</v>
      </c>
      <c r="FW20" s="3">
        <f t="shared" si="10"/>
        <v>5757.8432035371288</v>
      </c>
      <c r="FX20" s="3">
        <f t="shared" si="10"/>
        <v>5700.2647715017574</v>
      </c>
      <c r="FY20" s="3">
        <f t="shared" si="10"/>
        <v>5643.2621237867397</v>
      </c>
      <c r="FZ20" s="3">
        <f t="shared" si="10"/>
        <v>5586.8295025488724</v>
      </c>
      <c r="GA20" s="3">
        <f t="shared" si="10"/>
        <v>5530.9612075233836</v>
      </c>
      <c r="GB20" s="3">
        <f t="shared" si="10"/>
        <v>5475.6515954481492</v>
      </c>
      <c r="GC20" s="3">
        <f t="shared" si="10"/>
        <v>5420.8950794936673</v>
      </c>
      <c r="GD20" s="3">
        <f t="shared" si="10"/>
        <v>5366.6861286987305</v>
      </c>
      <c r="GE20" s="3">
        <f t="shared" si="10"/>
        <v>5313.0192674117434</v>
      </c>
      <c r="GF20" s="3">
        <f t="shared" si="10"/>
        <v>5259.8890747376263</v>
      </c>
      <c r="GG20" s="3">
        <f t="shared" si="10"/>
        <v>5207.2901839902497</v>
      </c>
      <c r="GH20" s="3">
        <f t="shared" si="10"/>
        <v>5155.2172821503473</v>
      </c>
      <c r="GI20" s="3">
        <f t="shared" si="10"/>
        <v>5103.6651093288438</v>
      </c>
      <c r="GJ20" s="3">
        <f t="shared" si="10"/>
        <v>5052.6284582355556</v>
      </c>
      <c r="GK20" s="3">
        <f t="shared" si="10"/>
        <v>5002.1021736532002</v>
      </c>
      <c r="GL20" s="3">
        <f t="shared" si="10"/>
        <v>4952.0811519166682</v>
      </c>
      <c r="GM20" s="3">
        <f t="shared" si="10"/>
        <v>4902.5603403975019</v>
      </c>
      <c r="GN20" s="3">
        <f t="shared" si="10"/>
        <v>4853.5347369935271</v>
      </c>
      <c r="GO20" s="3">
        <f t="shared" si="10"/>
        <v>4804.9993896235919</v>
      </c>
      <c r="GP20" s="3">
        <f t="shared" si="10"/>
        <v>4756.9493957273562</v>
      </c>
      <c r="GQ20" s="3">
        <f t="shared" si="10"/>
        <v>4709.3799017700831</v>
      </c>
      <c r="GR20" s="3">
        <f t="shared" si="10"/>
        <v>4662.2861027523822</v>
      </c>
      <c r="GS20" s="3">
        <f t="shared" si="10"/>
        <v>4615.6632417248584</v>
      </c>
      <c r="GT20" s="3">
        <f t="shared" si="10"/>
        <v>4569.5066093076093</v>
      </c>
      <c r="GU20" s="3">
        <f t="shared" si="10"/>
        <v>4523.8115432145332</v>
      </c>
      <c r="GV20" s="3">
        <f t="shared" si="10"/>
        <v>4478.5734277823876</v>
      </c>
      <c r="GW20" s="3">
        <f t="shared" si="10"/>
        <v>4433.7876935045633</v>
      </c>
      <c r="GX20" s="3">
        <f t="shared" si="10"/>
        <v>4389.4498165695177</v>
      </c>
      <c r="GY20" s="3">
        <f t="shared" si="10"/>
        <v>4345.5553184038226</v>
      </c>
      <c r="GZ20" s="3">
        <f t="shared" si="10"/>
        <v>4302.0997652197848</v>
      </c>
      <c r="HA20" s="3">
        <f t="shared" si="10"/>
        <v>4259.0787675675865</v>
      </c>
      <c r="HB20" s="3">
        <f t="shared" si="10"/>
        <v>4216.487979891911</v>
      </c>
      <c r="HC20" s="3">
        <f t="shared" si="10"/>
        <v>4174.3231000929918</v>
      </c>
      <c r="HD20" s="3">
        <f t="shared" si="10"/>
        <v>4132.5798690920619</v>
      </c>
      <c r="HE20" s="3">
        <f t="shared" si="10"/>
        <v>4091.2540704011412</v>
      </c>
      <c r="HF20" s="3">
        <f t="shared" si="10"/>
        <v>4050.3415296971298</v>
      </c>
      <c r="HG20" s="3">
        <f t="shared" si="10"/>
        <v>4009.8381144001582</v>
      </c>
      <c r="HH20" s="3">
        <f t="shared" si="10"/>
        <v>3969.7397332561568</v>
      </c>
      <c r="HI20" s="3">
        <f t="shared" si="10"/>
        <v>3930.0423359235951</v>
      </c>
      <c r="HJ20" s="3">
        <f t="shared" si="10"/>
        <v>3890.7419125643592</v>
      </c>
      <c r="HK20" s="3">
        <f t="shared" si="10"/>
        <v>3851.8344934387155</v>
      </c>
      <c r="HL20" s="3">
        <f t="shared" si="10"/>
        <v>3813.3161485043283</v>
      </c>
      <c r="HM20" s="3">
        <f t="shared" si="10"/>
        <v>3775.1829870192851</v>
      </c>
      <c r="HN20" s="3">
        <f t="shared" si="10"/>
        <v>3737.4311571490921</v>
      </c>
      <c r="HO20" s="3">
        <f t="shared" si="10"/>
        <v>3700.0568455776011</v>
      </c>
      <c r="HP20" s="3">
        <f t="shared" si="10"/>
        <v>3663.0562771218251</v>
      </c>
      <c r="HQ20" s="3">
        <f t="shared" si="10"/>
        <v>3626.425714350607</v>
      </c>
      <c r="HR20" s="3">
        <f t="shared" si="10"/>
        <v>3590.1614572071007</v>
      </c>
      <c r="HS20" s="3">
        <f t="shared" si="10"/>
        <v>3554.2598426350296</v>
      </c>
      <c r="HT20" s="3">
        <f t="shared" si="10"/>
        <v>3518.7172442086794</v>
      </c>
      <c r="HU20" s="3">
        <f t="shared" si="10"/>
        <v>3483.5300717665928</v>
      </c>
      <c r="HV20" s="3">
        <f t="shared" si="10"/>
        <v>3448.6947710489267</v>
      </c>
      <c r="HW20" s="3">
        <f t="shared" si="10"/>
        <v>3414.2078233384373</v>
      </c>
      <c r="HX20" s="3">
        <f t="shared" si="10"/>
        <v>3380.0657451050529</v>
      </c>
      <c r="HY20" s="3">
        <f t="shared" si="10"/>
        <v>3346.2650876540024</v>
      </c>
      <c r="HZ20" s="3">
        <f t="shared" si="10"/>
        <v>3312.8024367774624</v>
      </c>
      <c r="IA20" s="3">
        <f t="shared" si="10"/>
        <v>3279.6744124096876</v>
      </c>
      <c r="IB20" s="3">
        <f t="shared" si="10"/>
        <v>3246.8776682855905</v>
      </c>
      <c r="IC20" s="3">
        <f t="shared" si="10"/>
        <v>3214.4088916027345</v>
      </c>
      <c r="ID20" s="3">
        <f t="shared" ref="ID20:IK20" si="11">IC20*(1+$AV$31)</f>
        <v>3182.2648026867073</v>
      </c>
      <c r="IE20" s="3">
        <f t="shared" si="11"/>
        <v>3150.4421546598401</v>
      </c>
      <c r="IF20" s="3">
        <f t="shared" si="11"/>
        <v>3118.9377331132418</v>
      </c>
      <c r="IG20" s="3">
        <f t="shared" si="11"/>
        <v>3087.7483557821092</v>
      </c>
      <c r="IH20" s="3">
        <f t="shared" si="11"/>
        <v>3056.8708722242882</v>
      </c>
      <c r="II20" s="3">
        <f t="shared" si="11"/>
        <v>3026.3021635020455</v>
      </c>
      <c r="IJ20" s="3">
        <f t="shared" si="11"/>
        <v>2996.0391418670251</v>
      </c>
      <c r="IK20" s="3">
        <f t="shared" si="11"/>
        <v>2966.0787504483546</v>
      </c>
    </row>
    <row r="21" spans="1:245" x14ac:dyDescent="0.25">
      <c r="A21" s="5" t="s">
        <v>24</v>
      </c>
      <c r="B21" s="6">
        <f>B20/B22</f>
        <v>2.0587431693989071</v>
      </c>
      <c r="C21" s="6">
        <f>C20/C22</f>
        <v>1.8930517711171662</v>
      </c>
      <c r="D21" s="6">
        <f>D20/D22</f>
        <v>1.6264485344239945</v>
      </c>
      <c r="E21" s="6">
        <f>E20/E22</f>
        <v>1.1920980926430518</v>
      </c>
      <c r="F21" s="6">
        <f>F20/F22</f>
        <v>1.9095238095238096</v>
      </c>
      <c r="G21" s="6">
        <f>G20/G22</f>
        <v>1.1208191126279863</v>
      </c>
      <c r="H21" s="6">
        <f>H20/H22</f>
        <v>2.2319835277968427</v>
      </c>
      <c r="I21" s="6">
        <f>I20/I22</f>
        <v>1.3872077028885832</v>
      </c>
      <c r="J21" s="6">
        <f>J20/J22</f>
        <v>1.6740370898716119</v>
      </c>
      <c r="K21" s="6">
        <f>K20/K22</f>
        <v>1.8048956083513319</v>
      </c>
      <c r="L21" s="6">
        <f>L20/L22</f>
        <v>2.1719883889695208</v>
      </c>
      <c r="M21" s="6">
        <f>M20/M22</f>
        <v>1.3440467494521549</v>
      </c>
      <c r="N21" s="6">
        <f>N20/N22</f>
        <v>2.5413080895008604</v>
      </c>
      <c r="O21" s="6">
        <f>O20/O22</f>
        <v>2.5065387968613777</v>
      </c>
      <c r="P21" s="6">
        <f>P20/P22</f>
        <v>2.6595932802829356</v>
      </c>
      <c r="Q21" s="6">
        <f>Q20/Q22</f>
        <v>1.6395087533156449</v>
      </c>
      <c r="R21" s="6">
        <f>R20/R22</f>
        <v>2.6356524827586205</v>
      </c>
      <c r="S21" s="6">
        <f>S20/S22</f>
        <v>2.5299584345888593</v>
      </c>
      <c r="T21" s="6">
        <f>T20/T22</f>
        <v>2.3152713130694886</v>
      </c>
      <c r="U21" s="6">
        <f>U20/U22</f>
        <v>1.1680189143484736</v>
      </c>
      <c r="Y21" s="6">
        <f>Y20/Y22</f>
        <v>6.7636239782016352</v>
      </c>
      <c r="Z21" s="6">
        <f>Z20/Z22</f>
        <v>8.2977991746905087</v>
      </c>
      <c r="AA21" s="6">
        <f>AA20/AA22</f>
        <v>7.0759678597516436</v>
      </c>
      <c r="AB21" s="6">
        <f>AB20/AB22</f>
        <v>9.4520640141467496</v>
      </c>
      <c r="AC21" s="6">
        <f>AC20/AC22</f>
        <v>8.6489011447654551</v>
      </c>
      <c r="AD21" s="6">
        <f t="shared" ref="AD21:AR21" si="12">AD20/AD22</f>
        <v>10.191048325692723</v>
      </c>
      <c r="AE21" s="6">
        <f t="shared" si="12"/>
        <v>11.529693710271642</v>
      </c>
      <c r="AF21" s="6">
        <f t="shared" si="12"/>
        <v>13.016394595555031</v>
      </c>
      <c r="AG21" s="6">
        <f t="shared" si="12"/>
        <v>14.666498715987549</v>
      </c>
      <c r="AH21" s="6">
        <f t="shared" si="12"/>
        <v>16.496902254220863</v>
      </c>
      <c r="AI21" s="6">
        <f t="shared" si="12"/>
        <v>18.526204359527082</v>
      </c>
      <c r="AJ21" s="6">
        <f t="shared" si="12"/>
        <v>20.662280566283286</v>
      </c>
      <c r="AK21" s="6">
        <f t="shared" si="12"/>
        <v>20.716989937041127</v>
      </c>
      <c r="AL21" s="6">
        <f t="shared" si="12"/>
        <v>20.732405503274883</v>
      </c>
      <c r="AM21" s="6">
        <f t="shared" si="12"/>
        <v>20.704815018980778</v>
      </c>
      <c r="AN21" s="6">
        <f t="shared" si="12"/>
        <v>20.630234870264172</v>
      </c>
      <c r="AO21" s="6">
        <f t="shared" si="12"/>
        <v>20.504391773197579</v>
      </c>
      <c r="AP21" s="6">
        <f t="shared" si="12"/>
        <v>20.322703281020942</v>
      </c>
      <c r="AQ21" s="6">
        <f t="shared" si="12"/>
        <v>20.080257024791191</v>
      </c>
      <c r="AR21" s="6">
        <f t="shared" si="12"/>
        <v>19.771788606811786</v>
      </c>
    </row>
    <row r="22" spans="1:245" s="9" customFormat="1" x14ac:dyDescent="0.25">
      <c r="A22" s="5" t="s">
        <v>1</v>
      </c>
      <c r="B22" s="3">
        <v>1464</v>
      </c>
      <c r="C22" s="3">
        <v>1468</v>
      </c>
      <c r="D22" s="3">
        <v>1467</v>
      </c>
      <c r="E22" s="3">
        <v>1468</v>
      </c>
      <c r="F22" s="3">
        <v>1470</v>
      </c>
      <c r="G22" s="3">
        <v>1465</v>
      </c>
      <c r="H22" s="3">
        <v>1457</v>
      </c>
      <c r="I22" s="3">
        <v>1454</v>
      </c>
      <c r="J22" s="3">
        <v>1402</v>
      </c>
      <c r="K22" s="3">
        <v>1389</v>
      </c>
      <c r="L22" s="3">
        <v>1378</v>
      </c>
      <c r="M22" s="3">
        <v>1369</v>
      </c>
      <c r="N22" s="3">
        <v>1162</v>
      </c>
      <c r="O22" s="3">
        <v>1147</v>
      </c>
      <c r="P22" s="3">
        <v>1131</v>
      </c>
      <c r="Q22" s="3">
        <v>1131</v>
      </c>
      <c r="R22" s="3">
        <v>1131</v>
      </c>
      <c r="S22" s="3">
        <v>1131</v>
      </c>
      <c r="T22" s="3">
        <v>1131</v>
      </c>
      <c r="U22" s="3">
        <v>1131</v>
      </c>
      <c r="V22"/>
      <c r="W22"/>
      <c r="X22"/>
      <c r="Y22" s="3">
        <v>1468</v>
      </c>
      <c r="Z22" s="3">
        <v>1454</v>
      </c>
      <c r="AA22" s="3">
        <v>1369</v>
      </c>
      <c r="AB22" s="9">
        <v>1131</v>
      </c>
      <c r="AC22" s="9">
        <v>1131</v>
      </c>
      <c r="AD22" s="9">
        <v>1131</v>
      </c>
      <c r="AE22" s="9">
        <v>1131</v>
      </c>
      <c r="AF22" s="9">
        <v>1131</v>
      </c>
      <c r="AG22" s="9">
        <v>1131</v>
      </c>
      <c r="AH22" s="9">
        <v>1131</v>
      </c>
      <c r="AI22" s="9">
        <v>1131</v>
      </c>
      <c r="AJ22" s="9">
        <v>1131</v>
      </c>
      <c r="AK22" s="9">
        <v>1131</v>
      </c>
      <c r="AL22" s="9">
        <v>1131</v>
      </c>
      <c r="AM22" s="9">
        <v>1131</v>
      </c>
      <c r="AN22" s="9">
        <v>1131</v>
      </c>
      <c r="AO22" s="9">
        <v>1131</v>
      </c>
      <c r="AP22" s="9">
        <v>1131</v>
      </c>
      <c r="AQ22" s="9">
        <v>1131</v>
      </c>
      <c r="AR22" s="9">
        <v>1131</v>
      </c>
      <c r="AS22" s="9">
        <v>1131</v>
      </c>
      <c r="AT22" s="9">
        <v>1131</v>
      </c>
      <c r="AU22" s="9">
        <v>1131</v>
      </c>
      <c r="AV22" s="9">
        <v>1131</v>
      </c>
      <c r="AW22" s="9">
        <v>1131</v>
      </c>
      <c r="AX22" s="9">
        <v>1131</v>
      </c>
      <c r="AY22" s="9">
        <v>1131</v>
      </c>
      <c r="AZ22" s="9">
        <v>1131</v>
      </c>
      <c r="BA22" s="9">
        <v>1131</v>
      </c>
      <c r="BB22" s="9">
        <v>1131</v>
      </c>
      <c r="BC22" s="9">
        <v>1131</v>
      </c>
      <c r="BD22" s="9">
        <v>1131</v>
      </c>
      <c r="BE22" s="9">
        <v>1131</v>
      </c>
      <c r="BF22" s="9">
        <v>1131</v>
      </c>
      <c r="BG22" s="9">
        <v>1131</v>
      </c>
      <c r="BH22" s="9">
        <v>1131</v>
      </c>
      <c r="BI22" s="9">
        <v>1131</v>
      </c>
      <c r="BJ22" s="9">
        <v>1131</v>
      </c>
      <c r="BK22" s="9">
        <v>1131</v>
      </c>
      <c r="BL22" s="9">
        <v>1131</v>
      </c>
      <c r="BM22" s="9">
        <v>1131</v>
      </c>
      <c r="BN22" s="9">
        <v>1131</v>
      </c>
      <c r="BO22" s="9">
        <v>1131</v>
      </c>
      <c r="BP22" s="9">
        <v>1131</v>
      </c>
      <c r="BQ22" s="9">
        <v>1131</v>
      </c>
      <c r="BR22" s="9">
        <v>1131</v>
      </c>
      <c r="BS22" s="9">
        <v>1131</v>
      </c>
      <c r="BT22" s="9">
        <v>1131</v>
      </c>
      <c r="BU22" s="9">
        <v>1131</v>
      </c>
      <c r="BV22" s="9">
        <v>1131</v>
      </c>
      <c r="BW22" s="9">
        <v>1131</v>
      </c>
      <c r="BX22" s="9">
        <v>1131</v>
      </c>
      <c r="BY22" s="9">
        <v>1131</v>
      </c>
      <c r="BZ22" s="9">
        <v>1131</v>
      </c>
      <c r="CA22" s="9">
        <v>1131</v>
      </c>
      <c r="CB22" s="9">
        <v>1131</v>
      </c>
      <c r="CC22" s="9">
        <v>1131</v>
      </c>
      <c r="CD22" s="9">
        <v>1131</v>
      </c>
      <c r="CE22" s="9">
        <v>1131</v>
      </c>
      <c r="CF22" s="9">
        <v>1131</v>
      </c>
      <c r="CG22" s="9">
        <v>1131</v>
      </c>
      <c r="CH22" s="9">
        <v>1131</v>
      </c>
      <c r="CI22" s="9">
        <v>1131</v>
      </c>
      <c r="CJ22" s="9">
        <v>1131</v>
      </c>
      <c r="CK22" s="9">
        <v>1131</v>
      </c>
      <c r="CL22" s="9">
        <v>1131</v>
      </c>
      <c r="CM22" s="9">
        <v>1131</v>
      </c>
      <c r="CN22" s="9">
        <v>1131</v>
      </c>
      <c r="CO22" s="9">
        <v>1131</v>
      </c>
      <c r="CP22" s="9">
        <v>1131</v>
      </c>
      <c r="CQ22" s="9">
        <v>1131</v>
      </c>
      <c r="CR22" s="9">
        <v>1131</v>
      </c>
      <c r="CS22" s="9">
        <v>1131</v>
      </c>
      <c r="CT22" s="9">
        <v>1131</v>
      </c>
      <c r="CU22" s="9">
        <v>1131</v>
      </c>
      <c r="CV22" s="9">
        <v>1131</v>
      </c>
      <c r="CW22" s="9">
        <v>1131</v>
      </c>
      <c r="CX22" s="9">
        <v>1131</v>
      </c>
      <c r="CY22" s="9">
        <v>1131</v>
      </c>
      <c r="CZ22" s="9">
        <v>1131</v>
      </c>
      <c r="DA22" s="9">
        <v>1131</v>
      </c>
      <c r="DB22" s="9">
        <v>1131</v>
      </c>
      <c r="DC22" s="9">
        <v>1131</v>
      </c>
      <c r="DD22" s="9">
        <v>1131</v>
      </c>
      <c r="DE22" s="9">
        <v>1131</v>
      </c>
      <c r="DF22" s="9">
        <v>1131</v>
      </c>
      <c r="DG22" s="9">
        <v>1131</v>
      </c>
      <c r="DH22" s="9">
        <v>1131</v>
      </c>
      <c r="DI22" s="9">
        <v>1131</v>
      </c>
      <c r="DJ22" s="9">
        <v>1131</v>
      </c>
      <c r="DK22" s="9">
        <v>1131</v>
      </c>
      <c r="DL22" s="9">
        <v>1131</v>
      </c>
      <c r="DM22" s="9">
        <v>1131</v>
      </c>
      <c r="DN22" s="9">
        <v>1131</v>
      </c>
      <c r="DO22" s="9">
        <v>1131</v>
      </c>
      <c r="DP22" s="9">
        <v>1131</v>
      </c>
      <c r="DQ22" s="9">
        <v>1131</v>
      </c>
      <c r="DR22" s="9">
        <v>1131</v>
      </c>
      <c r="DS22" s="9">
        <v>1131</v>
      </c>
      <c r="DT22" s="9">
        <v>1131</v>
      </c>
      <c r="DU22" s="9">
        <v>1131</v>
      </c>
      <c r="DV22" s="9">
        <v>1131</v>
      </c>
      <c r="DW22" s="9">
        <v>1131</v>
      </c>
      <c r="DX22" s="9">
        <v>1131</v>
      </c>
      <c r="DY22" s="9">
        <v>1131</v>
      </c>
      <c r="DZ22" s="9">
        <v>1131</v>
      </c>
      <c r="EA22" s="9">
        <v>1131</v>
      </c>
      <c r="EB22" s="9">
        <v>1131</v>
      </c>
      <c r="EC22" s="9">
        <v>1131</v>
      </c>
      <c r="ED22" s="9">
        <v>1131</v>
      </c>
      <c r="EE22" s="9">
        <v>1131</v>
      </c>
    </row>
    <row r="24" spans="1:245" s="14" customFormat="1" x14ac:dyDescent="0.25">
      <c r="A24" s="14" t="s">
        <v>27</v>
      </c>
      <c r="F24" s="14">
        <f>F11/B11-1</f>
        <v>0.10793249984603071</v>
      </c>
      <c r="G24" s="14">
        <f>G11/C11-1</f>
        <v>4.6594667369098897E-2</v>
      </c>
      <c r="H24" s="14">
        <f>H11/D11-1</f>
        <v>0.5642107621643826</v>
      </c>
      <c r="I24" s="14">
        <f>I11/E11-1</f>
        <v>0.28452693040991428</v>
      </c>
      <c r="J24" s="14">
        <f>J11/F11-1</f>
        <v>0.11134272770227072</v>
      </c>
      <c r="K24" s="14">
        <f>K11/G11-1</f>
        <v>0.25134931066304977</v>
      </c>
      <c r="L24" s="14">
        <f>L11/H11-1</f>
        <v>5.3547555385790702E-2</v>
      </c>
      <c r="M24" s="14">
        <f>M11/I11-1</f>
        <v>-6.8183399429485592E-3</v>
      </c>
      <c r="N24" s="14">
        <f>N11/J11-1</f>
        <v>7.5753407527823002E-2</v>
      </c>
      <c r="O24" s="14">
        <f>O11/K11-1</f>
        <v>7.198247927235335E-2</v>
      </c>
      <c r="P24" s="14">
        <f>P11/L11-1</f>
        <v>0.10480161337835092</v>
      </c>
      <c r="Q24" s="14">
        <f>Q11/M11-1</f>
        <v>9.2665966141272538E-2</v>
      </c>
      <c r="R24" s="14">
        <f>R11/N11-1</f>
        <v>7.3745627005161074E-2</v>
      </c>
      <c r="S24" s="14">
        <f>S11/O11-1</f>
        <v>7.3546364242828677E-2</v>
      </c>
      <c r="T24" s="14">
        <f>T11/P11-1</f>
        <v>7.3575190745754249E-2</v>
      </c>
      <c r="U24" s="14">
        <f>U11/Q11-1</f>
        <v>7.3613570113062909E-2</v>
      </c>
      <c r="Z24" s="14">
        <f>Z11/Y11-1</f>
        <v>0.54920149935426976</v>
      </c>
      <c r="AA24" s="14">
        <f>AA11/Z11-1</f>
        <v>-0.12729121130483401</v>
      </c>
      <c r="AB24" s="14">
        <f>AB11/AA11-1</f>
        <v>8.6455780252550962E-2</v>
      </c>
      <c r="AC24" s="14">
        <f>AC11/AB11-1</f>
        <v>7.3616708134211617E-2</v>
      </c>
      <c r="AD24" s="14">
        <f>AD11/AC11-1</f>
        <v>6.4170242932838351E-2</v>
      </c>
      <c r="AE24" s="14">
        <f>AE11/AD11-1</f>
        <v>6.4283716304550431E-2</v>
      </c>
      <c r="AF24" s="14">
        <f>AF11/AE11-1</f>
        <v>6.4400626295693986E-2</v>
      </c>
      <c r="AG24" s="14">
        <f>AG11/AF11-1</f>
        <v>6.4521050915807399E-2</v>
      </c>
      <c r="AH24" s="14">
        <f>AH11/AG11-1</f>
        <v>6.4645068168324826E-2</v>
      </c>
      <c r="AI24" s="14">
        <f>AI11/AH11-1</f>
        <v>6.4772755908627966E-2</v>
      </c>
      <c r="AJ24" s="14">
        <f>AJ11/AI11-1</f>
        <v>4.14051081696587E-2</v>
      </c>
      <c r="AK24" s="14">
        <f t="shared" ref="AK24:AR24" si="13">AK11/AJ11-1</f>
        <v>2.3166885927310865E-2</v>
      </c>
      <c r="AL24" s="14">
        <f t="shared" si="13"/>
        <v>2.3249939251760443E-2</v>
      </c>
      <c r="AM24" s="14">
        <f t="shared" si="13"/>
        <v>2.3334899992120572E-2</v>
      </c>
      <c r="AN24" s="14">
        <f t="shared" si="13"/>
        <v>2.3421797684954893E-2</v>
      </c>
      <c r="AO24" s="14">
        <f t="shared" si="13"/>
        <v>2.3510661564303703E-2</v>
      </c>
      <c r="AP24" s="14">
        <f t="shared" si="13"/>
        <v>2.3601520512629204E-2</v>
      </c>
      <c r="AQ24" s="14">
        <f t="shared" si="13"/>
        <v>2.3694403009842047E-2</v>
      </c>
      <c r="AR24" s="14">
        <f t="shared" si="13"/>
        <v>2.3789337080410755E-2</v>
      </c>
    </row>
    <row r="25" spans="1:245" s="11" customFormat="1" x14ac:dyDescent="0.25">
      <c r="A25" s="10" t="s">
        <v>28</v>
      </c>
      <c r="F25" s="11">
        <f>F9/B9-1</f>
        <v>0.12925310489558606</v>
      </c>
      <c r="G25" s="11">
        <f>G9/C9-1</f>
        <v>6.0824876398646976E-2</v>
      </c>
      <c r="H25" s="11">
        <f>H9/D9-1</f>
        <v>0.65213864936395449</v>
      </c>
      <c r="I25" s="11">
        <f>I9/E9-1</f>
        <v>0.31235792178697319</v>
      </c>
      <c r="J25" s="11">
        <f>J9/F9-1</f>
        <v>0.11643919083597365</v>
      </c>
      <c r="K25" s="11">
        <f>K9/G9-1</f>
        <v>0.26491690684981917</v>
      </c>
      <c r="L25" s="11">
        <f>L9/H9-1</f>
        <v>4.6378833682143572E-2</v>
      </c>
      <c r="M25" s="11">
        <f>M9/I9-1</f>
        <v>-1.4409800672792072E-2</v>
      </c>
      <c r="N25" s="11">
        <f>N9/J9-1</f>
        <v>7.0021284724117283E-2</v>
      </c>
      <c r="O25" s="11">
        <f>O9/K9-1</f>
        <v>6.801764677364619E-2</v>
      </c>
      <c r="P25" s="11">
        <f>P9/L9-1</f>
        <v>0.10462245049138219</v>
      </c>
      <c r="Q25" s="11">
        <f>Q9/M9-1</f>
        <v>9.199999999999986E-2</v>
      </c>
      <c r="R25" s="11">
        <f>R9/N9-1</f>
        <v>7.119999999999993E-2</v>
      </c>
      <c r="S25" s="11">
        <f>S9/O9-1</f>
        <v>7.119999999999993E-2</v>
      </c>
      <c r="T25" s="11">
        <f>T9/P9-1</f>
        <v>7.119999999999993E-2</v>
      </c>
      <c r="U25" s="11">
        <f>U9/Q9-1</f>
        <v>7.119999999999993E-2</v>
      </c>
      <c r="Z25" s="10">
        <f>Z9/Y9-1</f>
        <v>0.59011356633506473</v>
      </c>
      <c r="AA25" s="10">
        <f t="shared" ref="AA25:AR25" si="14">AA9/Z9-1</f>
        <v>-0.12713361126336364</v>
      </c>
      <c r="AB25" s="10">
        <f t="shared" si="14"/>
        <v>8.3858224764997491E-2</v>
      </c>
      <c r="AC25" s="10">
        <f t="shared" si="14"/>
        <v>7.1200000000000152E-2</v>
      </c>
      <c r="AD25" s="10">
        <f t="shared" si="14"/>
        <v>6.0799999999999965E-2</v>
      </c>
      <c r="AE25" s="10">
        <f t="shared" si="14"/>
        <v>6.0800000000000187E-2</v>
      </c>
      <c r="AF25" s="10">
        <f t="shared" si="14"/>
        <v>6.0800000000000187E-2</v>
      </c>
      <c r="AG25" s="10">
        <f t="shared" si="14"/>
        <v>6.0800000000000187E-2</v>
      </c>
      <c r="AH25" s="10">
        <f t="shared" si="14"/>
        <v>6.0799999999999965E-2</v>
      </c>
      <c r="AI25" s="10">
        <f t="shared" si="14"/>
        <v>6.0799999999999965E-2</v>
      </c>
      <c r="AJ25" s="10">
        <f t="shared" si="14"/>
        <v>4.0400000000000214E-2</v>
      </c>
      <c r="AK25" s="10">
        <f t="shared" si="14"/>
        <v>2.0000000000000018E-2</v>
      </c>
      <c r="AL25" s="10">
        <f t="shared" si="14"/>
        <v>2.000000000000024E-2</v>
      </c>
      <c r="AM25" s="10">
        <f t="shared" si="14"/>
        <v>1.9999999999999796E-2</v>
      </c>
      <c r="AN25" s="10">
        <f t="shared" si="14"/>
        <v>2.0000000000000018E-2</v>
      </c>
      <c r="AO25" s="10">
        <f t="shared" si="14"/>
        <v>2.000000000000024E-2</v>
      </c>
      <c r="AP25" s="10">
        <f t="shared" si="14"/>
        <v>2.0000000000000018E-2</v>
      </c>
      <c r="AQ25" s="10">
        <f t="shared" si="14"/>
        <v>2.0000000000000018E-2</v>
      </c>
      <c r="AR25" s="10">
        <f t="shared" si="14"/>
        <v>2.0000000000000018E-2</v>
      </c>
    </row>
    <row r="26" spans="1:245" s="11" customFormat="1" x14ac:dyDescent="0.25">
      <c r="A26" s="10" t="s">
        <v>17</v>
      </c>
      <c r="B26" s="11">
        <f>B13/B9</f>
        <v>0.13596174355798671</v>
      </c>
      <c r="C26" s="11">
        <f>C13/C9</f>
        <v>0.11312776476710903</v>
      </c>
      <c r="D26" s="11">
        <f>D13/D9</f>
        <v>0.11756168359941944</v>
      </c>
      <c r="E26" s="11">
        <f>E13/E9</f>
        <v>9.4290514940862519E-2</v>
      </c>
      <c r="F26" s="11">
        <f>F13/F9</f>
        <v>0.10574579575920058</v>
      </c>
      <c r="G26" s="11">
        <f>G13/G9</f>
        <v>0.10280860979947262</v>
      </c>
      <c r="H26" s="11">
        <f>H13/H9</f>
        <v>0.12926646513190193</v>
      </c>
      <c r="I26" s="11">
        <f>I13/I9</f>
        <v>0.13194758246723903</v>
      </c>
      <c r="J26" s="11">
        <f>J13/J9</f>
        <v>0.12004038639960705</v>
      </c>
      <c r="K26" s="11">
        <f>K13/K9</f>
        <v>0.1120376205943666</v>
      </c>
      <c r="L26" s="11">
        <f>L13/L9</f>
        <v>0.11496864042668774</v>
      </c>
      <c r="M26" s="11">
        <f>M13/M9</f>
        <v>6.7524197656647994E-2</v>
      </c>
      <c r="N26" s="11">
        <f>N13/N9</f>
        <v>0.13302050392736917</v>
      </c>
      <c r="O26" s="11">
        <f>O13/O9</f>
        <v>0.12358147980027236</v>
      </c>
      <c r="P26" s="11">
        <f>P13/P9</f>
        <v>0.12804291941432883</v>
      </c>
      <c r="Q26" s="11">
        <f>Q13/Q9</f>
        <v>0.10338865159293062</v>
      </c>
      <c r="R26" s="11">
        <f>R13/R9</f>
        <v>0.13399172815747287</v>
      </c>
      <c r="S26" s="11">
        <f>S13/S9</f>
        <v>0.12456327799317714</v>
      </c>
      <c r="T26" s="11">
        <f>T13/T9</f>
        <v>0.12901971972865167</v>
      </c>
      <c r="U26" s="11">
        <f>U13/U9</f>
        <v>0.10439307057919697</v>
      </c>
      <c r="Y26" s="11">
        <f>Y13/Y9</f>
        <v>0.11485165947706664</v>
      </c>
      <c r="Z26" s="11">
        <f>Z13/Z9</f>
        <v>0.11893412172449494</v>
      </c>
      <c r="AA26" s="11">
        <f>AA13/AA9</f>
        <v>0.10356594654251608</v>
      </c>
      <c r="AB26" s="11">
        <f>AB13/AB9</f>
        <v>0.12184926028324602</v>
      </c>
      <c r="AC26" s="11">
        <f>AC13/AC9</f>
        <v>0.12283299897598339</v>
      </c>
      <c r="AD26" s="11">
        <f>AD13/AD9</f>
        <v>0.12349451255141621</v>
      </c>
      <c r="AE26" s="11">
        <f>AE13/AE9</f>
        <v>0.12415552724783302</v>
      </c>
      <c r="AF26" s="11">
        <f>AF13/AF9</f>
        <v>0.12481604344146219</v>
      </c>
      <c r="AG26" s="11">
        <f>AG13/AG9</f>
        <v>0.12547606150824855</v>
      </c>
      <c r="AH26" s="11">
        <f>AH13/AH9</f>
        <v>0.12613558182385318</v>
      </c>
      <c r="AI26" s="11">
        <f t="shared" ref="AI26:AR26" si="15">AI13/AI9</f>
        <v>0.12679460476365417</v>
      </c>
      <c r="AJ26" s="11">
        <f t="shared" si="15"/>
        <v>0.13500000000000004</v>
      </c>
      <c r="AK26" s="11">
        <f t="shared" si="15"/>
        <v>0.13500000000000006</v>
      </c>
      <c r="AL26" s="11">
        <f t="shared" si="15"/>
        <v>0.13500000000000001</v>
      </c>
      <c r="AM26" s="11">
        <f t="shared" si="15"/>
        <v>0.13500000000000001</v>
      </c>
      <c r="AN26" s="11">
        <f t="shared" si="15"/>
        <v>0.13499999999999998</v>
      </c>
      <c r="AO26" s="11">
        <f t="shared" si="15"/>
        <v>0.13500000000000004</v>
      </c>
      <c r="AP26" s="11">
        <f t="shared" si="15"/>
        <v>0.13499999999999993</v>
      </c>
      <c r="AQ26" s="11">
        <f t="shared" si="15"/>
        <v>0.13500000000000001</v>
      </c>
      <c r="AR26" s="11">
        <f t="shared" si="15"/>
        <v>0.13500000000000006</v>
      </c>
    </row>
    <row r="27" spans="1:245" s="11" customFormat="1" x14ac:dyDescent="0.25">
      <c r="A27" s="10" t="s">
        <v>25</v>
      </c>
      <c r="B27" s="11">
        <f>B16/B11</f>
        <v>0.10091149842951284</v>
      </c>
      <c r="C27" s="11">
        <f>C16/C11</f>
        <v>8.4350396581496762E-2</v>
      </c>
      <c r="D27" s="11">
        <f>D16/D11</f>
        <v>6.1428731468688151E-2</v>
      </c>
      <c r="E27" s="11">
        <f>E16/E11</f>
        <v>4.4804575786463297E-2</v>
      </c>
      <c r="F27" s="11">
        <f>F16/F11</f>
        <v>6.103560410239306E-2</v>
      </c>
      <c r="G27" s="11">
        <f>G16/G11</f>
        <v>5.9173914259347295E-2</v>
      </c>
      <c r="H27" s="11">
        <f>H16/H11</f>
        <v>8.0953972498090151E-2</v>
      </c>
      <c r="I27" s="11">
        <f>I16/I11</f>
        <v>6.0785268675062037E-2</v>
      </c>
      <c r="J27" s="11">
        <f>J16/J11</f>
        <v>6.4499187195198204E-2</v>
      </c>
      <c r="K27" s="11">
        <f>K16/K11</f>
        <v>6.2328200773236198E-2</v>
      </c>
      <c r="L27" s="11">
        <f>L16/L11</f>
        <v>6.8251342593641656E-2</v>
      </c>
      <c r="M27" s="11">
        <f>M16/M11</f>
        <v>1.7840046701692935E-2</v>
      </c>
      <c r="N27" s="11">
        <f>N16/N11</f>
        <v>8.6878690658855257E-2</v>
      </c>
      <c r="O27" s="11">
        <f>O16/O11</f>
        <v>8.0720480320213478E-2</v>
      </c>
      <c r="P27" s="11">
        <f>P16/P11</f>
        <v>7.488309131183854E-2</v>
      </c>
      <c r="Q27" s="11">
        <f>Q16/Q11</f>
        <v>4.8922263001934752E-2</v>
      </c>
      <c r="R27" s="11">
        <f>R16/R11</f>
        <v>7.9680948298585727E-2</v>
      </c>
      <c r="S27" s="11">
        <f>S16/S11</f>
        <v>6.8599121731543825E-2</v>
      </c>
      <c r="T27" s="11">
        <f>T16/T11</f>
        <v>6.1761657349702632E-2</v>
      </c>
      <c r="U27" s="11">
        <f>U16/U11</f>
        <v>3.2463450736135761E-2</v>
      </c>
      <c r="Y27" s="11">
        <f>Y16/Y11</f>
        <v>7.3298264402935714E-2</v>
      </c>
      <c r="Z27" s="11">
        <f>Z16/Z11</f>
        <v>6.5587353225232556E-2</v>
      </c>
      <c r="AA27" s="11">
        <f>AA16/AA11</f>
        <v>5.3259400773496106E-2</v>
      </c>
      <c r="AB27" s="11">
        <f>AB16/AB11</f>
        <v>7.2637842997174282E-2</v>
      </c>
      <c r="AC27" s="11">
        <f>AC16/AC11</f>
        <v>6.0302769926584524E-2</v>
      </c>
      <c r="AD27" s="11">
        <f>AD16/AD11</f>
        <v>6.3985231223304545E-2</v>
      </c>
      <c r="AE27" s="11">
        <f>AE16/AE11</f>
        <v>6.7752668105859656E-2</v>
      </c>
      <c r="AF27" s="11">
        <f t="shared" ref="AF27:AR27" si="16">AF16/AF11</f>
        <v>7.1606923751218771E-2</v>
      </c>
      <c r="AG27" s="11">
        <f t="shared" si="16"/>
        <v>7.5549835320692121E-2</v>
      </c>
      <c r="AH27" s="11">
        <f t="shared" si="16"/>
        <v>7.9583230262860252E-2</v>
      </c>
      <c r="AI27" s="11">
        <f t="shared" si="16"/>
        <v>8.3708922389923099E-2</v>
      </c>
      <c r="AJ27" s="11">
        <f t="shared" si="16"/>
        <v>8.9400926460145275E-2</v>
      </c>
      <c r="AK27" s="11">
        <f t="shared" si="16"/>
        <v>8.686695601146277E-2</v>
      </c>
      <c r="AL27" s="11">
        <f t="shared" si="16"/>
        <v>8.4222481768790367E-2</v>
      </c>
      <c r="AM27" s="11">
        <f t="shared" si="16"/>
        <v>8.1463535880027596E-2</v>
      </c>
      <c r="AN27" s="11">
        <f t="shared" si="16"/>
        <v>7.8586045919417508E-2</v>
      </c>
      <c r="AO27" s="11">
        <f t="shared" si="16"/>
        <v>7.5585834266233914E-2</v>
      </c>
      <c r="AP27" s="11">
        <f t="shared" si="16"/>
        <v>7.2458617626704552E-2</v>
      </c>
      <c r="AQ27" s="11">
        <f t="shared" si="16"/>
        <v>6.9200006708887027E-2</v>
      </c>
      <c r="AR27" s="11">
        <f t="shared" si="16"/>
        <v>6.5805506060340843E-2</v>
      </c>
    </row>
    <row r="28" spans="1:245" s="15" customFormat="1" x14ac:dyDescent="0.25">
      <c r="A28" s="15" t="s">
        <v>26</v>
      </c>
      <c r="B28" s="15">
        <f>B19/B18</f>
        <v>0.28083989501312334</v>
      </c>
      <c r="C28" s="15">
        <f>C19/C18</f>
        <v>0.25893333333333335</v>
      </c>
      <c r="D28" s="15">
        <f>D19/D18</f>
        <v>5.988967691095351E-2</v>
      </c>
      <c r="E28" s="15">
        <f>E19/E18</f>
        <v>0.2120666366501576</v>
      </c>
      <c r="F28" s="15">
        <f>F19/F18</f>
        <v>-1.0075566750629723E-2</v>
      </c>
      <c r="G28" s="15">
        <f>G19/G18</f>
        <v>0.22983114446529079</v>
      </c>
      <c r="H28" s="15">
        <f>H19/H18</f>
        <v>0.20624847449353184</v>
      </c>
      <c r="I28" s="15">
        <f>I19/I18</f>
        <v>0.22363356428021555</v>
      </c>
      <c r="J28" s="15">
        <f>J19/J18</f>
        <v>0.15423423423423424</v>
      </c>
      <c r="K28" s="15">
        <f>K19/K18</f>
        <v>0.17233410366457577</v>
      </c>
      <c r="L28" s="15">
        <f>L19/L18</f>
        <v>0.13572047357782269</v>
      </c>
      <c r="M28" s="15">
        <f>M19/M18</f>
        <v>-0.87182095625635814</v>
      </c>
      <c r="N28" s="15">
        <f>N19/N18</f>
        <v>0.20511440107671602</v>
      </c>
      <c r="O28" s="15">
        <f>O19/O18</f>
        <v>0.21059857221306974</v>
      </c>
      <c r="P28" s="15">
        <f>P19/P18</f>
        <v>0.19074522464352972</v>
      </c>
      <c r="Q28" s="15">
        <f>Q19/Q18</f>
        <v>0.19</v>
      </c>
      <c r="R28" s="15">
        <f>R19/R18</f>
        <v>0.19</v>
      </c>
      <c r="S28" s="15">
        <f>S19/S18</f>
        <v>0.19</v>
      </c>
      <c r="T28" s="15">
        <f>T19/T18</f>
        <v>0.19</v>
      </c>
      <c r="U28" s="15">
        <f>U19/U18</f>
        <v>0.19</v>
      </c>
      <c r="Y28" s="15">
        <f>Y19/Y18</f>
        <v>0.21818897637795276</v>
      </c>
      <c r="Z28" s="15">
        <f>Z19/Z18</f>
        <v>0.161045824351575</v>
      </c>
      <c r="AA28" s="15">
        <f>AA19/AA18</f>
        <v>5.4926829268292683E-2</v>
      </c>
    </row>
    <row r="30" spans="1:245" x14ac:dyDescent="0.25">
      <c r="AU30" t="s">
        <v>88</v>
      </c>
      <c r="AV30" s="16">
        <v>0.09</v>
      </c>
    </row>
    <row r="31" spans="1:245" x14ac:dyDescent="0.25">
      <c r="AU31" t="s">
        <v>86</v>
      </c>
      <c r="AV31" s="16">
        <v>-0.01</v>
      </c>
    </row>
    <row r="32" spans="1:245" x14ac:dyDescent="0.25">
      <c r="A32" t="s">
        <v>29</v>
      </c>
      <c r="B32" s="3">
        <f>B33-B47</f>
        <v>-81867</v>
      </c>
      <c r="C32" s="3">
        <f>C33-C47</f>
        <v>-81757</v>
      </c>
      <c r="D32" s="3">
        <f>D33-D47</f>
        <v>-85013</v>
      </c>
      <c r="E32" s="3">
        <f>E33-E47</f>
        <v>-80703</v>
      </c>
      <c r="F32" s="3">
        <f>F33-F47</f>
        <v>-83549</v>
      </c>
      <c r="G32" s="3">
        <f>G33-G47</f>
        <v>-83553</v>
      </c>
      <c r="H32" s="3">
        <f>H33-H47</f>
        <v>-82296</v>
      </c>
      <c r="I32" s="3">
        <f>I33-I47</f>
        <v>-83396</v>
      </c>
      <c r="J32" s="3">
        <f>J33-J47</f>
        <v>-86213</v>
      </c>
      <c r="K32" s="3">
        <f>K33-K47</f>
        <v>-85413</v>
      </c>
      <c r="L32" s="3">
        <f>L33-L47</f>
        <v>-83998</v>
      </c>
      <c r="M32" s="3">
        <f>M33-M47</f>
        <v>-95275</v>
      </c>
      <c r="N32" s="3">
        <f>N33-N47</f>
        <v>-96757</v>
      </c>
      <c r="O32" s="3">
        <f>O33-O47</f>
        <v>-95607</v>
      </c>
      <c r="P32" s="3">
        <f>P33-P47</f>
        <v>-95630</v>
      </c>
      <c r="AU32" t="s">
        <v>85</v>
      </c>
      <c r="AV32" s="11">
        <v>0.01</v>
      </c>
    </row>
    <row r="33" spans="1:48" x14ac:dyDescent="0.25">
      <c r="A33" t="s">
        <v>3</v>
      </c>
      <c r="B33" s="3">
        <f>21609+7771</f>
        <v>29380</v>
      </c>
      <c r="C33" s="3">
        <f>22920+6211</f>
        <v>29131</v>
      </c>
      <c r="D33" s="3">
        <f>17365+6575</f>
        <v>23940</v>
      </c>
      <c r="E33" s="3">
        <f>20067+8609</f>
        <v>28676</v>
      </c>
      <c r="F33" s="3">
        <f>16349+9907</f>
        <v>26256</v>
      </c>
      <c r="G33" s="3">
        <f>16710+10124</f>
        <v>26834</v>
      </c>
      <c r="H33" s="3">
        <f>20745+9566</f>
        <v>30311</v>
      </c>
      <c r="I33" s="3">
        <f>19153+12150</f>
        <v>31303</v>
      </c>
      <c r="J33" s="3">
        <f>18227+9981</f>
        <v>28208</v>
      </c>
      <c r="K33" s="3">
        <f>23074+9556</f>
        <v>32630</v>
      </c>
      <c r="L33" s="3">
        <f>25224+9651</f>
        <v>34875</v>
      </c>
      <c r="M33" s="3">
        <f>18853+7613</f>
        <v>26466</v>
      </c>
      <c r="N33" s="3">
        <f>7845+17635</f>
        <v>25480</v>
      </c>
      <c r="O33" s="3">
        <f>22516+8313</f>
        <v>30829</v>
      </c>
      <c r="P33" s="3">
        <f>8477+23744</f>
        <v>32221</v>
      </c>
      <c r="AB33" s="3">
        <f>8477+23744</f>
        <v>32221</v>
      </c>
      <c r="AC33" s="3">
        <f>AB33+AC20</f>
        <v>42002.907194729727</v>
      </c>
      <c r="AD33" s="3">
        <f>AC33+AD20</f>
        <v>53528.982851088193</v>
      </c>
      <c r="AE33" s="3">
        <f>AD33+AE20</f>
        <v>66569.066437405418</v>
      </c>
      <c r="AF33" s="3">
        <f>AE33+AF20</f>
        <v>81290.608724978156</v>
      </c>
      <c r="AG33" s="3">
        <f>AF33+AG20</f>
        <v>97878.41877276008</v>
      </c>
      <c r="AH33" s="3">
        <f>AG33+AH20</f>
        <v>116536.41522228387</v>
      </c>
      <c r="AI33" s="3">
        <f>AH33+AI20</f>
        <v>137489.552352909</v>
      </c>
      <c r="AJ33" s="3">
        <f>AI33+AJ20</f>
        <v>160858.5916733754</v>
      </c>
      <c r="AK33" s="3">
        <f>AJ33+AK20</f>
        <v>184289.50729216891</v>
      </c>
      <c r="AL33" s="3">
        <f>AK33+AL20</f>
        <v>207737.8579163728</v>
      </c>
      <c r="AM33" s="3">
        <f>AL33+AM20</f>
        <v>231155.00370284007</v>
      </c>
      <c r="AN33" s="3">
        <f>AM33+AN20</f>
        <v>254487.79934110885</v>
      </c>
      <c r="AO33" s="3">
        <f>AN33+AO20</f>
        <v>277678.2664365953</v>
      </c>
      <c r="AP33" s="3">
        <f>AO33+AP20</f>
        <v>300663.24384742999</v>
      </c>
      <c r="AQ33" s="3">
        <f>AP33+AQ20</f>
        <v>323374.01454246882</v>
      </c>
      <c r="AR33" s="3">
        <f>AQ33+AR20</f>
        <v>345735.90745677293</v>
      </c>
      <c r="AU33" t="s">
        <v>87</v>
      </c>
      <c r="AV33" s="17">
        <f>NPV(AV30,AC20:IK20)</f>
        <v>204403.14631052222</v>
      </c>
    </row>
    <row r="34" spans="1:48" x14ac:dyDescent="0.25">
      <c r="A34" t="s">
        <v>30</v>
      </c>
      <c r="B34" s="3">
        <f>9126</f>
        <v>9126</v>
      </c>
      <c r="C34" s="3">
        <f>8167</f>
        <v>8167</v>
      </c>
      <c r="D34" s="3">
        <f>8091</f>
        <v>8091</v>
      </c>
      <c r="E34" s="3">
        <f>7394</f>
        <v>7394</v>
      </c>
      <c r="F34" s="3">
        <f>11946</f>
        <v>11946</v>
      </c>
      <c r="G34" s="3">
        <f>12417+28479+38227</f>
        <v>79123</v>
      </c>
      <c r="H34" s="3">
        <f>14021</f>
        <v>14021</v>
      </c>
      <c r="I34" s="3">
        <f>13333</f>
        <v>13333</v>
      </c>
      <c r="J34" s="3">
        <f>13702</f>
        <v>13702</v>
      </c>
      <c r="K34" s="3">
        <f>14068</f>
        <v>14068</v>
      </c>
      <c r="L34" s="3">
        <f>13923</f>
        <v>13923</v>
      </c>
      <c r="M34" s="3">
        <f>12378</f>
        <v>12378</v>
      </c>
      <c r="N34" s="3">
        <f>13774</f>
        <v>13774</v>
      </c>
      <c r="O34" s="3">
        <f>13406</f>
        <v>13406</v>
      </c>
      <c r="P34" s="3">
        <f>13782</f>
        <v>13782</v>
      </c>
      <c r="AU34" t="s">
        <v>89</v>
      </c>
      <c r="AV34" s="1">
        <f>AV33/AT22</f>
        <v>180.72780398808331</v>
      </c>
    </row>
    <row r="35" spans="1:48" x14ac:dyDescent="0.25">
      <c r="A35" t="s">
        <v>77</v>
      </c>
      <c r="B35" s="3">
        <f>24583+33689</f>
        <v>58272</v>
      </c>
      <c r="C35" s="3">
        <f>24444+35507</f>
        <v>59951</v>
      </c>
      <c r="D35" s="3">
        <f>25093+34645</f>
        <v>59738</v>
      </c>
      <c r="E35" s="3">
        <f>26649+36167</f>
        <v>62816</v>
      </c>
      <c r="F35" s="3">
        <f>28440+36408</f>
        <v>64848</v>
      </c>
      <c r="G35" s="3">
        <f>12417+28479+38227</f>
        <v>79123</v>
      </c>
      <c r="H35" s="3">
        <f>31049+39551</f>
        <v>70600</v>
      </c>
      <c r="I35" s="3">
        <f>33623+40591</f>
        <v>74214</v>
      </c>
      <c r="J35" s="3">
        <f>13702+32283+43582</f>
        <v>89567</v>
      </c>
      <c r="K35" s="3">
        <f>34440+44201</f>
        <v>78641</v>
      </c>
      <c r="L35" s="3">
        <f>36224+44987</f>
        <v>81211</v>
      </c>
      <c r="M35" s="3">
        <f>39076+45043</f>
        <v>84119</v>
      </c>
      <c r="N35" s="3">
        <f>41682+43511</f>
        <v>85193</v>
      </c>
      <c r="O35" s="3">
        <f>42783+44747</f>
        <v>87530</v>
      </c>
      <c r="P35" s="3">
        <f>44453+45928</f>
        <v>90381</v>
      </c>
    </row>
    <row r="36" spans="1:48" x14ac:dyDescent="0.25">
      <c r="A36" t="s">
        <v>31</v>
      </c>
      <c r="B36" s="3">
        <v>12066</v>
      </c>
      <c r="C36" s="3">
        <v>13102</v>
      </c>
      <c r="D36" s="3">
        <v>14534</v>
      </c>
      <c r="E36" s="3">
        <v>12988</v>
      </c>
      <c r="F36" s="3">
        <v>14838</v>
      </c>
      <c r="G36" s="3">
        <v>16859</v>
      </c>
      <c r="H36" s="3">
        <v>16367</v>
      </c>
      <c r="I36" s="3">
        <v>15366</v>
      </c>
      <c r="J36" s="3">
        <v>17758</v>
      </c>
      <c r="K36" s="3">
        <v>17912</v>
      </c>
      <c r="L36" s="3">
        <v>17740</v>
      </c>
      <c r="M36" s="3">
        <v>16461</v>
      </c>
      <c r="N36" s="3">
        <v>17533</v>
      </c>
      <c r="O36" s="3">
        <v>17605</v>
      </c>
      <c r="P36" s="3">
        <v>17325</v>
      </c>
    </row>
    <row r="37" spans="1:48" x14ac:dyDescent="0.25">
      <c r="A37" t="s">
        <v>32</v>
      </c>
      <c r="B37" s="3">
        <v>6936</v>
      </c>
      <c r="C37" s="3">
        <v>7765</v>
      </c>
      <c r="D37" s="3">
        <v>6133</v>
      </c>
      <c r="E37" s="3">
        <v>6396</v>
      </c>
      <c r="F37" s="3">
        <v>7113</v>
      </c>
      <c r="G37" s="3">
        <v>6504</v>
      </c>
      <c r="H37" s="3">
        <v>6524</v>
      </c>
      <c r="I37" s="3">
        <v>6825</v>
      </c>
      <c r="J37" s="3">
        <v>6881</v>
      </c>
      <c r="K37" s="3">
        <v>7755</v>
      </c>
      <c r="L37" s="3">
        <v>7959</v>
      </c>
      <c r="M37" s="3">
        <v>7238</v>
      </c>
      <c r="N37" s="3">
        <v>8001</v>
      </c>
      <c r="O37" s="3">
        <v>7442</v>
      </c>
      <c r="P37" s="3">
        <v>7636</v>
      </c>
    </row>
    <row r="38" spans="1:48" x14ac:dyDescent="0.25">
      <c r="A38" t="s">
        <v>34</v>
      </c>
      <c r="B38" s="3">
        <v>8979</v>
      </c>
      <c r="C38" s="3">
        <v>8882</v>
      </c>
      <c r="D38" s="3">
        <v>9234</v>
      </c>
      <c r="E38" s="3">
        <v>9677</v>
      </c>
      <c r="F38" s="3">
        <v>10402</v>
      </c>
      <c r="G38" s="3">
        <v>9733</v>
      </c>
      <c r="H38" s="3">
        <v>9910</v>
      </c>
      <c r="I38" s="3">
        <v>10176</v>
      </c>
      <c r="J38" s="3">
        <v>10542</v>
      </c>
      <c r="K38" s="3">
        <v>10064</v>
      </c>
      <c r="L38" s="3">
        <v>10549</v>
      </c>
      <c r="M38" s="3">
        <v>10613</v>
      </c>
      <c r="N38" s="3">
        <v>10740</v>
      </c>
      <c r="O38" s="3">
        <v>10734</v>
      </c>
      <c r="P38" s="3">
        <v>11039</v>
      </c>
    </row>
    <row r="39" spans="1:48" x14ac:dyDescent="0.25">
      <c r="A39" t="s">
        <v>33</v>
      </c>
      <c r="B39" s="3">
        <v>37797</v>
      </c>
      <c r="C39" s="3">
        <v>38822</v>
      </c>
      <c r="D39" s="3">
        <v>39637</v>
      </c>
      <c r="E39" s="3">
        <v>41115</v>
      </c>
      <c r="F39" s="3">
        <v>41708</v>
      </c>
      <c r="G39" s="3">
        <v>41943</v>
      </c>
      <c r="H39" s="3">
        <v>42795</v>
      </c>
      <c r="I39" s="3">
        <v>45248</v>
      </c>
      <c r="J39" s="3">
        <v>46895</v>
      </c>
      <c r="K39" s="3">
        <v>47941</v>
      </c>
      <c r="L39" s="3">
        <v>49399</v>
      </c>
      <c r="M39" s="3">
        <v>50321</v>
      </c>
      <c r="N39" s="3">
        <v>51423</v>
      </c>
      <c r="O39" s="3">
        <v>51145</v>
      </c>
      <c r="P39" s="3">
        <v>51505</v>
      </c>
    </row>
    <row r="40" spans="1:48" x14ac:dyDescent="0.25">
      <c r="A40" t="s">
        <v>35</v>
      </c>
      <c r="B40" s="3">
        <v>5185</v>
      </c>
      <c r="C40" s="3">
        <v>5169</v>
      </c>
      <c r="D40" s="3">
        <v>5126</v>
      </c>
      <c r="E40" s="3">
        <v>5087</v>
      </c>
      <c r="F40" s="3">
        <v>5058</v>
      </c>
      <c r="G40" s="3">
        <v>5013</v>
      </c>
      <c r="H40" s="3">
        <v>4968</v>
      </c>
      <c r="I40" s="3">
        <v>4945</v>
      </c>
      <c r="J40" s="3">
        <v>4968</v>
      </c>
      <c r="K40" s="3">
        <v>4950</v>
      </c>
      <c r="L40" s="3">
        <v>4907</v>
      </c>
      <c r="M40" s="3">
        <v>4862</v>
      </c>
      <c r="N40" s="3">
        <v>4823</v>
      </c>
      <c r="O40" s="3">
        <v>4778</v>
      </c>
      <c r="P40" s="3">
        <v>4745</v>
      </c>
    </row>
    <row r="41" spans="1:48" x14ac:dyDescent="0.25">
      <c r="A41" t="s">
        <v>36</v>
      </c>
      <c r="B41" s="3">
        <v>40343</v>
      </c>
      <c r="C41" s="3">
        <v>40596</v>
      </c>
      <c r="D41" s="3">
        <v>39657</v>
      </c>
      <c r="E41" s="3">
        <v>37929</v>
      </c>
      <c r="F41" s="3">
        <v>36581</v>
      </c>
      <c r="G41" s="3">
        <v>35307</v>
      </c>
      <c r="H41" s="3">
        <v>33778</v>
      </c>
      <c r="I41" s="3">
        <v>32701</v>
      </c>
      <c r="J41" s="3">
        <v>31848</v>
      </c>
      <c r="K41" s="3">
        <v>31560</v>
      </c>
      <c r="L41" s="3">
        <v>31061</v>
      </c>
      <c r="M41" s="3">
        <v>30582</v>
      </c>
      <c r="N41" s="3">
        <v>30106</v>
      </c>
      <c r="O41" s="3">
        <v>30345</v>
      </c>
      <c r="P41" s="3">
        <v>30956</v>
      </c>
    </row>
    <row r="42" spans="1:48" x14ac:dyDescent="0.25">
      <c r="A42" t="s">
        <v>37</v>
      </c>
      <c r="B42" s="3">
        <v>23090</v>
      </c>
      <c r="C42" s="3">
        <v>22408</v>
      </c>
      <c r="D42" s="3">
        <v>22245</v>
      </c>
      <c r="E42" s="3">
        <v>21152</v>
      </c>
      <c r="F42" s="3">
        <v>21287</v>
      </c>
      <c r="G42" s="3">
        <v>21038</v>
      </c>
      <c r="H42" s="3">
        <v>20572</v>
      </c>
      <c r="I42" s="3">
        <v>20539</v>
      </c>
      <c r="J42" s="3">
        <v>20676</v>
      </c>
      <c r="K42" s="3">
        <v>20640</v>
      </c>
      <c r="L42" s="3">
        <v>20289</v>
      </c>
      <c r="M42" s="3">
        <v>22339</v>
      </c>
      <c r="N42" s="3">
        <v>21704</v>
      </c>
      <c r="O42" s="3">
        <v>21088</v>
      </c>
      <c r="P42" s="3">
        <v>21007</v>
      </c>
    </row>
    <row r="43" spans="1:48" x14ac:dyDescent="0.25">
      <c r="A43" t="s">
        <v>38</v>
      </c>
      <c r="B43" s="3">
        <v>7237</v>
      </c>
      <c r="C43" s="3">
        <v>7810</v>
      </c>
      <c r="D43" s="3">
        <v>10222</v>
      </c>
      <c r="E43" s="3">
        <v>11488</v>
      </c>
      <c r="F43" s="3">
        <v>11454</v>
      </c>
      <c r="G43" s="3">
        <v>11161</v>
      </c>
      <c r="H43" s="3">
        <v>10684</v>
      </c>
      <c r="I43" s="3">
        <v>9386</v>
      </c>
      <c r="J43" s="3">
        <v>9661</v>
      </c>
      <c r="K43" s="3">
        <v>9672</v>
      </c>
      <c r="L43" s="3">
        <v>9793</v>
      </c>
      <c r="M43" s="3">
        <v>7686</v>
      </c>
      <c r="N43" s="3">
        <v>7815</v>
      </c>
      <c r="O43" s="3">
        <v>8054</v>
      </c>
      <c r="P43" s="3">
        <v>8690</v>
      </c>
    </row>
    <row r="44" spans="1:48" x14ac:dyDescent="0.25">
      <c r="A44" t="s">
        <v>39</v>
      </c>
      <c r="B44" s="3">
        <f>SUM(B33:B43)</f>
        <v>238411</v>
      </c>
      <c r="C44" s="3">
        <f>SUM(C33:C43)</f>
        <v>241803</v>
      </c>
      <c r="D44" s="3">
        <f>SUM(D33:D43)</f>
        <v>238557</v>
      </c>
      <c r="E44" s="3">
        <f>SUM(E33:E43)</f>
        <v>244718</v>
      </c>
      <c r="F44" s="3">
        <f>SUM(F33:F43)</f>
        <v>251491</v>
      </c>
      <c r="G44" s="3">
        <f>SUM(G33:G43)</f>
        <v>332638</v>
      </c>
      <c r="H44" s="3">
        <f>SUM(H33:H43)</f>
        <v>260530</v>
      </c>
      <c r="I44" s="3">
        <f>SUM(I33:I43)</f>
        <v>264036</v>
      </c>
      <c r="J44" s="3">
        <f>SUM(J33:J43)</f>
        <v>280706</v>
      </c>
      <c r="K44" s="3">
        <f>SUM(K33:K43)</f>
        <v>275833</v>
      </c>
      <c r="L44" s="3">
        <f>SUM(L33:L43)</f>
        <v>281706</v>
      </c>
      <c r="M44" s="3">
        <f>SUM(M33:M43)</f>
        <v>273065</v>
      </c>
      <c r="N44" s="3">
        <f>SUM(N33:N43)</f>
        <v>276592</v>
      </c>
      <c r="O44" s="3">
        <f>SUM(O33:O43)</f>
        <v>282956</v>
      </c>
      <c r="P44" s="3">
        <f>SUM(P33:P43)</f>
        <v>289287</v>
      </c>
    </row>
    <row r="45" spans="1:48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48" x14ac:dyDescent="0.25">
      <c r="A46" t="s">
        <v>40</v>
      </c>
      <c r="B46" s="3">
        <v>20446</v>
      </c>
      <c r="C46" s="3">
        <v>21431</v>
      </c>
      <c r="D46" s="3">
        <v>18648</v>
      </c>
      <c r="E46" s="3">
        <v>20391</v>
      </c>
      <c r="F46" s="3">
        <v>25240</v>
      </c>
      <c r="G46" s="3">
        <v>25890</v>
      </c>
      <c r="H46" s="3">
        <v>26886</v>
      </c>
      <c r="I46" s="3">
        <v>27486</v>
      </c>
      <c r="J46" s="3">
        <v>28931</v>
      </c>
      <c r="K46" s="3">
        <v>29800</v>
      </c>
      <c r="L46" s="3">
        <v>30387</v>
      </c>
      <c r="M46" s="3">
        <v>28114</v>
      </c>
      <c r="N46" s="3">
        <v>29393</v>
      </c>
      <c r="O46" s="3">
        <v>28762</v>
      </c>
      <c r="P46" s="3">
        <v>29629</v>
      </c>
    </row>
    <row r="47" spans="1:48" x14ac:dyDescent="0.25">
      <c r="A47" t="s">
        <v>4</v>
      </c>
      <c r="B47" s="3">
        <f>1146+16406+33922+59773</f>
        <v>111247</v>
      </c>
      <c r="C47" s="3">
        <f>896+33294+16422+60276</f>
        <v>110888</v>
      </c>
      <c r="D47" s="3">
        <f>476+34343+16372+57762</f>
        <v>108953</v>
      </c>
      <c r="E47" s="3">
        <f>463+33257+16355+59304</f>
        <v>109379</v>
      </c>
      <c r="F47" s="3">
        <f>737+32300+16155+60613</f>
        <v>109805</v>
      </c>
      <c r="G47" s="3">
        <f>662+31644+16121+61960</f>
        <v>110387</v>
      </c>
      <c r="H47" s="3">
        <f>450+34634+18333+59190</f>
        <v>112607</v>
      </c>
      <c r="I47" s="3">
        <f>1959+36819+15885+60036</f>
        <v>114699</v>
      </c>
      <c r="J47" s="3">
        <f>425+36585+15929+61482</f>
        <v>114421</v>
      </c>
      <c r="K47" s="3">
        <f>444+36224+15981+65394</f>
        <v>118043</v>
      </c>
      <c r="L47" s="3">
        <f>396+38256+15962+64259</f>
        <v>118873</v>
      </c>
      <c r="M47" s="3">
        <f>428+38540+15985+66788</f>
        <v>121741</v>
      </c>
      <c r="N47" s="3">
        <f>378+35598+15949+70312</f>
        <v>122237</v>
      </c>
      <c r="O47" s="3">
        <f>922+37176+15409+72929</f>
        <v>126436</v>
      </c>
      <c r="P47" s="3">
        <f>944+35218+15540+76149</f>
        <v>127851</v>
      </c>
    </row>
    <row r="48" spans="1:48" x14ac:dyDescent="0.25">
      <c r="A48" s="12" t="s">
        <v>41</v>
      </c>
      <c r="B48" s="3">
        <v>20809</v>
      </c>
      <c r="C48" s="3">
        <v>19190</v>
      </c>
      <c r="D48" s="3">
        <v>18484</v>
      </c>
      <c r="E48" s="3">
        <v>20297</v>
      </c>
      <c r="F48" s="3">
        <v>21277</v>
      </c>
      <c r="G48" s="3">
        <v>21203</v>
      </c>
      <c r="H48" s="3">
        <v>24034</v>
      </c>
      <c r="I48" s="3">
        <v>24910</v>
      </c>
      <c r="J48" s="3">
        <v>24244</v>
      </c>
      <c r="K48" s="3">
        <v>26249</v>
      </c>
      <c r="L48" s="3">
        <v>27782</v>
      </c>
      <c r="M48" s="3">
        <v>27364</v>
      </c>
      <c r="N48" s="3">
        <v>26409</v>
      </c>
      <c r="O48" s="3">
        <v>28503</v>
      </c>
      <c r="P48" s="3">
        <v>29672</v>
      </c>
    </row>
    <row r="49" spans="1:16" x14ac:dyDescent="0.25">
      <c r="A49" t="s">
        <v>43</v>
      </c>
      <c r="B49" s="3">
        <f>6236+12064</f>
        <v>18300</v>
      </c>
      <c r="C49" s="3">
        <f>6202+11564</f>
        <v>17766</v>
      </c>
      <c r="D49" s="3">
        <f>6111+10822</f>
        <v>16933</v>
      </c>
      <c r="E49" s="3">
        <f>5743+8008</f>
        <v>13751</v>
      </c>
      <c r="F49" s="3">
        <f>5722+7782</f>
        <v>13504</v>
      </c>
      <c r="G49" s="3">
        <f>5629+7358</f>
        <v>12987</v>
      </c>
      <c r="H49" s="3">
        <f>5512+6928</f>
        <v>12440</v>
      </c>
      <c r="I49" s="3">
        <f>4193+5698</f>
        <v>9891</v>
      </c>
      <c r="J49" s="3">
        <f>4162+5697</f>
        <v>9859</v>
      </c>
      <c r="K49" s="3">
        <f>4148+5680</f>
        <v>9828</v>
      </c>
      <c r="L49" s="3">
        <f>4090+5528</f>
        <v>9618</v>
      </c>
      <c r="M49" s="3">
        <f>4345+6680</f>
        <v>11025</v>
      </c>
      <c r="N49" s="3">
        <f>4292+6384</f>
        <v>10676</v>
      </c>
      <c r="O49" s="3">
        <f>4250+6171</f>
        <v>10421</v>
      </c>
      <c r="P49" s="3">
        <f>4235+5998</f>
        <v>10233</v>
      </c>
    </row>
    <row r="50" spans="1:16" x14ac:dyDescent="0.25">
      <c r="A50" t="s">
        <v>42</v>
      </c>
      <c r="B50" s="3">
        <v>13166</v>
      </c>
      <c r="C50" s="3">
        <v>14652</v>
      </c>
      <c r="D50" s="3">
        <v>15218</v>
      </c>
      <c r="E50" s="3">
        <v>15085</v>
      </c>
      <c r="F50" s="3">
        <v>14601</v>
      </c>
      <c r="G50" s="3">
        <v>14677</v>
      </c>
      <c r="H50" s="3">
        <v>14795</v>
      </c>
      <c r="I50" s="3">
        <v>14767</v>
      </c>
      <c r="J50" s="3">
        <v>15318</v>
      </c>
      <c r="K50" s="3">
        <v>15938</v>
      </c>
      <c r="L50" s="3">
        <v>16320</v>
      </c>
      <c r="M50" s="3">
        <v>16515</v>
      </c>
      <c r="N50" s="3">
        <v>17275</v>
      </c>
      <c r="O50" s="3">
        <v>16933</v>
      </c>
      <c r="P50" s="3">
        <v>17742</v>
      </c>
    </row>
    <row r="51" spans="1:16" x14ac:dyDescent="0.25">
      <c r="A51" t="s">
        <v>44</v>
      </c>
      <c r="B51" s="3">
        <f>48343+6100</f>
        <v>54443</v>
      </c>
      <c r="C51" s="3">
        <f>51669+6207</f>
        <v>57876</v>
      </c>
      <c r="D51" s="3">
        <f>54150+6171</f>
        <v>60321</v>
      </c>
      <c r="E51" s="3">
        <v>65815</v>
      </c>
      <c r="F51" s="3">
        <f>66774+289</f>
        <v>67063</v>
      </c>
      <c r="G51" s="3">
        <f>115+68260</f>
        <v>68375</v>
      </c>
      <c r="H51" s="3">
        <f>69540+228</f>
        <v>69768</v>
      </c>
      <c r="I51" s="3">
        <f>71927+357</f>
        <v>72284</v>
      </c>
      <c r="J51" s="3">
        <f>271+73961</f>
        <v>74232</v>
      </c>
      <c r="K51" s="3">
        <f>287+75685</f>
        <v>75972</v>
      </c>
      <c r="L51" s="3">
        <f>78404+323</f>
        <v>78727</v>
      </c>
      <c r="M51" s="3">
        <f>118+68189</f>
        <v>68307</v>
      </c>
      <c r="N51" s="3">
        <f>175+70426</f>
        <v>70601</v>
      </c>
      <c r="O51" s="3">
        <v>71900</v>
      </c>
      <c r="P51" s="3">
        <v>74162</v>
      </c>
    </row>
    <row r="52" spans="1:16" x14ac:dyDescent="0.25">
      <c r="A52" t="s">
        <v>45</v>
      </c>
      <c r="B52" s="3">
        <f>SUM(B46:B51)</f>
        <v>238411</v>
      </c>
      <c r="C52" s="3">
        <f>SUM(C46:C51)</f>
        <v>241803</v>
      </c>
      <c r="D52" s="3">
        <f>SUM(D46:D51)</f>
        <v>238557</v>
      </c>
      <c r="E52" s="3">
        <f>SUM(E46:E51)</f>
        <v>244718</v>
      </c>
      <c r="F52" s="3">
        <f>SUM(F46:F51)</f>
        <v>251490</v>
      </c>
      <c r="G52" s="3">
        <f>SUM(G46:G51)</f>
        <v>253519</v>
      </c>
      <c r="H52" s="3">
        <f>SUM(H46:H51)</f>
        <v>260530</v>
      </c>
      <c r="I52" s="3">
        <f>SUM(I46:I51)</f>
        <v>264037</v>
      </c>
      <c r="J52" s="3">
        <f>SUM(J46:J51)</f>
        <v>267005</v>
      </c>
      <c r="K52" s="3">
        <f>SUM(K46:K51)</f>
        <v>275830</v>
      </c>
      <c r="L52" s="3">
        <f>SUM(L46:L51)</f>
        <v>281707</v>
      </c>
      <c r="M52" s="3">
        <f>SUM(M46:M51)</f>
        <v>273066</v>
      </c>
      <c r="N52" s="3">
        <f>SUM(N46:N51)</f>
        <v>276591</v>
      </c>
      <c r="O52" s="3">
        <f>SUM(O46:O51)</f>
        <v>282955</v>
      </c>
      <c r="P52" s="3">
        <f>SUM(P46:P51)</f>
        <v>289289</v>
      </c>
    </row>
    <row r="54" spans="1:16" x14ac:dyDescent="0.25">
      <c r="A54" t="s">
        <v>69</v>
      </c>
      <c r="B54" s="3">
        <f>B34/B11*90</f>
        <v>25.292233787029627</v>
      </c>
      <c r="C54" s="3">
        <f>C34/C11*90</f>
        <v>21.512863289138643</v>
      </c>
      <c r="D54" s="3">
        <f>D34/D11*90</f>
        <v>27.192576272452296</v>
      </c>
      <c r="E54" s="3">
        <f>E34/E11*90</f>
        <v>19.824237368922784</v>
      </c>
      <c r="F54" s="3">
        <f>F34/F11*90</f>
        <v>29.882431418327357</v>
      </c>
      <c r="H54" s="3">
        <f>H34/H11*90</f>
        <v>30.12533422459893</v>
      </c>
      <c r="I54" s="3">
        <f>I34/I11*90</f>
        <v>27.829263201836781</v>
      </c>
      <c r="J54" s="3">
        <f>J34/J11*90</f>
        <v>30.841065399524823</v>
      </c>
      <c r="K54" s="3">
        <f>K34/K11*90</f>
        <v>28.29508123449617</v>
      </c>
      <c r="L54" s="3">
        <f>L34/L11*90</f>
        <v>28.394325984002176</v>
      </c>
      <c r="M54" s="3">
        <f>M34/M11*90</f>
        <v>26.013309982486867</v>
      </c>
      <c r="N54" s="3">
        <f>N34/N11*90</f>
        <v>28.819919096108247</v>
      </c>
      <c r="O54" s="3">
        <f>O34/O11*90</f>
        <v>25.153018679119409</v>
      </c>
      <c r="P54" s="3">
        <f>P34/P11*90</f>
        <v>25.440561161703176</v>
      </c>
    </row>
    <row r="57" spans="1:16" s="3" customFormat="1" x14ac:dyDescent="0.25">
      <c r="A57" s="3" t="s">
        <v>70</v>
      </c>
      <c r="N57" s="3">
        <f>N20</f>
        <v>2953</v>
      </c>
      <c r="O57" s="3">
        <f>O20</f>
        <v>2875</v>
      </c>
      <c r="P57" s="3">
        <f>P20</f>
        <v>3008</v>
      </c>
    </row>
    <row r="58" spans="1:16" s="3" customFormat="1" x14ac:dyDescent="0.25">
      <c r="A58" s="3" t="s">
        <v>71</v>
      </c>
      <c r="N58" s="3">
        <v>2953</v>
      </c>
      <c r="O58" s="3">
        <f>5830-N58</f>
        <v>2877</v>
      </c>
      <c r="P58" s="3">
        <f>8837-O58-N58</f>
        <v>3007</v>
      </c>
    </row>
    <row r="59" spans="1:16" s="3" customFormat="1" x14ac:dyDescent="0.25">
      <c r="A59" s="3" t="s">
        <v>72</v>
      </c>
      <c r="N59" s="3">
        <f>1243+1555</f>
        <v>2798</v>
      </c>
      <c r="O59" s="3">
        <f>2425+3859-N59</f>
        <v>3486</v>
      </c>
      <c r="P59" s="3">
        <f>3633+5523-O59-N59</f>
        <v>2872</v>
      </c>
    </row>
    <row r="60" spans="1:16" s="3" customFormat="1" x14ac:dyDescent="0.25">
      <c r="A60" s="3" t="s">
        <v>73</v>
      </c>
      <c r="N60" s="3">
        <v>-36</v>
      </c>
      <c r="O60" s="3">
        <f>-148-N60</f>
        <v>-112</v>
      </c>
      <c r="P60" s="3">
        <f>-228-O60-N60</f>
        <v>-80</v>
      </c>
    </row>
    <row r="61" spans="1:16" s="3" customFormat="1" x14ac:dyDescent="0.25">
      <c r="A61" s="3" t="s">
        <v>43</v>
      </c>
      <c r="N61" s="3">
        <f>-242+15</f>
        <v>-227</v>
      </c>
      <c r="O61" s="3">
        <f>-430+30-N61</f>
        <v>-173</v>
      </c>
      <c r="P61" s="3">
        <f>-815+50-O61-N61</f>
        <v>-365</v>
      </c>
    </row>
    <row r="62" spans="1:16" s="3" customFormat="1" x14ac:dyDescent="0.25">
      <c r="A62" s="3" t="s">
        <v>37</v>
      </c>
      <c r="N62" s="3">
        <v>655</v>
      </c>
      <c r="O62" s="3">
        <f>1127-N62</f>
        <v>472</v>
      </c>
      <c r="P62" s="3">
        <f>1396-O62-N62</f>
        <v>269</v>
      </c>
    </row>
    <row r="63" spans="1:16" s="3" customFormat="1" x14ac:dyDescent="0.25">
      <c r="A63" s="3" t="s">
        <v>74</v>
      </c>
      <c r="N63" s="3">
        <v>-2990</v>
      </c>
      <c r="O63" s="3">
        <v>-575</v>
      </c>
      <c r="P63" s="3">
        <v>1158</v>
      </c>
    </row>
    <row r="64" spans="1:16" s="3" customFormat="1" x14ac:dyDescent="0.25">
      <c r="A64" s="3" t="s">
        <v>82</v>
      </c>
      <c r="N64" s="3">
        <f>SUM(N58:N63)</f>
        <v>3153</v>
      </c>
      <c r="O64" s="3">
        <f>SUM(O58:O63)</f>
        <v>5975</v>
      </c>
      <c r="P64" s="3">
        <f>SUM(P58:P63)</f>
        <v>6861</v>
      </c>
    </row>
    <row r="65" spans="1:16" s="3" customFormat="1" x14ac:dyDescent="0.25"/>
    <row r="66" spans="1:16" s="3" customFormat="1" x14ac:dyDescent="0.25">
      <c r="A66" s="3" t="s">
        <v>75</v>
      </c>
      <c r="N66" s="3">
        <v>-2783</v>
      </c>
      <c r="O66" s="3">
        <f>-5352-N66</f>
        <v>-2569</v>
      </c>
      <c r="P66" s="3">
        <f>-7597-O66-N66</f>
        <v>-2245</v>
      </c>
    </row>
    <row r="67" spans="1:16" s="3" customFormat="1" x14ac:dyDescent="0.25">
      <c r="A67" s="3" t="s">
        <v>76</v>
      </c>
      <c r="N67" s="3">
        <f>-995+745</f>
        <v>-250</v>
      </c>
      <c r="O67" s="3">
        <f>-2232+1535-N67</f>
        <v>-447</v>
      </c>
      <c r="P67" s="3">
        <f>-3467+2757-O67-N67</f>
        <v>-13</v>
      </c>
    </row>
    <row r="68" spans="1:16" s="3" customFormat="1" x14ac:dyDescent="0.25">
      <c r="A68" s="3" t="s">
        <v>77</v>
      </c>
      <c r="N68" s="3">
        <f>-7932+7651</f>
        <v>-281</v>
      </c>
      <c r="O68" s="3">
        <f>-16639+15578-N68</f>
        <v>-780</v>
      </c>
      <c r="P68" s="3">
        <f>-25864+23526-O68-N68</f>
        <v>-1277</v>
      </c>
    </row>
    <row r="69" spans="1:16" s="3" customFormat="1" x14ac:dyDescent="0.25">
      <c r="A69" s="3" t="s">
        <v>78</v>
      </c>
      <c r="N69" s="3">
        <f>-3436+3085</f>
        <v>-351</v>
      </c>
      <c r="O69" s="3">
        <f>-7489+6157-N69</f>
        <v>-981</v>
      </c>
      <c r="P69" s="3">
        <f>-11243-O69-N69+8627</f>
        <v>-1284</v>
      </c>
    </row>
    <row r="70" spans="1:16" s="3" customFormat="1" x14ac:dyDescent="0.25">
      <c r="A70" s="3" t="s">
        <v>74</v>
      </c>
      <c r="N70" s="3">
        <v>-249</v>
      </c>
      <c r="O70" s="3">
        <f>-546-N70</f>
        <v>-297</v>
      </c>
      <c r="P70" s="3">
        <f>-742-O70-N70</f>
        <v>-196</v>
      </c>
    </row>
    <row r="71" spans="1:16" s="3" customFormat="1" x14ac:dyDescent="0.25">
      <c r="A71" s="3" t="s">
        <v>83</v>
      </c>
      <c r="N71" s="3">
        <f>SUM(N66:N70)</f>
        <v>-3914</v>
      </c>
      <c r="O71" s="3">
        <f>SUM(O66:O70)</f>
        <v>-5074</v>
      </c>
      <c r="P71" s="3">
        <f>SUM(P66:P70)</f>
        <v>-5015</v>
      </c>
    </row>
    <row r="72" spans="1:16" s="3" customFormat="1" x14ac:dyDescent="0.25"/>
    <row r="73" spans="1:16" s="3" customFormat="1" x14ac:dyDescent="0.25">
      <c r="A73" s="3" t="s">
        <v>4</v>
      </c>
      <c r="N73" s="3">
        <f>-249+14307-13140</f>
        <v>918</v>
      </c>
      <c r="O73" s="3">
        <f>294+29370-23904-N73</f>
        <v>4842</v>
      </c>
      <c r="P73" s="3">
        <f>85+38163-32012-O73-N73</f>
        <v>476</v>
      </c>
    </row>
    <row r="74" spans="1:16" s="3" customFormat="1" x14ac:dyDescent="0.25">
      <c r="A74" s="3" t="s">
        <v>79</v>
      </c>
      <c r="N74" s="3">
        <v>-280</v>
      </c>
      <c r="O74" s="3">
        <f>-1346-N74</f>
        <v>-1066</v>
      </c>
      <c r="P74" s="3">
        <f>-2378-O74-N74</f>
        <v>-1032</v>
      </c>
    </row>
    <row r="75" spans="1:16" s="3" customFormat="1" x14ac:dyDescent="0.25">
      <c r="A75" s="3" t="s">
        <v>80</v>
      </c>
      <c r="N75" s="3">
        <v>-198</v>
      </c>
      <c r="O75" s="3">
        <f>-334-N75</f>
        <v>-136</v>
      </c>
      <c r="P75" s="3">
        <f>-526-O75-N75</f>
        <v>-192</v>
      </c>
    </row>
    <row r="76" spans="1:16" s="3" customFormat="1" x14ac:dyDescent="0.25">
      <c r="A76" s="3" t="s">
        <v>74</v>
      </c>
      <c r="N76" s="3">
        <v>-139</v>
      </c>
      <c r="O76" s="3">
        <f>-288-N76</f>
        <v>-149</v>
      </c>
      <c r="P76" s="3">
        <f>-369-O76-N76</f>
        <v>-81</v>
      </c>
    </row>
    <row r="77" spans="1:16" s="3" customFormat="1" x14ac:dyDescent="0.25">
      <c r="A77" s="3" t="s">
        <v>81</v>
      </c>
      <c r="N77" s="3">
        <f>SUM(N73:N76)</f>
        <v>301</v>
      </c>
      <c r="O77" s="3">
        <f>SUM(O73:O76)</f>
        <v>3491</v>
      </c>
      <c r="P77" s="3">
        <f>SUM(P73:P76)</f>
        <v>-829</v>
      </c>
    </row>
    <row r="78" spans="1:16" s="3" customFormat="1" x14ac:dyDescent="0.25">
      <c r="A78" s="3" t="s">
        <v>73</v>
      </c>
      <c r="N78" s="3">
        <v>-78</v>
      </c>
      <c r="O78" s="3">
        <f>-231-N78</f>
        <v>-153</v>
      </c>
      <c r="P78" s="3">
        <f>-151-O78-N78</f>
        <v>80</v>
      </c>
    </row>
    <row r="79" spans="1:16" s="3" customFormat="1" x14ac:dyDescent="0.25">
      <c r="A79" s="3" t="s">
        <v>84</v>
      </c>
      <c r="N79" s="3">
        <f>N78+N77+N71+N64</f>
        <v>-538</v>
      </c>
      <c r="O79" s="3">
        <f>O78+O77+O71+O64</f>
        <v>4239</v>
      </c>
      <c r="P79" s="3">
        <f>P78+P77+P71+P64</f>
        <v>1097</v>
      </c>
    </row>
  </sheetData>
  <hyperlinks>
    <hyperlink ref="A1" location="Main!A1" display="Main" xr:uid="{E8BA57CB-6F3F-4B17-B9AE-AE352C257175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Sebastian Szewczyk</cp:lastModifiedBy>
  <dcterms:created xsi:type="dcterms:W3CDTF">2024-09-25T15:50:42Z</dcterms:created>
  <dcterms:modified xsi:type="dcterms:W3CDTF">2024-11-11T14:13:04Z</dcterms:modified>
</cp:coreProperties>
</file>