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"/>
    </mc:Choice>
  </mc:AlternateContent>
  <xr:revisionPtr revIDLastSave="559" documentId="13_ncr:1_{8200B0C5-401A-4CAE-BF05-0B27184E5652}" xr6:coauthVersionLast="47" xr6:coauthVersionMax="47" xr10:uidLastSave="{30A0DDA7-7DC7-4ECC-8399-56BC18896E2D}"/>
  <bookViews>
    <workbookView xWindow="6990" yWindow="7320" windowWidth="19425" windowHeight="11670" activeTab="1" xr2:uid="{DF105585-55F7-489F-BFB3-1F48B85ABA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4" i="2" l="1"/>
  <c r="AW34" i="2"/>
  <c r="BH53" i="2"/>
  <c r="BH49" i="2"/>
  <c r="M7" i="1"/>
  <c r="M4" i="1"/>
  <c r="AW53" i="2"/>
  <c r="AV53" i="2"/>
  <c r="AX34" i="2"/>
  <c r="AW35" i="2"/>
  <c r="AW36" i="2" s="1"/>
  <c r="AW37" i="2"/>
  <c r="AW33" i="2"/>
  <c r="AW32" i="2"/>
  <c r="AW31" i="2"/>
  <c r="BC30" i="2"/>
  <c r="BB30" i="2"/>
  <c r="BA30" i="2"/>
  <c r="AZ30" i="2"/>
  <c r="AY30" i="2"/>
  <c r="AX30" i="2"/>
  <c r="AW30" i="2"/>
  <c r="BC29" i="2"/>
  <c r="BB29" i="2"/>
  <c r="BA29" i="2"/>
  <c r="AZ29" i="2"/>
  <c r="AY29" i="2"/>
  <c r="AX29" i="2"/>
  <c r="AW29" i="2"/>
  <c r="AV29" i="2"/>
  <c r="AW27" i="2"/>
  <c r="AW26" i="2"/>
  <c r="AD41" i="2"/>
  <c r="AD38" i="2"/>
  <c r="AD37" i="2"/>
  <c r="AD36" i="2"/>
  <c r="AD35" i="2"/>
  <c r="AC50" i="2"/>
  <c r="AD33" i="2"/>
  <c r="AD28" i="2"/>
  <c r="AD25" i="2"/>
  <c r="AC101" i="2"/>
  <c r="AC96" i="2"/>
  <c r="AC95" i="2"/>
  <c r="AB95" i="2"/>
  <c r="AC94" i="2"/>
  <c r="AC93" i="2"/>
  <c r="AC92" i="2"/>
  <c r="AC91" i="2"/>
  <c r="AC90" i="2"/>
  <c r="AC89" i="2"/>
  <c r="AC87" i="2"/>
  <c r="AC86" i="2"/>
  <c r="AC85" i="2"/>
  <c r="AC84" i="2"/>
  <c r="AC82" i="2"/>
  <c r="AC81" i="2"/>
  <c r="AC80" i="2"/>
  <c r="AC79" i="2"/>
  <c r="AC78" i="2"/>
  <c r="AC77" i="2"/>
  <c r="AC76" i="2"/>
  <c r="AC75" i="2"/>
  <c r="AC73" i="2"/>
  <c r="AC64" i="2"/>
  <c r="AC53" i="2"/>
  <c r="AC52" i="2" s="1"/>
  <c r="AC60" i="2"/>
  <c r="AC49" i="2"/>
  <c r="AC48" i="2"/>
  <c r="AC46" i="2"/>
  <c r="AC45" i="2"/>
  <c r="AC41" i="2"/>
  <c r="AC38" i="2"/>
  <c r="AC37" i="2"/>
  <c r="AC35" i="2"/>
  <c r="AC33" i="2"/>
  <c r="AC32" i="2"/>
  <c r="AC28" i="2"/>
  <c r="AC12" i="2"/>
  <c r="AC11" i="2"/>
  <c r="AC1" i="2"/>
  <c r="AB101" i="2"/>
  <c r="AA101" i="2"/>
  <c r="AB12" i="2"/>
  <c r="AB11" i="2"/>
  <c r="AB96" i="2"/>
  <c r="AB89" i="2"/>
  <c r="AB91" i="2"/>
  <c r="AB93" i="2"/>
  <c r="AB90" i="2"/>
  <c r="AB86" i="2"/>
  <c r="AB84" i="2"/>
  <c r="AB81" i="2"/>
  <c r="AB80" i="2"/>
  <c r="AB79" i="2"/>
  <c r="AB78" i="2"/>
  <c r="AB77" i="2"/>
  <c r="AB82" i="2" s="1"/>
  <c r="AB76" i="2"/>
  <c r="AB64" i="2"/>
  <c r="AB73" i="2" s="1"/>
  <c r="AB53" i="2"/>
  <c r="AB52" i="2" s="1"/>
  <c r="AA45" i="2"/>
  <c r="AB45" i="2"/>
  <c r="U42" i="2"/>
  <c r="AB32" i="2"/>
  <c r="AB1" i="2"/>
  <c r="AB25" i="2"/>
  <c r="W14" i="2"/>
  <c r="U95" i="2"/>
  <c r="AA93" i="2"/>
  <c r="AA94" i="2" s="1"/>
  <c r="AA96" i="2" s="1"/>
  <c r="AA85" i="2"/>
  <c r="AA87" i="2" s="1"/>
  <c r="AA82" i="2"/>
  <c r="AA81" i="2"/>
  <c r="AA80" i="2"/>
  <c r="AA53" i="2"/>
  <c r="AA52" i="2" s="1"/>
  <c r="AA64" i="2"/>
  <c r="AA73" i="2"/>
  <c r="Z26" i="2"/>
  <c r="Z28" i="2" s="1"/>
  <c r="AA32" i="2"/>
  <c r="AD1" i="2" l="1"/>
  <c r="AB94" i="2"/>
  <c r="AB60" i="2"/>
  <c r="AB85" i="2"/>
  <c r="AB87" i="2" s="1"/>
  <c r="AA60" i="2"/>
  <c r="AU36" i="2"/>
  <c r="AU34" i="2"/>
  <c r="AU31" i="2"/>
  <c r="AU30" i="2"/>
  <c r="AU29" i="2"/>
  <c r="AU27" i="2"/>
  <c r="Z45" i="2"/>
  <c r="Y45" i="2"/>
  <c r="AD26" i="2"/>
  <c r="AC26" i="2"/>
  <c r="AB26" i="2"/>
  <c r="AA26" i="2"/>
  <c r="X45" i="2"/>
  <c r="W45" i="2"/>
  <c r="X31" i="2"/>
  <c r="W15" i="2"/>
  <c r="M7" i="2"/>
  <c r="L7" i="2"/>
  <c r="K7" i="2"/>
  <c r="P7" i="2"/>
  <c r="O7" i="2"/>
  <c r="N7" i="2"/>
  <c r="T7" i="2"/>
  <c r="S7" i="2"/>
  <c r="R7" i="2"/>
  <c r="Q7" i="2"/>
  <c r="U7" i="2"/>
  <c r="AU45" i="2"/>
  <c r="V15" i="2"/>
  <c r="V14" i="2"/>
  <c r="V11" i="2"/>
  <c r="V28" i="2"/>
  <c r="AL26" i="2"/>
  <c r="AM26" i="2"/>
  <c r="AP39" i="2"/>
  <c r="W31" i="2"/>
  <c r="W30" i="2"/>
  <c r="AV30" i="2" s="1"/>
  <c r="W29" i="2"/>
  <c r="U99" i="2"/>
  <c r="U25" i="2"/>
  <c r="U15" i="2" s="1"/>
  <c r="T105" i="2"/>
  <c r="S105" i="2"/>
  <c r="R105" i="2"/>
  <c r="U105" i="2"/>
  <c r="U91" i="2"/>
  <c r="U90" i="2"/>
  <c r="U89" i="2"/>
  <c r="U86" i="2"/>
  <c r="U80" i="2"/>
  <c r="U79" i="2"/>
  <c r="U78" i="2"/>
  <c r="U77" i="2"/>
  <c r="U76" i="2"/>
  <c r="U64" i="2"/>
  <c r="U73" i="2" s="1"/>
  <c r="U58" i="2"/>
  <c r="U53" i="2"/>
  <c r="Q64" i="2"/>
  <c r="Q73" i="2" s="1"/>
  <c r="Q58" i="2"/>
  <c r="Q53" i="2"/>
  <c r="C36" i="2"/>
  <c r="C32" i="2"/>
  <c r="AR31" i="2"/>
  <c r="AR32" i="2" s="1"/>
  <c r="H31" i="2"/>
  <c r="H32" i="2" s="1"/>
  <c r="G31" i="2"/>
  <c r="G32" i="2" s="1"/>
  <c r="C26" i="2"/>
  <c r="C28" i="2" s="1"/>
  <c r="C48" i="2" s="1"/>
  <c r="G26" i="2"/>
  <c r="G28" i="2" s="1"/>
  <c r="G48" i="2" s="1"/>
  <c r="D32" i="2"/>
  <c r="D26" i="2"/>
  <c r="D28" i="2" s="1"/>
  <c r="D48" i="2" s="1"/>
  <c r="E32" i="2"/>
  <c r="I32" i="2"/>
  <c r="E26" i="2"/>
  <c r="E28" i="2" s="1"/>
  <c r="E48" i="2" s="1"/>
  <c r="AQ36" i="2"/>
  <c r="AQ32" i="2"/>
  <c r="O42" i="2"/>
  <c r="F32" i="2"/>
  <c r="J32" i="2"/>
  <c r="AQ26" i="2"/>
  <c r="AQ28" i="2" s="1"/>
  <c r="AQ48" i="2" s="1"/>
  <c r="AP26" i="2"/>
  <c r="AO26" i="2"/>
  <c r="AN26" i="2"/>
  <c r="I26" i="2"/>
  <c r="M41" i="2" s="1"/>
  <c r="H26" i="2"/>
  <c r="L41" i="2" s="1"/>
  <c r="F26" i="2"/>
  <c r="F28" i="2" s="1"/>
  <c r="F48" i="2" s="1"/>
  <c r="J26" i="2"/>
  <c r="N41" i="2" s="1"/>
  <c r="T99" i="2"/>
  <c r="S99" i="2"/>
  <c r="P95" i="2"/>
  <c r="Q95" i="2" s="1"/>
  <c r="P90" i="2"/>
  <c r="Q90" i="2" s="1"/>
  <c r="P89" i="2"/>
  <c r="Q89" i="2" s="1"/>
  <c r="P86" i="2"/>
  <c r="Q86" i="2" s="1"/>
  <c r="P84" i="2"/>
  <c r="Q84" i="2" s="1"/>
  <c r="P80" i="2"/>
  <c r="Q80" i="2" s="1"/>
  <c r="P79" i="2"/>
  <c r="Q79" i="2" s="1"/>
  <c r="P78" i="2"/>
  <c r="Q78" i="2" s="1"/>
  <c r="P77" i="2"/>
  <c r="Q77" i="2" s="1"/>
  <c r="P76" i="2"/>
  <c r="Q76" i="2" s="1"/>
  <c r="P64" i="2"/>
  <c r="P73" i="2" s="1"/>
  <c r="P58" i="2"/>
  <c r="P53" i="2"/>
  <c r="O93" i="2"/>
  <c r="O94" i="2" s="1"/>
  <c r="O85" i="2"/>
  <c r="O87" i="2" s="1"/>
  <c r="O81" i="2"/>
  <c r="O82" i="2" s="1"/>
  <c r="O101" i="2" s="1"/>
  <c r="O64" i="2"/>
  <c r="O73" i="2" s="1"/>
  <c r="O58" i="2"/>
  <c r="O53" i="2"/>
  <c r="U45" i="2"/>
  <c r="V45" i="2"/>
  <c r="T25" i="2"/>
  <c r="T26" i="2" s="1"/>
  <c r="T41" i="2" s="1"/>
  <c r="T42" i="2"/>
  <c r="T93" i="2"/>
  <c r="T94" i="2" s="1"/>
  <c r="T85" i="2"/>
  <c r="T84" i="2"/>
  <c r="T81" i="2"/>
  <c r="T82" i="2" s="1"/>
  <c r="T64" i="2"/>
  <c r="T73" i="2" s="1"/>
  <c r="T58" i="2"/>
  <c r="T53" i="2"/>
  <c r="T45" i="2"/>
  <c r="W16" i="2" l="1"/>
  <c r="AV31" i="2"/>
  <c r="AA11" i="2"/>
  <c r="AA12" i="2" s="1"/>
  <c r="AB28" i="2"/>
  <c r="T87" i="2"/>
  <c r="AA28" i="2"/>
  <c r="Q60" i="2"/>
  <c r="AW39" i="2"/>
  <c r="U60" i="2"/>
  <c r="V16" i="2"/>
  <c r="AO41" i="2"/>
  <c r="T60" i="2"/>
  <c r="X26" i="2"/>
  <c r="X28" i="2" s="1"/>
  <c r="AP41" i="2"/>
  <c r="T101" i="2"/>
  <c r="AN41" i="2"/>
  <c r="AQ41" i="2"/>
  <c r="AM41" i="2"/>
  <c r="X32" i="2"/>
  <c r="AB46" i="2" s="1"/>
  <c r="Y32" i="2"/>
  <c r="Q52" i="2"/>
  <c r="U52" i="2"/>
  <c r="Y26" i="2"/>
  <c r="Y28" i="2" s="1"/>
  <c r="U14" i="2"/>
  <c r="U26" i="2"/>
  <c r="U108" i="2" s="1"/>
  <c r="T52" i="2"/>
  <c r="W32" i="2"/>
  <c r="AA46" i="2" s="1"/>
  <c r="T14" i="2"/>
  <c r="G41" i="2"/>
  <c r="T15" i="2"/>
  <c r="U16" i="2" s="1"/>
  <c r="I41" i="2"/>
  <c r="J41" i="2"/>
  <c r="H41" i="2"/>
  <c r="C33" i="2"/>
  <c r="G33" i="2"/>
  <c r="J28" i="2"/>
  <c r="J48" i="2" s="1"/>
  <c r="H28" i="2"/>
  <c r="H48" i="2" s="1"/>
  <c r="D33" i="2"/>
  <c r="T96" i="2"/>
  <c r="P81" i="2"/>
  <c r="P85" i="2"/>
  <c r="Q85" i="2" s="1"/>
  <c r="Q87" i="2" s="1"/>
  <c r="I28" i="2"/>
  <c r="I48" i="2" s="1"/>
  <c r="O60" i="2"/>
  <c r="E33" i="2"/>
  <c r="T28" i="2"/>
  <c r="T11" i="2"/>
  <c r="AQ33" i="2"/>
  <c r="F33" i="2"/>
  <c r="O96" i="2"/>
  <c r="P60" i="2"/>
  <c r="P93" i="2"/>
  <c r="L32" i="2"/>
  <c r="K32" i="2"/>
  <c r="W34" i="2"/>
  <c r="AV34" i="2" s="1"/>
  <c r="M32" i="2"/>
  <c r="R94" i="2"/>
  <c r="R85" i="2"/>
  <c r="R87" i="2" s="1"/>
  <c r="R81" i="2"/>
  <c r="R82" i="2" s="1"/>
  <c r="R101" i="2" s="1"/>
  <c r="N64" i="2"/>
  <c r="N73" i="2" s="1"/>
  <c r="R64" i="2"/>
  <c r="R73" i="2" s="1"/>
  <c r="R58" i="2"/>
  <c r="R53" i="2"/>
  <c r="N58" i="2"/>
  <c r="N53" i="2"/>
  <c r="AS45" i="2"/>
  <c r="AT45" i="2"/>
  <c r="AT26" i="2"/>
  <c r="AS26" i="2"/>
  <c r="AR26" i="2"/>
  <c r="R45" i="2"/>
  <c r="S45" i="2"/>
  <c r="AX31" i="2"/>
  <c r="AY31" i="2" s="1"/>
  <c r="AZ31" i="2" s="1"/>
  <c r="BA31" i="2" s="1"/>
  <c r="BB31" i="2" s="1"/>
  <c r="BC31" i="2" s="1"/>
  <c r="AT32" i="2"/>
  <c r="AS32" i="2"/>
  <c r="AO2" i="2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N32" i="2"/>
  <c r="N28" i="2"/>
  <c r="N48" i="2" s="1"/>
  <c r="M28" i="2"/>
  <c r="M48" i="2" s="1"/>
  <c r="L28" i="2"/>
  <c r="L48" i="2" s="1"/>
  <c r="R28" i="2"/>
  <c r="R48" i="2" s="1"/>
  <c r="Q28" i="2"/>
  <c r="Q48" i="2" s="1"/>
  <c r="P28" i="2"/>
  <c r="P48" i="2" s="1"/>
  <c r="R32" i="2"/>
  <c r="Q32" i="2"/>
  <c r="P32" i="2"/>
  <c r="O32" i="2"/>
  <c r="P41" i="2"/>
  <c r="R42" i="2"/>
  <c r="Q42" i="2"/>
  <c r="P42" i="2"/>
  <c r="R41" i="2"/>
  <c r="Q41" i="2"/>
  <c r="S25" i="2"/>
  <c r="R25" i="2"/>
  <c r="Q25" i="2"/>
  <c r="P25" i="2"/>
  <c r="P15" i="2" s="1"/>
  <c r="O25" i="2"/>
  <c r="O26" i="2" s="1"/>
  <c r="N25" i="2"/>
  <c r="N15" i="2" s="1"/>
  <c r="M25" i="2"/>
  <c r="M15" i="2" s="1"/>
  <c r="L25" i="2"/>
  <c r="L15" i="2" s="1"/>
  <c r="K25" i="2"/>
  <c r="K15" i="2" s="1"/>
  <c r="R11" i="2"/>
  <c r="Q11" i="2"/>
  <c r="P11" i="2"/>
  <c r="N11" i="2"/>
  <c r="M11" i="2"/>
  <c r="L11" i="2"/>
  <c r="S42" i="2"/>
  <c r="S93" i="2"/>
  <c r="S84" i="2"/>
  <c r="U84" i="2" s="1"/>
  <c r="S85" i="2"/>
  <c r="U85" i="2" s="1"/>
  <c r="S81" i="2"/>
  <c r="S82" i="2" s="1"/>
  <c r="S64" i="2"/>
  <c r="S73" i="2" s="1"/>
  <c r="S58" i="2"/>
  <c r="S53" i="2"/>
  <c r="S52" i="2" s="1"/>
  <c r="S32" i="2"/>
  <c r="AB33" i="2" l="1"/>
  <c r="AB48" i="2"/>
  <c r="AB41" i="2"/>
  <c r="AA33" i="2"/>
  <c r="AA48" i="2"/>
  <c r="R46" i="2"/>
  <c r="G35" i="2"/>
  <c r="G37" i="2" s="1"/>
  <c r="G38" i="2" s="1"/>
  <c r="G49" i="2"/>
  <c r="C35" i="2"/>
  <c r="C37" i="2" s="1"/>
  <c r="C38" i="2" s="1"/>
  <c r="C49" i="2"/>
  <c r="E35" i="2"/>
  <c r="E37" i="2" s="1"/>
  <c r="E38" i="2" s="1"/>
  <c r="E49" i="2"/>
  <c r="D35" i="2"/>
  <c r="D50" i="2" s="1"/>
  <c r="D49" i="2"/>
  <c r="AQ35" i="2"/>
  <c r="AQ37" i="2" s="1"/>
  <c r="AQ38" i="2" s="1"/>
  <c r="AQ49" i="2"/>
  <c r="F35" i="2"/>
  <c r="F50" i="2" s="1"/>
  <c r="F49" i="2"/>
  <c r="Q46" i="2"/>
  <c r="Z32" i="2"/>
  <c r="AV32" i="2" s="1"/>
  <c r="S46" i="2"/>
  <c r="W46" i="2"/>
  <c r="S101" i="2"/>
  <c r="I33" i="2"/>
  <c r="X41" i="2"/>
  <c r="Z48" i="2"/>
  <c r="S94" i="2"/>
  <c r="U93" i="2"/>
  <c r="U94" i="2" s="1"/>
  <c r="R60" i="2"/>
  <c r="R52" i="2"/>
  <c r="Y41" i="2"/>
  <c r="Q12" i="2"/>
  <c r="U81" i="2"/>
  <c r="U82" i="2" s="1"/>
  <c r="U101" i="2" s="1"/>
  <c r="U102" i="2" s="1"/>
  <c r="U87" i="2"/>
  <c r="P87" i="2"/>
  <c r="S14" i="2"/>
  <c r="W26" i="2"/>
  <c r="P82" i="2"/>
  <c r="P101" i="2" s="1"/>
  <c r="Q81" i="2"/>
  <c r="Q82" i="2" s="1"/>
  <c r="Q101" i="2" s="1"/>
  <c r="P94" i="2"/>
  <c r="Q93" i="2"/>
  <c r="Q94" i="2" s="1"/>
  <c r="J33" i="2"/>
  <c r="H33" i="2"/>
  <c r="AS28" i="2"/>
  <c r="AS48" i="2" s="1"/>
  <c r="AS41" i="2"/>
  <c r="AR28" i="2"/>
  <c r="AR41" i="2"/>
  <c r="Q15" i="2"/>
  <c r="Q16" i="2" s="1"/>
  <c r="U17" i="2" s="1"/>
  <c r="U41" i="2"/>
  <c r="R15" i="2"/>
  <c r="Z41" i="2"/>
  <c r="T32" i="2"/>
  <c r="AT53" i="2"/>
  <c r="N60" i="2"/>
  <c r="AT41" i="2"/>
  <c r="U32" i="2"/>
  <c r="T48" i="2"/>
  <c r="S26" i="2"/>
  <c r="R96" i="2"/>
  <c r="K26" i="2"/>
  <c r="AT28" i="2"/>
  <c r="AT48" i="2" s="1"/>
  <c r="M33" i="2"/>
  <c r="Q14" i="2"/>
  <c r="O15" i="2"/>
  <c r="O16" i="2" s="1"/>
  <c r="R12" i="2"/>
  <c r="W39" i="2"/>
  <c r="L33" i="2"/>
  <c r="P33" i="2"/>
  <c r="V32" i="2"/>
  <c r="V46" i="2" s="1"/>
  <c r="Q33" i="2"/>
  <c r="R33" i="2"/>
  <c r="O14" i="2"/>
  <c r="P14" i="2"/>
  <c r="O28" i="2"/>
  <c r="N33" i="2"/>
  <c r="M16" i="2"/>
  <c r="M14" i="2"/>
  <c r="S15" i="2"/>
  <c r="T16" i="2" s="1"/>
  <c r="R14" i="2"/>
  <c r="N14" i="2"/>
  <c r="L14" i="2"/>
  <c r="K14" i="2"/>
  <c r="L16" i="2"/>
  <c r="N16" i="2"/>
  <c r="M12" i="2"/>
  <c r="N12" i="2"/>
  <c r="O11" i="2"/>
  <c r="P12" i="2" s="1"/>
  <c r="S87" i="2"/>
  <c r="S60" i="2"/>
  <c r="W11" i="2" l="1"/>
  <c r="W12" i="2" s="1"/>
  <c r="AA41" i="2"/>
  <c r="AB49" i="2"/>
  <c r="AB35" i="2"/>
  <c r="G50" i="2"/>
  <c r="AU32" i="2"/>
  <c r="E50" i="2"/>
  <c r="AA35" i="2"/>
  <c r="AA49" i="2"/>
  <c r="AV26" i="2"/>
  <c r="D37" i="2"/>
  <c r="D38" i="2" s="1"/>
  <c r="F37" i="2"/>
  <c r="F38" i="2" s="1"/>
  <c r="C50" i="2"/>
  <c r="T102" i="2"/>
  <c r="W41" i="2"/>
  <c r="N35" i="2"/>
  <c r="N37" i="2" s="1"/>
  <c r="N38" i="2" s="1"/>
  <c r="N49" i="2"/>
  <c r="R35" i="2"/>
  <c r="R37" i="2" s="1"/>
  <c r="R49" i="2"/>
  <c r="Q35" i="2"/>
  <c r="Q37" i="2" s="1"/>
  <c r="Q49" i="2"/>
  <c r="M35" i="2"/>
  <c r="M50" i="2" s="1"/>
  <c r="M49" i="2"/>
  <c r="J35" i="2"/>
  <c r="J37" i="2" s="1"/>
  <c r="J38" i="2" s="1"/>
  <c r="J49" i="2"/>
  <c r="I35" i="2"/>
  <c r="I49" i="2"/>
  <c r="AQ50" i="2"/>
  <c r="P35" i="2"/>
  <c r="P37" i="2" s="1"/>
  <c r="P49" i="2"/>
  <c r="L35" i="2"/>
  <c r="L50" i="2" s="1"/>
  <c r="L49" i="2"/>
  <c r="S96" i="2"/>
  <c r="H35" i="2"/>
  <c r="H49" i="2"/>
  <c r="Z33" i="2"/>
  <c r="U46" i="2"/>
  <c r="Y46" i="2"/>
  <c r="T33" i="2"/>
  <c r="T46" i="2"/>
  <c r="X46" i="2"/>
  <c r="Z46" i="2"/>
  <c r="W28" i="2"/>
  <c r="Y48" i="2"/>
  <c r="Y33" i="2"/>
  <c r="P96" i="2"/>
  <c r="X48" i="2"/>
  <c r="X33" i="2"/>
  <c r="U96" i="2"/>
  <c r="Q13" i="2"/>
  <c r="S11" i="2"/>
  <c r="S12" i="2" s="1"/>
  <c r="S41" i="2"/>
  <c r="AU26" i="2"/>
  <c r="S16" i="2"/>
  <c r="U28" i="2"/>
  <c r="U33" i="2" s="1"/>
  <c r="U11" i="2"/>
  <c r="S102" i="2"/>
  <c r="R102" i="2"/>
  <c r="O41" i="2"/>
  <c r="K41" i="2"/>
  <c r="AS33" i="2"/>
  <c r="Q96" i="2"/>
  <c r="R16" i="2"/>
  <c r="AR48" i="2"/>
  <c r="AR33" i="2"/>
  <c r="AT33" i="2"/>
  <c r="V48" i="2"/>
  <c r="V41" i="2"/>
  <c r="P16" i="2"/>
  <c r="T17" i="2" s="1"/>
  <c r="K11" i="2"/>
  <c r="L12" i="2" s="1"/>
  <c r="P13" i="2" s="1"/>
  <c r="K28" i="2"/>
  <c r="AX39" i="2"/>
  <c r="R13" i="2"/>
  <c r="O33" i="2"/>
  <c r="O48" i="2"/>
  <c r="Q17" i="2"/>
  <c r="S28" i="2"/>
  <c r="O12" i="2"/>
  <c r="AB37" i="2" l="1"/>
  <c r="AB50" i="2"/>
  <c r="AA13" i="2"/>
  <c r="W13" i="2"/>
  <c r="AU28" i="2"/>
  <c r="AX26" i="2"/>
  <c r="AY26" i="2" s="1"/>
  <c r="AW28" i="2"/>
  <c r="W27" i="2"/>
  <c r="AV27" i="2" s="1"/>
  <c r="AV28" i="2"/>
  <c r="AA37" i="2"/>
  <c r="AA50" i="2"/>
  <c r="Z35" i="2"/>
  <c r="R50" i="2"/>
  <c r="N50" i="2"/>
  <c r="S17" i="2"/>
  <c r="W17" i="2"/>
  <c r="M37" i="2"/>
  <c r="M38" i="2" s="1"/>
  <c r="AT35" i="2"/>
  <c r="AT37" i="2" s="1"/>
  <c r="AT38" i="2" s="1"/>
  <c r="AT49" i="2"/>
  <c r="L37" i="2"/>
  <c r="L38" i="2" s="1"/>
  <c r="AR35" i="2"/>
  <c r="AR37" i="2" s="1"/>
  <c r="AR38" i="2" s="1"/>
  <c r="AR49" i="2"/>
  <c r="Y35" i="2"/>
  <c r="Y50" i="2" s="1"/>
  <c r="Y49" i="2"/>
  <c r="P50" i="2"/>
  <c r="Q50" i="2"/>
  <c r="Z49" i="2"/>
  <c r="H50" i="2"/>
  <c r="H37" i="2"/>
  <c r="H38" i="2" s="1"/>
  <c r="X35" i="2"/>
  <c r="X50" i="2" s="1"/>
  <c r="X49" i="2"/>
  <c r="I37" i="2"/>
  <c r="I38" i="2" s="1"/>
  <c r="I50" i="2"/>
  <c r="R17" i="2"/>
  <c r="V17" i="2"/>
  <c r="O35" i="2"/>
  <c r="O37" i="2" s="1"/>
  <c r="O49" i="2"/>
  <c r="AS35" i="2"/>
  <c r="AS37" i="2" s="1"/>
  <c r="AS38" i="2" s="1"/>
  <c r="AS49" i="2"/>
  <c r="T35" i="2"/>
  <c r="T50" i="2" s="1"/>
  <c r="T49" i="2"/>
  <c r="J50" i="2"/>
  <c r="U12" i="2"/>
  <c r="U13" i="2" s="1"/>
  <c r="V12" i="2"/>
  <c r="V13" i="2" s="1"/>
  <c r="U35" i="2"/>
  <c r="U50" i="2" s="1"/>
  <c r="U49" i="2"/>
  <c r="T12" i="2"/>
  <c r="T13" i="2" s="1"/>
  <c r="W48" i="2"/>
  <c r="W33" i="2"/>
  <c r="AV33" i="2" s="1"/>
  <c r="V33" i="2"/>
  <c r="S13" i="2"/>
  <c r="P17" i="2"/>
  <c r="Q38" i="2"/>
  <c r="Q75" i="2"/>
  <c r="U48" i="2"/>
  <c r="P38" i="2"/>
  <c r="P75" i="2"/>
  <c r="K48" i="2"/>
  <c r="K33" i="2"/>
  <c r="R38" i="2"/>
  <c r="R75" i="2"/>
  <c r="S33" i="2"/>
  <c r="AU33" i="2" s="1"/>
  <c r="S48" i="2"/>
  <c r="AY39" i="2"/>
  <c r="AU41" i="2"/>
  <c r="AU48" i="2"/>
  <c r="AX32" i="2"/>
  <c r="AA38" i="2" l="1"/>
  <c r="AA75" i="2"/>
  <c r="AB75" i="2"/>
  <c r="AB38" i="2"/>
  <c r="Z50" i="2"/>
  <c r="AT50" i="2"/>
  <c r="AR50" i="2"/>
  <c r="Y37" i="2"/>
  <c r="Y38" i="2" s="1"/>
  <c r="K35" i="2"/>
  <c r="K37" i="2" s="1"/>
  <c r="K38" i="2" s="1"/>
  <c r="K49" i="2"/>
  <c r="X37" i="2"/>
  <c r="X38" i="2" s="1"/>
  <c r="W35" i="2"/>
  <c r="W36" i="2" s="1"/>
  <c r="W49" i="2"/>
  <c r="AS50" i="2"/>
  <c r="S35" i="2"/>
  <c r="S49" i="2"/>
  <c r="O50" i="2"/>
  <c r="T37" i="2"/>
  <c r="Z37" i="2"/>
  <c r="V35" i="2"/>
  <c r="V49" i="2"/>
  <c r="O38" i="2"/>
  <c r="O75" i="2"/>
  <c r="U37" i="2"/>
  <c r="U75" i="2" s="1"/>
  <c r="AZ39" i="2"/>
  <c r="AY32" i="2"/>
  <c r="AV48" i="2"/>
  <c r="AV41" i="2"/>
  <c r="W50" i="2" l="1"/>
  <c r="AV36" i="2"/>
  <c r="S37" i="2"/>
  <c r="S75" i="2" s="1"/>
  <c r="AU35" i="2"/>
  <c r="AU50" i="2" s="1"/>
  <c r="AV35" i="2"/>
  <c r="Z38" i="2"/>
  <c r="K50" i="2"/>
  <c r="S50" i="2"/>
  <c r="W37" i="2"/>
  <c r="W38" i="2" s="1"/>
  <c r="T38" i="2"/>
  <c r="T75" i="2"/>
  <c r="AU49" i="2"/>
  <c r="V50" i="2"/>
  <c r="U38" i="2"/>
  <c r="BA39" i="2"/>
  <c r="AZ32" i="2"/>
  <c r="AV49" i="2"/>
  <c r="AW48" i="2"/>
  <c r="AW41" i="2"/>
  <c r="AV37" i="2" l="1"/>
  <c r="AV38" i="2" s="1"/>
  <c r="S38" i="2"/>
  <c r="V37" i="2"/>
  <c r="AU37" i="2" s="1"/>
  <c r="AU38" i="2" s="1"/>
  <c r="BB39" i="2"/>
  <c r="AW49" i="2"/>
  <c r="AX28" i="2"/>
  <c r="AX48" i="2" s="1"/>
  <c r="AX41" i="2"/>
  <c r="BA32" i="2"/>
  <c r="V38" i="2" l="1"/>
  <c r="AU53" i="2"/>
  <c r="AV50" i="2" s="1"/>
  <c r="BC39" i="2"/>
  <c r="BC32" i="2"/>
  <c r="BB32" i="2"/>
  <c r="AX27" i="2"/>
  <c r="AX33" i="2"/>
  <c r="AX49" i="2" s="1"/>
  <c r="AZ26" i="2"/>
  <c r="AY28" i="2"/>
  <c r="AY48" i="2" s="1"/>
  <c r="AY41" i="2"/>
  <c r="AW38" i="2" l="1"/>
  <c r="BA26" i="2"/>
  <c r="AZ28" i="2"/>
  <c r="AZ27" i="2" s="1"/>
  <c r="AZ41" i="2"/>
  <c r="AY27" i="2"/>
  <c r="AY33" i="2"/>
  <c r="AY49" i="2" s="1"/>
  <c r="AZ33" i="2" l="1"/>
  <c r="AZ49" i="2" s="1"/>
  <c r="AZ48" i="2"/>
  <c r="BB26" i="2"/>
  <c r="BA28" i="2"/>
  <c r="BA27" i="2" s="1"/>
  <c r="BA41" i="2"/>
  <c r="BA33" i="2" l="1"/>
  <c r="BA49" i="2" s="1"/>
  <c r="BA48" i="2"/>
  <c r="AW50" i="2"/>
  <c r="BC26" i="2"/>
  <c r="BB28" i="2"/>
  <c r="BB27" i="2" s="1"/>
  <c r="BB41" i="2"/>
  <c r="BB33" i="2" l="1"/>
  <c r="BB49" i="2" s="1"/>
  <c r="BB48" i="2"/>
  <c r="BC41" i="2"/>
  <c r="BC28" i="2"/>
  <c r="BC33" i="2" l="1"/>
  <c r="BC49" i="2" s="1"/>
  <c r="BC48" i="2"/>
  <c r="BC27" i="2"/>
  <c r="AX35" i="2" l="1"/>
  <c r="AX36" i="2" l="1"/>
  <c r="AX50" i="2" s="1"/>
  <c r="AX37" i="2" l="1"/>
  <c r="AX38" i="2" l="1"/>
  <c r="AX53" i="2"/>
  <c r="AY34" i="2" l="1"/>
  <c r="AY35" i="2" s="1"/>
  <c r="AY36" i="2" s="1"/>
  <c r="AY50" i="2" s="1"/>
  <c r="AY37" i="2"/>
  <c r="AY38" i="2" s="1"/>
  <c r="AY53" i="2" l="1"/>
  <c r="AZ35" i="2"/>
  <c r="AZ36" i="2" l="1"/>
  <c r="AZ50" i="2" s="1"/>
  <c r="AZ37" i="2" l="1"/>
  <c r="AZ53" i="2" s="1"/>
  <c r="AZ38" i="2" l="1"/>
  <c r="BA34" i="2"/>
  <c r="BA35" i="2" l="1"/>
  <c r="BA36" i="2" l="1"/>
  <c r="BA50" i="2" s="1"/>
  <c r="BA37" i="2" l="1"/>
  <c r="BA53" i="2" s="1"/>
  <c r="BA38" i="2" l="1"/>
  <c r="BB34" i="2"/>
  <c r="BB35" i="2" l="1"/>
  <c r="BB36" i="2" l="1"/>
  <c r="BB50" i="2" s="1"/>
  <c r="BB37" i="2" l="1"/>
  <c r="BB53" i="2" s="1"/>
  <c r="BB38" i="2" l="1"/>
  <c r="BC34" i="2"/>
  <c r="BC35" i="2" l="1"/>
  <c r="BC36" i="2" l="1"/>
  <c r="BC50" i="2" s="1"/>
  <c r="BC37" i="2" l="1"/>
  <c r="BD37" i="2" l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BC53" i="2"/>
  <c r="BC38" i="2"/>
  <c r="BH54" i="2" l="1"/>
</calcChain>
</file>

<file path=xl/sharedStrings.xml><?xml version="1.0" encoding="utf-8"?>
<sst xmlns="http://schemas.openxmlformats.org/spreadsheetml/2006/main" count="165" uniqueCount="146">
  <si>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</si>
  <si>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</si>
  <si>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</si>
  <si>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</si>
  <si>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</si>
  <si>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</si>
  <si>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</si>
  <si>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</si>
  <si>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</si>
  <si>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</si>
  <si>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</si>
  <si>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</si>
  <si>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</si>
  <si>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</si>
  <si>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</si>
  <si>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</si>
  <si>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</si>
  <si>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</si>
  <si>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</si>
  <si>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</si>
  <si>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</si>
  <si>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</si>
  <si>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</si>
  <si>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</si>
  <si>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</si>
  <si>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</si>
  <si>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</si>
  <si>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</si>
  <si>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</si>
  <si>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</si>
  <si>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</si>
  <si>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</si>
  <si>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</si>
  <si>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</si>
  <si>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</si>
  <si>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</si>
  <si>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</si>
  <si>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</si>
  <si>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</si>
  <si>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</si>
  <si>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</si>
  <si>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</si>
  <si>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</si>
  <si>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</si>
  <si>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</si>
  <si>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</si>
  <si>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</si>
  <si>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</si>
  <si>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</si>
  <si>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</si>
  <si>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</si>
  <si>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</si>
  <si>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</si>
  <si>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</si>
  <si>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</si>
  <si>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</si>
  <si>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</si>
  <si>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</si>
  <si>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</si>
  <si>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</si>
  <si>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</si>
  <si>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</si>
  <si>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</si>
  <si>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</si>
  <si>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</si>
  <si>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</si>
  <si>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</si>
  <si>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</si>
  <si>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</si>
  <si>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</si>
  <si>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</si>
  <si>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</si>
  <si>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</si>
  <si>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</si>
  <si>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</si>
  <si>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</si>
  <si>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</si>
  <si>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</si>
  <si>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</si>
  <si>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</si>
  <si>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</si>
  <si>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</si>
  <si>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</si>
  <si>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</si>
  <si>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</si>
  <si>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</si>
  <si>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</si>
  <si>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</si>
  <si>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</si>
  <si>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</si>
  <si>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</si>
  <si>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</si>
  <si>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</si>
  <si>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</si>
  <si>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</si>
  <si>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</si>
  <si>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</si>
  <si>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</si>
  <si>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</si>
  <si>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</si>
  <si>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</si>
  <si>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</si>
  <si>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</si>
  <si>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</si>
  <si>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</si>
  <si>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</si>
  <si>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</si>
  <si>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</si>
  <si>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</si>
  <si>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</si>
  <si>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</si>
  <si>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</si>
  <si>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</si>
  <si>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</si>
  <si>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</si>
  <si>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</si>
  <si>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</si>
  <si>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</si>
  <si>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</si>
  <si>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</si>
  <si>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</si>
  <si>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ROW Ads</t>
  </si>
  <si>
    <t>Q418</t>
  </si>
  <si>
    <t>Q318</t>
  </si>
  <si>
    <t>Q218</t>
  </si>
  <si>
    <t>Q118</t>
  </si>
  <si>
    <t>Stories?</t>
  </si>
  <si>
    <t>FCF</t>
  </si>
  <si>
    <t>FCF TTM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</si>
  <si>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</si>
  <si>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</si>
  <si>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</si>
  <si>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</si>
  <si>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</si>
  <si>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</si>
  <si>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</si>
  <si>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</si>
  <si>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</si>
  <si>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</si>
  <si>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</si>
  <si>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</si>
  <si>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</si>
  <si>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</si>
  <si>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</si>
  <si>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LTIT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</si>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</sst>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14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749556</xdr:colOff>
      <xdr:row>0</xdr:row>
      <xdr:rowOff>126120</xdr:rowOff>
    </xdr:from>
    <xdr:to>
      <xdr:col>28</xdr:col>
      <xdr:colOff>749556</xdr:colOff>
      <xdr:row>123</xdr:row>
      <xdr:rowOff>126121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8463213" y="126120"/>
          <a:ext cx="0" cy="192348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581025</xdr:colOff>
      <xdr:row>1</xdr:row>
      <xdr:rowOff>167640</xdr:rowOff>
    </xdr:from>
    <xdr:to>
      <xdr:col>47</xdr:col>
      <xdr:colOff>581025</xdr:colOff>
      <xdr:row>59</xdr:row>
      <xdr:rowOff>20955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26289000" y="339090"/>
          <a:ext cx="0" cy="97974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topLeftCell="B1" zoomScale="140" zoomScaleNormal="140" workbookViewId="0">
      <selection activeCell="M7" sqref="M7"/>
    </sheetView>
  </sheetViews>
  <sheetFormatPr defaultColWidth="8.6640625" defaultRowHeight="13.2" x14ac:dyDescent="0.25"/>
  <cols>
    <col min="2" max="2" width="13" customWidth="1"/>
    <col min="13" max="13" width="9.6640625" bestFit="1" customWidth="1"/>
  </cols>
  <sheetData>
    <row r="1" spans="1:14" x14ac:dyDescent="0.25">
      <c r="A1" t="s">
        <v>0</v>
      </c>
    </row>
    <row r="2" spans="1:14" x14ac:dyDescent="0.25">
      <c r="L2" t="s">
        <v>1</v>
      </c>
      <c r="M2" s="17">
        <v>567.16</v>
      </c>
      <c r="N2" s="1" t="s">
        <v>142</v>
      </c>
    </row>
    <row r="3" spans="1:14" x14ac:dyDescent="0.25">
      <c r="B3" t="s">
        <v>29</v>
      </c>
      <c r="C3" t="s">
        <v>106</v>
      </c>
      <c r="L3" t="s">
        <v>2</v>
      </c>
      <c r="M3" s="3">
        <v>2600</v>
      </c>
      <c r="N3" s="1" t="s">
        <v>142</v>
      </c>
    </row>
    <row r="4" spans="1:14" x14ac:dyDescent="0.25">
      <c r="B4" t="s">
        <v>30</v>
      </c>
      <c r="C4" t="s">
        <v>105</v>
      </c>
      <c r="L4" t="s">
        <v>3</v>
      </c>
      <c r="M4" s="3">
        <f>M3*M2</f>
        <v>1474616</v>
      </c>
      <c r="N4" s="1" t="s">
        <v>142</v>
      </c>
    </row>
    <row r="5" spans="1:14" x14ac:dyDescent="0.25">
      <c r="C5" t="s">
        <v>126</v>
      </c>
      <c r="L5" t="s">
        <v>4</v>
      </c>
      <c r="M5" s="3">
        <v>76971</v>
      </c>
      <c r="N5" s="1" t="s">
        <v>142</v>
      </c>
    </row>
    <row r="6" spans="1:14" x14ac:dyDescent="0.25">
      <c r="B6" t="s">
        <v>31</v>
      </c>
      <c r="L6" t="s">
        <v>5</v>
      </c>
      <c r="M6" s="3">
        <v>28823</v>
      </c>
      <c r="N6" s="1" t="s">
        <v>142</v>
      </c>
    </row>
    <row r="7" spans="1:14" x14ac:dyDescent="0.25">
      <c r="L7" t="s">
        <v>6</v>
      </c>
      <c r="M7" s="3">
        <f>M4+M6-M5</f>
        <v>1426468</v>
      </c>
      <c r="N7" s="1" t="s">
        <v>142</v>
      </c>
    </row>
    <row r="8" spans="1:14" x14ac:dyDescent="0.25">
      <c r="B8" s="5" t="s">
        <v>34</v>
      </c>
    </row>
    <row r="9" spans="1:14" x14ac:dyDescent="0.25">
      <c r="B9" t="s">
        <v>32</v>
      </c>
    </row>
    <row r="10" spans="1:14" x14ac:dyDescent="0.25">
      <c r="B10" t="s">
        <v>33</v>
      </c>
      <c r="L10" t="s">
        <v>90</v>
      </c>
      <c r="M10" s="3">
        <v>1865.970703</v>
      </c>
    </row>
    <row r="11" spans="1:14" x14ac:dyDescent="0.25">
      <c r="L11" t="s">
        <v>91</v>
      </c>
      <c r="M11" s="3">
        <v>366.55794300000002</v>
      </c>
    </row>
    <row r="15" spans="1:14" x14ac:dyDescent="0.25">
      <c r="B15" t="s">
        <v>86</v>
      </c>
    </row>
    <row r="16" spans="1:14" x14ac:dyDescent="0.25">
      <c r="B16" t="s">
        <v>109</v>
      </c>
    </row>
    <row r="17" spans="2:12" x14ac:dyDescent="0.25">
      <c r="B17" t="s">
        <v>87</v>
      </c>
    </row>
    <row r="18" spans="2:12" x14ac:dyDescent="0.25">
      <c r="B18" t="s">
        <v>92</v>
      </c>
      <c r="L18" s="5" t="s">
        <v>75</v>
      </c>
    </row>
    <row r="19" spans="2:12" x14ac:dyDescent="0.25">
      <c r="B19" t="s">
        <v>102</v>
      </c>
      <c r="L19" t="s">
        <v>131</v>
      </c>
    </row>
    <row r="24" spans="2:12" x14ac:dyDescent="0.25">
      <c r="B24" t="s">
        <v>88</v>
      </c>
    </row>
    <row r="25" spans="2:12" x14ac:dyDescent="0.25">
      <c r="B25" t="s">
        <v>89</v>
      </c>
    </row>
    <row r="27" spans="2:12" x14ac:dyDescent="0.25">
      <c r="B27" t="s">
        <v>93</v>
      </c>
    </row>
    <row r="28" spans="2:12" x14ac:dyDescent="0.25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DG110"/>
  <sheetViews>
    <sheetView tabSelected="1" zoomScale="67" zoomScaleNormal="100" workbookViewId="0">
      <pane xSplit="2" ySplit="2" topLeftCell="AR27" activePane="bottomRight" state="frozen"/>
      <selection pane="topRight" activeCell="C1" sqref="C1"/>
      <selection pane="bottomLeft" activeCell="A3" sqref="A3"/>
      <selection pane="bottomRight" activeCell="AZ34" sqref="AZ34"/>
    </sheetView>
  </sheetViews>
  <sheetFormatPr defaultColWidth="8.6640625" defaultRowHeight="13.2" x14ac:dyDescent="0.25"/>
  <cols>
    <col min="1" max="1" width="5" bestFit="1" customWidth="1"/>
    <col min="2" max="2" width="19" customWidth="1"/>
    <col min="3" max="25" width="9.109375" style="1"/>
    <col min="27" max="27" width="10.88671875" style="3" bestFit="1" customWidth="1"/>
    <col min="28" max="30" width="11.33203125" style="3" bestFit="1" customWidth="1"/>
    <col min="31" max="58" width="8.6640625" style="3"/>
    <col min="59" max="59" width="9.33203125" style="3" bestFit="1" customWidth="1"/>
    <col min="60" max="60" width="10.5546875" style="3" bestFit="1" customWidth="1"/>
    <col min="61" max="16384" width="8.6640625" style="3"/>
  </cols>
  <sheetData>
    <row r="1" spans="1:55" customFormat="1" x14ac:dyDescent="0.25">
      <c r="A1" s="2" t="s">
        <v>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A1" s="22">
        <v>45382</v>
      </c>
      <c r="AB1" s="22">
        <f>AA1+91</f>
        <v>45473</v>
      </c>
      <c r="AC1" s="22">
        <f>AB1+92</f>
        <v>45565</v>
      </c>
      <c r="AD1" s="22">
        <f>AC1+90</f>
        <v>45655</v>
      </c>
    </row>
    <row r="2" spans="1:55" customFormat="1" x14ac:dyDescent="0.25">
      <c r="C2" s="1" t="s">
        <v>125</v>
      </c>
      <c r="D2" s="1" t="s">
        <v>124</v>
      </c>
      <c r="E2" s="1" t="s">
        <v>123</v>
      </c>
      <c r="F2" s="1" t="s">
        <v>122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A2" s="1" t="s">
        <v>140</v>
      </c>
      <c r="AB2" s="1" t="s">
        <v>141</v>
      </c>
      <c r="AC2" s="1" t="s">
        <v>142</v>
      </c>
      <c r="AD2" s="1" t="s">
        <v>143</v>
      </c>
      <c r="AE2" s="1"/>
      <c r="AF2" s="1"/>
      <c r="AG2" s="1"/>
      <c r="AH2" s="1"/>
      <c r="AI2" s="1"/>
      <c r="AJ2" s="1"/>
      <c r="AL2">
        <v>2013</v>
      </c>
      <c r="AM2">
        <v>2014</v>
      </c>
      <c r="AN2">
        <v>2015</v>
      </c>
      <c r="AO2">
        <f>+AN2+1</f>
        <v>2016</v>
      </c>
      <c r="AP2">
        <f t="shared" ref="AP2:BC2" si="0">+AO2+1</f>
        <v>2017</v>
      </c>
      <c r="AQ2">
        <f t="shared" si="0"/>
        <v>2018</v>
      </c>
      <c r="AR2">
        <f t="shared" si="0"/>
        <v>2019</v>
      </c>
      <c r="AS2">
        <f t="shared" si="0"/>
        <v>2020</v>
      </c>
      <c r="AT2">
        <f t="shared" si="0"/>
        <v>2021</v>
      </c>
      <c r="AU2">
        <f t="shared" si="0"/>
        <v>2022</v>
      </c>
      <c r="AV2">
        <f t="shared" si="0"/>
        <v>2023</v>
      </c>
      <c r="AW2">
        <f t="shared" si="0"/>
        <v>2024</v>
      </c>
      <c r="AX2">
        <f t="shared" si="0"/>
        <v>2025</v>
      </c>
      <c r="AY2">
        <f t="shared" si="0"/>
        <v>2026</v>
      </c>
      <c r="AZ2">
        <f t="shared" si="0"/>
        <v>2027</v>
      </c>
      <c r="BA2">
        <f t="shared" si="0"/>
        <v>2028</v>
      </c>
      <c r="BB2">
        <f t="shared" si="0"/>
        <v>2029</v>
      </c>
      <c r="BC2">
        <f t="shared" si="0"/>
        <v>2030</v>
      </c>
    </row>
    <row r="3" spans="1:55" x14ac:dyDescent="0.25">
      <c r="A3" s="3"/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>
        <v>2960</v>
      </c>
      <c r="W3" s="6">
        <v>3020</v>
      </c>
      <c r="X3" s="6">
        <v>3070</v>
      </c>
      <c r="Y3" s="6">
        <v>3140</v>
      </c>
      <c r="Z3" s="3">
        <v>3190</v>
      </c>
      <c r="AA3" s="3">
        <v>3240</v>
      </c>
      <c r="AB3" s="3">
        <v>3270</v>
      </c>
      <c r="AC3" s="3">
        <v>3290</v>
      </c>
    </row>
    <row r="4" spans="1:55" x14ac:dyDescent="0.25">
      <c r="A4" s="3"/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>
        <v>3740</v>
      </c>
      <c r="W4" s="6">
        <v>3810</v>
      </c>
      <c r="X4" s="6">
        <v>3880</v>
      </c>
      <c r="Y4" s="6">
        <v>3950</v>
      </c>
      <c r="Z4" s="3">
        <v>3980</v>
      </c>
    </row>
    <row r="5" spans="1:55" x14ac:dyDescent="0.25">
      <c r="A5" s="3"/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1984</v>
      </c>
      <c r="V5" s="6">
        <v>2000</v>
      </c>
      <c r="W5" s="6">
        <v>2040</v>
      </c>
      <c r="X5" s="6">
        <v>2060</v>
      </c>
      <c r="Y5" s="6">
        <v>2090</v>
      </c>
      <c r="Z5" s="3">
        <v>2110</v>
      </c>
    </row>
    <row r="6" spans="1:55" x14ac:dyDescent="0.25">
      <c r="A6" s="3"/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>
        <v>197</v>
      </c>
      <c r="V6" s="20"/>
      <c r="W6" s="6"/>
      <c r="X6" s="6"/>
      <c r="Y6" s="6"/>
      <c r="Z6" s="3"/>
    </row>
    <row r="7" spans="1:55" x14ac:dyDescent="0.25">
      <c r="A7" s="3"/>
      <c r="B7" s="3" t="s">
        <v>139</v>
      </c>
      <c r="C7" s="6"/>
      <c r="D7" s="6"/>
      <c r="E7" s="6"/>
      <c r="F7" s="6"/>
      <c r="G7" s="6"/>
      <c r="H7" s="6"/>
      <c r="I7" s="6"/>
      <c r="J7" s="9"/>
      <c r="K7" s="9">
        <f t="shared" ref="K7" si="1">+K22/K6</f>
        <v>42.969230769230769</v>
      </c>
      <c r="L7" s="9">
        <f t="shared" ref="L7" si="2">+L22/L6</f>
        <v>45.752525252525253</v>
      </c>
      <c r="M7" s="9">
        <f t="shared" ref="M7" si="3">+M22/M6</f>
        <v>50.95918367346939</v>
      </c>
      <c r="N7" s="9">
        <f t="shared" ref="N7" si="4">+N22/N6</f>
        <v>67.435897435897431</v>
      </c>
      <c r="O7" s="9">
        <f t="shared" ref="O7" si="5">+O22/O6</f>
        <v>61.01025641025641</v>
      </c>
      <c r="P7" s="9">
        <f t="shared" ref="P7" si="6">+P22/P6</f>
        <v>68.543589743589749</v>
      </c>
      <c r="Q7" s="9">
        <f t="shared" ref="Q7:T7" si="7">+Q22/Q6</f>
        <v>66.806122448979593</v>
      </c>
      <c r="R7" s="9">
        <f t="shared" si="7"/>
        <v>77.241025641025644</v>
      </c>
      <c r="S7" s="9">
        <f t="shared" si="7"/>
        <v>61.346938775510203</v>
      </c>
      <c r="T7" s="9">
        <f t="shared" si="7"/>
        <v>64.913705583756339</v>
      </c>
      <c r="U7" s="9">
        <f>+U22/U6</f>
        <v>64.802030456852791</v>
      </c>
      <c r="V7" s="6"/>
      <c r="W7" s="6"/>
      <c r="X7" s="6"/>
      <c r="Y7" s="6"/>
      <c r="Z7" s="3"/>
    </row>
    <row r="8" spans="1:55" x14ac:dyDescent="0.25">
      <c r="A8" s="3"/>
      <c r="B8" s="3" t="s">
        <v>28</v>
      </c>
      <c r="C8" s="6"/>
      <c r="D8" s="6"/>
      <c r="E8" s="6"/>
      <c r="F8" s="6"/>
      <c r="G8" s="6">
        <v>2380</v>
      </c>
      <c r="H8" s="6">
        <v>2410</v>
      </c>
      <c r="I8" s="6">
        <v>2450</v>
      </c>
      <c r="J8" s="6">
        <v>2500</v>
      </c>
      <c r="K8" s="6">
        <v>2603</v>
      </c>
      <c r="L8" s="6">
        <v>2701</v>
      </c>
      <c r="M8" s="6">
        <v>2740</v>
      </c>
      <c r="N8" s="6">
        <v>2797</v>
      </c>
      <c r="O8" s="6">
        <v>2853</v>
      </c>
      <c r="P8" s="6">
        <v>2895</v>
      </c>
      <c r="Q8" s="6">
        <v>2910</v>
      </c>
      <c r="R8" s="6">
        <v>2912</v>
      </c>
      <c r="S8" s="6">
        <v>2936</v>
      </c>
      <c r="T8" s="6">
        <v>2934</v>
      </c>
      <c r="U8" s="6">
        <v>2958</v>
      </c>
      <c r="V8" s="6">
        <v>2960</v>
      </c>
      <c r="W8" s="6">
        <v>2990</v>
      </c>
      <c r="X8" s="6">
        <v>3030</v>
      </c>
      <c r="Y8" s="6">
        <v>3050</v>
      </c>
      <c r="Z8" s="3">
        <v>3070</v>
      </c>
    </row>
    <row r="9" spans="1:55" x14ac:dyDescent="0.25">
      <c r="A9" s="3"/>
      <c r="B9" s="3" t="s">
        <v>101</v>
      </c>
      <c r="C9" s="6"/>
      <c r="D9" s="6"/>
      <c r="E9" s="6"/>
      <c r="F9" s="6"/>
      <c r="G9" s="6"/>
      <c r="H9" s="6"/>
      <c r="I9" s="6"/>
      <c r="J9" s="6"/>
      <c r="K9" s="6">
        <v>253</v>
      </c>
      <c r="L9" s="6">
        <v>256</v>
      </c>
      <c r="M9" s="6">
        <v>255</v>
      </c>
      <c r="N9" s="6">
        <v>258</v>
      </c>
      <c r="O9" s="6">
        <v>259</v>
      </c>
      <c r="P9" s="6">
        <v>259</v>
      </c>
      <c r="Q9" s="6">
        <v>261</v>
      </c>
      <c r="R9" s="6">
        <v>262</v>
      </c>
      <c r="S9" s="6">
        <v>263</v>
      </c>
      <c r="T9" s="6">
        <v>264</v>
      </c>
      <c r="U9" s="6">
        <v>266</v>
      </c>
      <c r="V9" s="21"/>
      <c r="W9" s="6"/>
      <c r="X9" s="6"/>
      <c r="Y9" s="6"/>
      <c r="Z9" s="3"/>
    </row>
    <row r="10" spans="1:55" x14ac:dyDescent="0.25">
      <c r="A10" s="3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9"/>
      <c r="V10" s="6"/>
      <c r="W10" s="6"/>
      <c r="X10" s="6"/>
      <c r="Y10" s="6"/>
      <c r="Z10" s="3"/>
    </row>
    <row r="11" spans="1:55" x14ac:dyDescent="0.25">
      <c r="A11" s="3"/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9">
        <f t="shared" ref="K11:V11" si="8">+K26/K4</f>
        <v>5.9321070234113709</v>
      </c>
      <c r="L11" s="9">
        <f t="shared" si="8"/>
        <v>5.9512738853503189</v>
      </c>
      <c r="M11" s="9">
        <f t="shared" si="8"/>
        <v>6.6884735202492216</v>
      </c>
      <c r="N11" s="9">
        <f t="shared" si="8"/>
        <v>8.5066666666666659</v>
      </c>
      <c r="O11" s="9">
        <f t="shared" si="8"/>
        <v>7.5857971014492751</v>
      </c>
      <c r="P11" s="9">
        <f t="shared" si="8"/>
        <v>8.2840455840455842</v>
      </c>
      <c r="Q11" s="9">
        <f t="shared" si="8"/>
        <v>8.1033519553072626</v>
      </c>
      <c r="R11" s="9">
        <f t="shared" si="8"/>
        <v>9.3791086350974933</v>
      </c>
      <c r="S11" s="9">
        <f t="shared" si="8"/>
        <v>7.6670329670329673</v>
      </c>
      <c r="T11" s="9">
        <f t="shared" si="8"/>
        <v>7.8964383561643832</v>
      </c>
      <c r="U11" s="9">
        <f t="shared" si="8"/>
        <v>7.4700808625336927</v>
      </c>
      <c r="V11" s="9">
        <f t="shared" si="8"/>
        <v>8.6002673796791438</v>
      </c>
      <c r="W11" s="9">
        <f>+W26/W4</f>
        <v>7.5183727034120738</v>
      </c>
      <c r="X11" s="6"/>
      <c r="Y11" s="6"/>
      <c r="Z11" s="17">
        <v>11</v>
      </c>
      <c r="AA11" s="17">
        <f>AA26/AA3</f>
        <v>11.251543209876543</v>
      </c>
      <c r="AB11" s="17">
        <f>AB26/AB3</f>
        <v>11.948318042813456</v>
      </c>
      <c r="AC11" s="17">
        <f>AC26/AC3</f>
        <v>12.337082066869302</v>
      </c>
    </row>
    <row r="12" spans="1:55" x14ac:dyDescent="0.25">
      <c r="A12" s="3"/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9"/>
      <c r="L12" s="9">
        <f t="shared" ref="L12:R12" si="9">AVERAGE(K11:L11)</f>
        <v>5.9416904543808453</v>
      </c>
      <c r="M12" s="9">
        <f t="shared" si="9"/>
        <v>6.3198737027997698</v>
      </c>
      <c r="N12" s="9">
        <f t="shared" si="9"/>
        <v>7.5975700934579438</v>
      </c>
      <c r="O12" s="9">
        <f t="shared" si="9"/>
        <v>8.0462318840579705</v>
      </c>
      <c r="P12" s="9">
        <f t="shared" si="9"/>
        <v>7.9349213427474297</v>
      </c>
      <c r="Q12" s="9">
        <f t="shared" si="9"/>
        <v>8.1936987696764234</v>
      </c>
      <c r="R12" s="9">
        <f t="shared" si="9"/>
        <v>8.7412302952023779</v>
      </c>
      <c r="S12" s="9">
        <f>AVERAGE(R11:S11)</f>
        <v>8.5230708010652307</v>
      </c>
      <c r="T12" s="9">
        <f>AVERAGE(S11:T11)</f>
        <v>7.7817356615986757</v>
      </c>
      <c r="U12" s="9">
        <f>AVERAGE(T11:U11)</f>
        <v>7.6832596093490384</v>
      </c>
      <c r="V12" s="9">
        <f>AVERAGE(U11:V11)</f>
        <v>8.0351741211064187</v>
      </c>
      <c r="W12" s="9">
        <f>AVERAGE(V11:W11)</f>
        <v>8.0593200415456092</v>
      </c>
      <c r="X12" s="6"/>
      <c r="Y12" s="6"/>
      <c r="Z12" s="3"/>
      <c r="AA12" s="9">
        <f>AVERAGE(Z11:AA11)</f>
        <v>11.125771604938272</v>
      </c>
      <c r="AB12" s="9">
        <f>AVERAGE(AA11:AB11)</f>
        <v>11.599930626344999</v>
      </c>
      <c r="AC12" s="9">
        <f>AVERAGE(AB11:AC11)</f>
        <v>12.142700054841379</v>
      </c>
    </row>
    <row r="13" spans="1:55" s="13" customFormat="1" x14ac:dyDescent="0.25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6"/>
      <c r="P13" s="16">
        <f t="shared" ref="P13:R13" si="10">P12/L12-1</f>
        <v>0.33546528612862403</v>
      </c>
      <c r="Q13" s="16">
        <f t="shared" si="10"/>
        <v>0.29649723317200616</v>
      </c>
      <c r="R13" s="16">
        <f t="shared" si="10"/>
        <v>0.15052973354325583</v>
      </c>
      <c r="S13" s="16">
        <f>S12/O12-1</f>
        <v>5.9262388143700218E-2</v>
      </c>
      <c r="T13" s="16">
        <f>T12/P12-1</f>
        <v>-1.9305255154011935E-2</v>
      </c>
      <c r="U13" s="16">
        <f>U12/Q12-1</f>
        <v>-6.2296549418736191E-2</v>
      </c>
      <c r="V13" s="16">
        <f>V12/R12-1</f>
        <v>-8.0773089170694701E-2</v>
      </c>
      <c r="W13" s="16">
        <f>W12/S12-1</f>
        <v>-5.4411229279200723E-2</v>
      </c>
      <c r="X13" s="14"/>
      <c r="Y13" s="14"/>
      <c r="AA13" s="16">
        <f>AA12/W12-1</f>
        <v>0.38048514608989037</v>
      </c>
      <c r="AB13" s="16"/>
      <c r="AC13" s="16"/>
    </row>
    <row r="14" spans="1:55" x14ac:dyDescent="0.25">
      <c r="A14" s="3"/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9">
        <f t="shared" ref="K14:V14" si="11">+K25/K4</f>
        <v>5.8327759197324411</v>
      </c>
      <c r="L14" s="9">
        <f t="shared" si="11"/>
        <v>5.834713375796178</v>
      </c>
      <c r="M14" s="9">
        <f t="shared" si="11"/>
        <v>6.6109034267912774</v>
      </c>
      <c r="N14" s="9">
        <f t="shared" si="11"/>
        <v>8.2384848484848483</v>
      </c>
      <c r="O14" s="9">
        <f t="shared" si="11"/>
        <v>7.373623188405797</v>
      </c>
      <c r="P14" s="9">
        <f t="shared" si="11"/>
        <v>8.1424501424501425</v>
      </c>
      <c r="Q14" s="9">
        <f t="shared" si="11"/>
        <v>7.8983240223463689</v>
      </c>
      <c r="R14" s="9">
        <f t="shared" si="11"/>
        <v>9.0916434540389979</v>
      </c>
      <c r="S14" s="9">
        <f t="shared" si="11"/>
        <v>7.4170329670329673</v>
      </c>
      <c r="T14" s="9">
        <f t="shared" si="11"/>
        <v>7.7128767123287671</v>
      </c>
      <c r="U14" s="9">
        <f t="shared" si="11"/>
        <v>7.3415094339622637</v>
      </c>
      <c r="V14" s="9">
        <f t="shared" si="11"/>
        <v>8.3566844919786103</v>
      </c>
      <c r="W14" s="9">
        <f>+W25/W4</f>
        <v>7.3755905511811024</v>
      </c>
      <c r="X14" s="6"/>
      <c r="Y14" s="6"/>
      <c r="Z14" s="3"/>
    </row>
    <row r="15" spans="1:55" x14ac:dyDescent="0.25">
      <c r="A15" s="3"/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9">
        <f t="shared" ref="K15:W15" si="12">+K25/K3</f>
        <v>7.3898305084745761</v>
      </c>
      <c r="L15" s="9">
        <f t="shared" si="12"/>
        <v>7.4174089068825912</v>
      </c>
      <c r="M15" s="9">
        <f t="shared" si="12"/>
        <v>8.3547244094488189</v>
      </c>
      <c r="N15" s="9">
        <f t="shared" si="12"/>
        <v>10.456538461538461</v>
      </c>
      <c r="O15" s="9">
        <f t="shared" si="12"/>
        <v>9.3525735294117656</v>
      </c>
      <c r="P15" s="9">
        <f t="shared" si="12"/>
        <v>10.355072463768115</v>
      </c>
      <c r="Q15" s="9">
        <f t="shared" si="12"/>
        <v>10.062633451957295</v>
      </c>
      <c r="R15" s="9">
        <f t="shared" si="12"/>
        <v>11.574113475177304</v>
      </c>
      <c r="S15" s="9">
        <f t="shared" si="12"/>
        <v>9.4069686411149824</v>
      </c>
      <c r="T15" s="9">
        <f t="shared" si="12"/>
        <v>9.7750000000000004</v>
      </c>
      <c r="U15" s="9">
        <f t="shared" si="12"/>
        <v>9.2959044368600683</v>
      </c>
      <c r="V15" s="9">
        <f t="shared" si="12"/>
        <v>10.558783783783785</v>
      </c>
      <c r="W15" s="9">
        <f t="shared" si="12"/>
        <v>9.3049668874172191</v>
      </c>
      <c r="X15" s="6"/>
      <c r="Y15" s="6"/>
      <c r="Z15" s="3"/>
    </row>
    <row r="16" spans="1:55" x14ac:dyDescent="0.25">
      <c r="A16" s="3"/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9"/>
      <c r="L16" s="9">
        <f t="shared" ref="L16:R16" si="13">AVERAGE(K15:L15)</f>
        <v>7.4036197076785832</v>
      </c>
      <c r="M16" s="9">
        <f t="shared" si="13"/>
        <v>7.8860666581657046</v>
      </c>
      <c r="N16" s="9">
        <f t="shared" si="13"/>
        <v>9.405631435493639</v>
      </c>
      <c r="O16" s="9">
        <f t="shared" si="13"/>
        <v>9.9045559954751141</v>
      </c>
      <c r="P16" s="9">
        <f t="shared" si="13"/>
        <v>9.8538229965899404</v>
      </c>
      <c r="Q16" s="9">
        <f t="shared" si="13"/>
        <v>10.208852957862705</v>
      </c>
      <c r="R16" s="9">
        <f t="shared" si="13"/>
        <v>10.818373463567299</v>
      </c>
      <c r="S16" s="9">
        <f>AVERAGE(R15:S15)</f>
        <v>10.490541058146142</v>
      </c>
      <c r="T16" s="9">
        <f t="shared" ref="T16:U16" si="14">AVERAGE(S15:T15)</f>
        <v>9.5909843205574923</v>
      </c>
      <c r="U16" s="9">
        <f t="shared" si="14"/>
        <v>9.5354522184300343</v>
      </c>
      <c r="V16" s="9">
        <f>AVERAGE(U15:V15)</f>
        <v>9.9273441103219255</v>
      </c>
      <c r="W16" s="9">
        <f>AVERAGE(V15:W15)</f>
        <v>9.9318753356005018</v>
      </c>
      <c r="X16" s="6"/>
      <c r="Y16" s="6"/>
      <c r="Z16" s="3"/>
    </row>
    <row r="17" spans="2:55" s="13" customFormat="1" x14ac:dyDescent="0.25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>
        <f t="shared" ref="P17:R17" si="15">P16/L16-1</f>
        <v>0.33094667009573109</v>
      </c>
      <c r="Q17" s="16">
        <f t="shared" si="15"/>
        <v>0.29454307202588104</v>
      </c>
      <c r="R17" s="16">
        <f t="shared" si="15"/>
        <v>0.15020172093310546</v>
      </c>
      <c r="S17" s="16">
        <f>S16/O16-1</f>
        <v>5.9163183381338413E-2</v>
      </c>
      <c r="T17" s="16">
        <f>T16/P16-1</f>
        <v>-2.6673776880648981E-2</v>
      </c>
      <c r="U17" s="16">
        <f>U16/Q16-1</f>
        <v>-6.5962429100717701E-2</v>
      </c>
      <c r="V17" s="16">
        <f>V16/R16-1</f>
        <v>-8.2362598799723963E-2</v>
      </c>
      <c r="W17" s="16">
        <f>W16/S16-1</f>
        <v>-5.3254233451745958E-2</v>
      </c>
      <c r="X17" s="14"/>
      <c r="Y17" s="14"/>
    </row>
    <row r="18" spans="2:55" s="3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6"/>
      <c r="U18" s="6"/>
      <c r="V18" s="6"/>
      <c r="W18" s="6"/>
      <c r="X18" s="6"/>
      <c r="Y18" s="6"/>
    </row>
    <row r="19" spans="2:55" s="3" customFormat="1" x14ac:dyDescent="0.25">
      <c r="B19" s="3" t="s">
        <v>121</v>
      </c>
      <c r="C19" s="6"/>
      <c r="D19" s="6"/>
      <c r="E19" s="6"/>
      <c r="F19" s="6"/>
      <c r="G19" s="6"/>
      <c r="H19" s="6"/>
      <c r="I19" s="6"/>
      <c r="J19" s="6"/>
      <c r="K19" s="6">
        <v>1654</v>
      </c>
      <c r="L19" s="6">
        <v>1539</v>
      </c>
      <c r="M19" s="6">
        <v>1980</v>
      </c>
      <c r="N19" s="6">
        <v>2512</v>
      </c>
      <c r="O19" s="6">
        <v>2434</v>
      </c>
      <c r="P19" s="6">
        <v>2857</v>
      </c>
      <c r="Q19" s="6">
        <v>2963</v>
      </c>
      <c r="R19" s="6">
        <v>3220</v>
      </c>
      <c r="S19" s="6">
        <v>2949</v>
      </c>
      <c r="T19" s="6">
        <v>3169</v>
      </c>
      <c r="U19" s="6">
        <v>3047</v>
      </c>
      <c r="V19" s="20"/>
      <c r="W19" s="6"/>
      <c r="X19" s="6"/>
      <c r="Y19" s="6"/>
      <c r="AA19" s="3">
        <v>4519</v>
      </c>
      <c r="AB19" s="3">
        <v>4880</v>
      </c>
      <c r="AC19" s="3">
        <v>5088</v>
      </c>
      <c r="AD19" s="3">
        <v>5500</v>
      </c>
    </row>
    <row r="20" spans="2:55" s="3" customFormat="1" x14ac:dyDescent="0.25">
      <c r="B20" s="3" t="s">
        <v>107</v>
      </c>
      <c r="C20" s="6"/>
      <c r="D20" s="6"/>
      <c r="E20" s="6"/>
      <c r="F20" s="6"/>
      <c r="G20" s="6"/>
      <c r="H20" s="6"/>
      <c r="I20" s="6"/>
      <c r="J20" s="6"/>
      <c r="K20" s="6">
        <v>3236</v>
      </c>
      <c r="L20" s="6">
        <v>3312</v>
      </c>
      <c r="M20" s="6">
        <v>4202</v>
      </c>
      <c r="N20" s="6">
        <v>4703</v>
      </c>
      <c r="O20" s="6">
        <v>4735</v>
      </c>
      <c r="P20" s="6">
        <v>5152</v>
      </c>
      <c r="Q20" s="6">
        <v>5398</v>
      </c>
      <c r="R20" s="6">
        <v>6183</v>
      </c>
      <c r="S20" s="6">
        <v>5661</v>
      </c>
      <c r="T20" s="6">
        <v>5835</v>
      </c>
      <c r="U20" s="6">
        <v>5717</v>
      </c>
      <c r="V20" s="20"/>
      <c r="W20" s="6"/>
      <c r="X20" s="6"/>
      <c r="Y20" s="6"/>
      <c r="AA20" s="3">
        <v>7338</v>
      </c>
      <c r="AB20" s="3">
        <v>7721</v>
      </c>
      <c r="AC20" s="3">
        <v>8050</v>
      </c>
      <c r="AD20" s="3">
        <v>9000</v>
      </c>
    </row>
    <row r="21" spans="2:55" s="3" customFormat="1" x14ac:dyDescent="0.25">
      <c r="B21" s="3" t="s">
        <v>104</v>
      </c>
      <c r="C21" s="6"/>
      <c r="D21" s="6"/>
      <c r="E21" s="6"/>
      <c r="F21" s="6"/>
      <c r="G21" s="6"/>
      <c r="H21" s="6"/>
      <c r="I21" s="6"/>
      <c r="J21" s="6"/>
      <c r="K21" s="6">
        <v>4171</v>
      </c>
      <c r="L21" s="6">
        <v>4411</v>
      </c>
      <c r="M21" s="6">
        <v>5051</v>
      </c>
      <c r="N21" s="6">
        <v>6822</v>
      </c>
      <c r="O21" s="6">
        <v>6373</v>
      </c>
      <c r="P21" s="6">
        <v>7205</v>
      </c>
      <c r="Q21" s="6">
        <v>6821</v>
      </c>
      <c r="R21" s="6">
        <v>8174</v>
      </c>
      <c r="S21" s="6">
        <v>6364</v>
      </c>
      <c r="T21" s="6">
        <v>6360</v>
      </c>
      <c r="U21" s="6">
        <v>5707</v>
      </c>
      <c r="V21" s="20"/>
      <c r="W21" s="6"/>
      <c r="X21" s="6"/>
      <c r="Y21" s="6"/>
      <c r="AA21" s="3">
        <v>8327</v>
      </c>
      <c r="AB21" s="3">
        <v>9135</v>
      </c>
      <c r="AC21" s="3">
        <v>9358</v>
      </c>
      <c r="AD21" s="3">
        <v>10000</v>
      </c>
    </row>
    <row r="22" spans="2:55" s="3" customFormat="1" x14ac:dyDescent="0.25">
      <c r="B22" s="3" t="s">
        <v>103</v>
      </c>
      <c r="C22" s="6"/>
      <c r="D22" s="6"/>
      <c r="E22" s="6"/>
      <c r="F22" s="6"/>
      <c r="G22" s="6"/>
      <c r="H22" s="6"/>
      <c r="I22" s="6"/>
      <c r="J22" s="6"/>
      <c r="K22" s="6">
        <v>8379</v>
      </c>
      <c r="L22" s="6">
        <v>9059</v>
      </c>
      <c r="M22" s="6">
        <v>9988</v>
      </c>
      <c r="N22" s="6">
        <v>13150</v>
      </c>
      <c r="O22" s="6">
        <v>11897</v>
      </c>
      <c r="P22" s="6">
        <v>13366</v>
      </c>
      <c r="Q22" s="6">
        <v>13094</v>
      </c>
      <c r="R22" s="6">
        <v>15062</v>
      </c>
      <c r="S22" s="6">
        <v>12024</v>
      </c>
      <c r="T22" s="6">
        <v>12788</v>
      </c>
      <c r="U22" s="6">
        <v>12766</v>
      </c>
      <c r="V22" s="20"/>
      <c r="W22" s="6"/>
      <c r="X22" s="6"/>
      <c r="Y22" s="6"/>
      <c r="AA22" s="3">
        <v>15451</v>
      </c>
      <c r="AB22" s="3">
        <v>16593</v>
      </c>
      <c r="AC22" s="3">
        <v>17389</v>
      </c>
      <c r="AD22" s="3">
        <v>21000</v>
      </c>
    </row>
    <row r="23" spans="2:55" s="3" customFormat="1" x14ac:dyDescent="0.25">
      <c r="B23" s="3" t="s">
        <v>55</v>
      </c>
      <c r="C23" s="6">
        <v>171</v>
      </c>
      <c r="D23" s="6">
        <v>193</v>
      </c>
      <c r="E23" s="6">
        <v>188</v>
      </c>
      <c r="F23" s="6">
        <v>274</v>
      </c>
      <c r="G23" s="6">
        <v>165</v>
      </c>
      <c r="H23" s="6">
        <v>262</v>
      </c>
      <c r="I23" s="6">
        <v>269</v>
      </c>
      <c r="J23" s="6">
        <v>346</v>
      </c>
      <c r="K23" s="6">
        <v>297</v>
      </c>
      <c r="L23" s="6"/>
      <c r="M23" s="6"/>
      <c r="N23" s="6">
        <v>168</v>
      </c>
      <c r="O23" s="6">
        <v>198</v>
      </c>
      <c r="P23" s="6">
        <v>192</v>
      </c>
      <c r="Q23" s="6">
        <v>176</v>
      </c>
      <c r="R23" s="6">
        <v>155</v>
      </c>
      <c r="S23" s="6">
        <v>215</v>
      </c>
      <c r="T23" s="6">
        <v>218</v>
      </c>
      <c r="U23" s="6">
        <v>192</v>
      </c>
      <c r="V23" s="6">
        <v>184</v>
      </c>
      <c r="W23" s="6">
        <v>205</v>
      </c>
      <c r="X23" s="6">
        <v>225</v>
      </c>
      <c r="Y23" s="6">
        <v>293</v>
      </c>
      <c r="Z23" s="3">
        <v>334</v>
      </c>
      <c r="AA23" s="3">
        <v>380</v>
      </c>
      <c r="AB23" s="3">
        <v>389</v>
      </c>
      <c r="AC23" s="3">
        <v>434</v>
      </c>
      <c r="AD23" s="3">
        <v>500</v>
      </c>
      <c r="AQ23" s="3">
        <v>825</v>
      </c>
      <c r="AR23" s="3">
        <v>541</v>
      </c>
      <c r="AS23" s="3">
        <v>657</v>
      </c>
      <c r="AT23" s="3">
        <v>721</v>
      </c>
    </row>
    <row r="24" spans="2:55" s="3" customFormat="1" x14ac:dyDescent="0.25">
      <c r="B24" s="3" t="s">
        <v>83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717</v>
      </c>
      <c r="O24" s="6">
        <v>534</v>
      </c>
      <c r="P24" s="6">
        <v>305</v>
      </c>
      <c r="Q24" s="6">
        <v>558</v>
      </c>
      <c r="R24" s="6">
        <v>877</v>
      </c>
      <c r="S24" s="6">
        <v>695</v>
      </c>
      <c r="T24" s="6">
        <v>452</v>
      </c>
      <c r="U24" s="6">
        <v>285</v>
      </c>
      <c r="V24" s="6">
        <v>727</v>
      </c>
      <c r="W24" s="6">
        <v>339</v>
      </c>
      <c r="X24" s="6">
        <v>276</v>
      </c>
      <c r="Y24" s="6">
        <v>210</v>
      </c>
      <c r="Z24" s="3">
        <v>1071</v>
      </c>
      <c r="AA24" s="3">
        <v>440</v>
      </c>
      <c r="AB24" s="3">
        <v>353</v>
      </c>
      <c r="AC24" s="3">
        <v>270</v>
      </c>
      <c r="AD24" s="3">
        <v>300</v>
      </c>
      <c r="AR24" s="3">
        <v>501</v>
      </c>
      <c r="AS24" s="3">
        <v>1139</v>
      </c>
      <c r="AT24" s="3">
        <v>2274</v>
      </c>
    </row>
    <row r="25" spans="2:55" s="3" customFormat="1" x14ac:dyDescent="0.25">
      <c r="B25" s="3" t="s">
        <v>82</v>
      </c>
      <c r="C25" s="6">
        <v>11795</v>
      </c>
      <c r="D25" s="6">
        <v>13038</v>
      </c>
      <c r="E25" s="6">
        <v>13539</v>
      </c>
      <c r="F25" s="6">
        <v>16640</v>
      </c>
      <c r="G25" s="6">
        <v>14912</v>
      </c>
      <c r="H25" s="6">
        <v>16624</v>
      </c>
      <c r="I25" s="6">
        <v>17383</v>
      </c>
      <c r="J25" s="6">
        <v>20736</v>
      </c>
      <c r="K25" s="6">
        <f>SUM(K19:K22)</f>
        <v>17440</v>
      </c>
      <c r="L25" s="6">
        <f t="shared" ref="L25:T25" si="16">SUM(L19:L22)</f>
        <v>18321</v>
      </c>
      <c r="M25" s="6">
        <f t="shared" si="16"/>
        <v>21221</v>
      </c>
      <c r="N25" s="6">
        <f t="shared" si="16"/>
        <v>27187</v>
      </c>
      <c r="O25" s="6">
        <f t="shared" si="16"/>
        <v>25439</v>
      </c>
      <c r="P25" s="6">
        <f t="shared" si="16"/>
        <v>28580</v>
      </c>
      <c r="Q25" s="6">
        <f t="shared" si="16"/>
        <v>28276</v>
      </c>
      <c r="R25" s="6">
        <f t="shared" si="16"/>
        <v>32639</v>
      </c>
      <c r="S25" s="6">
        <f t="shared" si="16"/>
        <v>26998</v>
      </c>
      <c r="T25" s="6">
        <f t="shared" si="16"/>
        <v>28152</v>
      </c>
      <c r="U25" s="6">
        <f>SUM(U19:U22)</f>
        <v>27237</v>
      </c>
      <c r="V25" s="6">
        <v>31254</v>
      </c>
      <c r="W25" s="6">
        <v>28101</v>
      </c>
      <c r="X25" s="6">
        <v>31498</v>
      </c>
      <c r="Y25" s="6">
        <v>33643</v>
      </c>
      <c r="Z25" s="6">
        <v>38706</v>
      </c>
      <c r="AA25" s="6">
        <v>35635</v>
      </c>
      <c r="AB25" s="6">
        <f>SUM(AB19:AB22)</f>
        <v>38329</v>
      </c>
      <c r="AC25" s="6">
        <v>39885</v>
      </c>
      <c r="AD25" s="6">
        <f>SUM(AD19:AD22)</f>
        <v>45500</v>
      </c>
      <c r="AE25" s="6"/>
      <c r="AF25" s="6"/>
      <c r="AG25" s="6"/>
      <c r="AH25" s="6"/>
      <c r="AI25" s="6"/>
      <c r="AJ25" s="6"/>
      <c r="AL25" s="3">
        <v>7872</v>
      </c>
      <c r="AM25" s="3">
        <v>12466</v>
      </c>
      <c r="AN25" s="3">
        <v>17928</v>
      </c>
      <c r="AO25" s="3">
        <v>27638</v>
      </c>
      <c r="AP25" s="3">
        <v>40653</v>
      </c>
      <c r="AQ25" s="3">
        <v>55013</v>
      </c>
      <c r="AR25" s="3">
        <v>69655</v>
      </c>
      <c r="AS25" s="3">
        <v>84169</v>
      </c>
      <c r="AT25" s="3">
        <v>114934</v>
      </c>
    </row>
    <row r="26" spans="2:55" s="7" customFormat="1" x14ac:dyDescent="0.25">
      <c r="B26" s="7" t="s">
        <v>24</v>
      </c>
      <c r="C26" s="8">
        <f t="shared" ref="C26:I26" si="17">SUM(C23:C25)</f>
        <v>11966</v>
      </c>
      <c r="D26" s="8">
        <f t="shared" si="17"/>
        <v>13231</v>
      </c>
      <c r="E26" s="8">
        <f t="shared" si="17"/>
        <v>13727</v>
      </c>
      <c r="F26" s="8">
        <f t="shared" si="17"/>
        <v>16914</v>
      </c>
      <c r="G26" s="8">
        <f t="shared" ref="G26" si="18">SUM(G23:G25)</f>
        <v>15077</v>
      </c>
      <c r="H26" s="8">
        <f t="shared" si="17"/>
        <v>16886</v>
      </c>
      <c r="I26" s="8">
        <f t="shared" si="17"/>
        <v>17652</v>
      </c>
      <c r="J26" s="8">
        <f>SUM(J23:J25)</f>
        <v>21082</v>
      </c>
      <c r="K26" s="8">
        <f>SUM(K23:K25)</f>
        <v>17737</v>
      </c>
      <c r="L26" s="8">
        <v>18687</v>
      </c>
      <c r="M26" s="8">
        <v>21470</v>
      </c>
      <c r="N26" s="8">
        <v>28072</v>
      </c>
      <c r="O26" s="8">
        <f>SUM(O23:O25)</f>
        <v>26171</v>
      </c>
      <c r="P26" s="8">
        <v>29077</v>
      </c>
      <c r="Q26" s="8">
        <v>29010</v>
      </c>
      <c r="R26" s="8">
        <v>33671</v>
      </c>
      <c r="S26" s="8">
        <f>SUM(S23:S25)</f>
        <v>27908</v>
      </c>
      <c r="T26" s="8">
        <f>SUM(T23:T25)</f>
        <v>28822</v>
      </c>
      <c r="U26" s="8">
        <f>SUM(U23:U25)</f>
        <v>27714</v>
      </c>
      <c r="V26" s="8">
        <v>32165</v>
      </c>
      <c r="W26" s="8">
        <f>SUM(W23:W25)</f>
        <v>28645</v>
      </c>
      <c r="X26" s="8">
        <f>SUM(X23:X25)</f>
        <v>31999</v>
      </c>
      <c r="Y26" s="8">
        <f t="shared" ref="Y26:AD26" si="19">SUM(Y23:Y25)</f>
        <v>34146</v>
      </c>
      <c r="Z26" s="8">
        <f>SUM(Z23:Z25)</f>
        <v>40111</v>
      </c>
      <c r="AA26" s="8">
        <f t="shared" si="19"/>
        <v>36455</v>
      </c>
      <c r="AB26" s="8">
        <f t="shared" si="19"/>
        <v>39071</v>
      </c>
      <c r="AC26" s="8">
        <f t="shared" si="19"/>
        <v>40589</v>
      </c>
      <c r="AD26" s="8">
        <f t="shared" si="19"/>
        <v>46300</v>
      </c>
      <c r="AE26" s="8"/>
      <c r="AF26" s="8"/>
      <c r="AG26" s="8"/>
      <c r="AH26" s="8"/>
      <c r="AI26" s="8"/>
      <c r="AJ26" s="8"/>
      <c r="AL26" s="7">
        <f t="shared" ref="AL26:AQ26" si="20">SUM(AL23:AL25)</f>
        <v>7872</v>
      </c>
      <c r="AM26" s="7">
        <f t="shared" si="20"/>
        <v>12466</v>
      </c>
      <c r="AN26" s="7">
        <f t="shared" si="20"/>
        <v>17928</v>
      </c>
      <c r="AO26" s="7">
        <f t="shared" si="20"/>
        <v>27638</v>
      </c>
      <c r="AP26" s="7">
        <f t="shared" si="20"/>
        <v>40653</v>
      </c>
      <c r="AQ26" s="7">
        <f t="shared" si="20"/>
        <v>55838</v>
      </c>
      <c r="AR26" s="7">
        <f>SUM(AR23:AR25)</f>
        <v>70697</v>
      </c>
      <c r="AS26" s="7">
        <f t="shared" ref="AS26:AT26" si="21">SUM(AS23:AS25)</f>
        <v>85965</v>
      </c>
      <c r="AT26" s="7">
        <f t="shared" si="21"/>
        <v>117929</v>
      </c>
      <c r="AU26" s="7">
        <f t="shared" ref="AU26:AU37" si="22">SUM(S26:V26)</f>
        <v>116609</v>
      </c>
      <c r="AV26" s="7">
        <f t="shared" ref="AV26:AV37" si="23">SUM(W26:Z26)</f>
        <v>134901</v>
      </c>
      <c r="AW26" s="7">
        <f>SUM(AA26:AD26)</f>
        <v>162415</v>
      </c>
      <c r="AX26" s="7">
        <f>AW26*1.1</f>
        <v>178656.5</v>
      </c>
      <c r="AY26" s="7">
        <f>+AX26*1.05</f>
        <v>187589.32500000001</v>
      </c>
      <c r="AZ26" s="7">
        <f t="shared" ref="AZ26:BC26" si="24">+AY26*1.03</f>
        <v>193217.00475000002</v>
      </c>
      <c r="BA26" s="7">
        <f t="shared" si="24"/>
        <v>199013.51489250004</v>
      </c>
      <c r="BB26" s="7">
        <f t="shared" si="24"/>
        <v>204983.92033927504</v>
      </c>
      <c r="BC26" s="7">
        <f t="shared" si="24"/>
        <v>211133.43794945331</v>
      </c>
    </row>
    <row r="27" spans="2:55" s="3" customFormat="1" x14ac:dyDescent="0.25">
      <c r="B27" s="3" t="s">
        <v>36</v>
      </c>
      <c r="C27" s="6">
        <v>1927</v>
      </c>
      <c r="D27" s="6">
        <v>2214</v>
      </c>
      <c r="E27" s="6">
        <v>2418</v>
      </c>
      <c r="F27" s="6">
        <v>2796</v>
      </c>
      <c r="G27" s="6">
        <v>2816</v>
      </c>
      <c r="H27" s="6">
        <v>3307</v>
      </c>
      <c r="I27" s="6">
        <v>3155</v>
      </c>
      <c r="J27" s="6">
        <v>3492</v>
      </c>
      <c r="K27" s="6">
        <v>3459</v>
      </c>
      <c r="L27" s="6">
        <v>3829</v>
      </c>
      <c r="M27" s="6">
        <v>4194</v>
      </c>
      <c r="N27" s="6">
        <v>5210</v>
      </c>
      <c r="O27" s="6">
        <v>5131</v>
      </c>
      <c r="P27" s="6">
        <v>5399</v>
      </c>
      <c r="Q27" s="6">
        <v>5771</v>
      </c>
      <c r="R27" s="6">
        <v>6348</v>
      </c>
      <c r="S27" s="6">
        <v>6005</v>
      </c>
      <c r="T27" s="6">
        <v>5192</v>
      </c>
      <c r="U27" s="6">
        <v>5716</v>
      </c>
      <c r="V27" s="6">
        <v>8336</v>
      </c>
      <c r="W27" s="6">
        <f>+W26-W28</f>
        <v>6015.4500000000007</v>
      </c>
      <c r="X27" s="6">
        <v>5945</v>
      </c>
      <c r="Y27" s="6">
        <v>6210</v>
      </c>
      <c r="Z27" s="6">
        <v>7695</v>
      </c>
      <c r="AA27" s="6">
        <v>6640</v>
      </c>
      <c r="AB27" s="6">
        <v>7308</v>
      </c>
      <c r="AC27" s="6">
        <v>7375</v>
      </c>
      <c r="AD27" s="6"/>
      <c r="AE27" s="6"/>
      <c r="AF27" s="6"/>
      <c r="AG27" s="6"/>
      <c r="AH27" s="6"/>
      <c r="AI27" s="6"/>
      <c r="AJ27" s="6"/>
      <c r="AQ27" s="3">
        <v>9355</v>
      </c>
      <c r="AR27" s="3">
        <v>12770</v>
      </c>
      <c r="AS27" s="3">
        <v>16692</v>
      </c>
      <c r="AT27" s="3">
        <v>22649</v>
      </c>
      <c r="AU27" s="3">
        <f t="shared" si="22"/>
        <v>25249</v>
      </c>
      <c r="AV27" s="3">
        <f t="shared" si="23"/>
        <v>25865.45</v>
      </c>
      <c r="AW27" s="3">
        <f>+AW26-AW28</f>
        <v>30858.850000000006</v>
      </c>
      <c r="AX27" s="3">
        <f t="shared" ref="AX27:BC27" si="25">+AX26-AX28</f>
        <v>33944.734999999986</v>
      </c>
      <c r="AY27" s="3">
        <f t="shared" si="25"/>
        <v>35641.971749999997</v>
      </c>
      <c r="AZ27" s="3">
        <f t="shared" si="25"/>
        <v>36711.230902499985</v>
      </c>
      <c r="BA27" s="3">
        <f t="shared" si="25"/>
        <v>37812.567829575011</v>
      </c>
      <c r="BB27" s="3">
        <f t="shared" si="25"/>
        <v>38946.944864462246</v>
      </c>
      <c r="BC27" s="3">
        <f t="shared" si="25"/>
        <v>40115.353210396104</v>
      </c>
    </row>
    <row r="28" spans="2:55" s="3" customFormat="1" x14ac:dyDescent="0.25">
      <c r="B28" s="3" t="s">
        <v>37</v>
      </c>
      <c r="C28" s="6">
        <f t="shared" ref="C28:D28" si="26">+C26-C27</f>
        <v>10039</v>
      </c>
      <c r="D28" s="6">
        <f t="shared" si="26"/>
        <v>11017</v>
      </c>
      <c r="E28" s="6">
        <f t="shared" ref="E28:G28" si="27">+E26-E27</f>
        <v>11309</v>
      </c>
      <c r="F28" s="6">
        <f t="shared" si="27"/>
        <v>14118</v>
      </c>
      <c r="G28" s="6">
        <f t="shared" si="27"/>
        <v>12261</v>
      </c>
      <c r="H28" s="6">
        <f t="shared" ref="H28" si="28">+H26-H27</f>
        <v>13579</v>
      </c>
      <c r="I28" s="6">
        <f t="shared" ref="I28:J28" si="29">+I26-I27</f>
        <v>14497</v>
      </c>
      <c r="J28" s="6">
        <f t="shared" si="29"/>
        <v>17590</v>
      </c>
      <c r="K28" s="6">
        <f t="shared" ref="K28:N28" si="30">+K26-K27</f>
        <v>14278</v>
      </c>
      <c r="L28" s="6">
        <f t="shared" si="30"/>
        <v>14858</v>
      </c>
      <c r="M28" s="6">
        <f t="shared" si="30"/>
        <v>17276</v>
      </c>
      <c r="N28" s="6">
        <f t="shared" si="30"/>
        <v>22862</v>
      </c>
      <c r="O28" s="6">
        <f>+O26-O27</f>
        <v>21040</v>
      </c>
      <c r="P28" s="6">
        <f t="shared" ref="P28:R28" si="31">+P26-P27</f>
        <v>23678</v>
      </c>
      <c r="Q28" s="6">
        <f t="shared" si="31"/>
        <v>23239</v>
      </c>
      <c r="R28" s="6">
        <f t="shared" si="31"/>
        <v>27323</v>
      </c>
      <c r="S28" s="6">
        <f>+S26-S27</f>
        <v>21903</v>
      </c>
      <c r="T28" s="6">
        <f>+T26-T27</f>
        <v>23630</v>
      </c>
      <c r="U28" s="6">
        <f>+U26-U27</f>
        <v>21998</v>
      </c>
      <c r="V28" s="6">
        <f>+V26-V27</f>
        <v>23829</v>
      </c>
      <c r="W28" s="6">
        <f>+W26*0.79</f>
        <v>22629.55</v>
      </c>
      <c r="X28" s="6">
        <f t="shared" ref="X28:AC28" si="32">X26-X27</f>
        <v>26054</v>
      </c>
      <c r="Y28" s="6">
        <f t="shared" si="32"/>
        <v>27936</v>
      </c>
      <c r="Z28" s="6">
        <f t="shared" si="32"/>
        <v>32416</v>
      </c>
      <c r="AA28" s="6">
        <f t="shared" si="32"/>
        <v>29815</v>
      </c>
      <c r="AB28" s="6">
        <f t="shared" si="32"/>
        <v>31763</v>
      </c>
      <c r="AC28" s="6">
        <f t="shared" si="32"/>
        <v>33214</v>
      </c>
      <c r="AD28" s="6">
        <f>AD26*AD48</f>
        <v>37887.314296977012</v>
      </c>
      <c r="AE28" s="6"/>
      <c r="AF28" s="6"/>
      <c r="AG28" s="6"/>
      <c r="AH28" s="6"/>
      <c r="AI28" s="6"/>
      <c r="AJ28" s="6"/>
      <c r="AQ28" s="3">
        <f>+AQ26-AQ27</f>
        <v>46483</v>
      </c>
      <c r="AR28" s="3">
        <f>+AR26-AR27</f>
        <v>57927</v>
      </c>
      <c r="AS28" s="3">
        <f>+AS26-AS27</f>
        <v>69273</v>
      </c>
      <c r="AT28" s="3">
        <f t="shared" ref="AT28" si="33">+AT26-AT27</f>
        <v>95280</v>
      </c>
      <c r="AU28" s="3">
        <f t="shared" si="22"/>
        <v>91360</v>
      </c>
      <c r="AV28" s="3">
        <f t="shared" si="23"/>
        <v>109035.55</v>
      </c>
      <c r="AW28" s="3">
        <f t="shared" ref="AW28" si="34">+AW26*0.81</f>
        <v>131556.15</v>
      </c>
      <c r="AX28" s="3">
        <f t="shared" ref="AX28:BC28" si="35">+AX26*0.81</f>
        <v>144711.76500000001</v>
      </c>
      <c r="AY28" s="3">
        <f t="shared" si="35"/>
        <v>151947.35325000001</v>
      </c>
      <c r="AZ28" s="3">
        <f t="shared" si="35"/>
        <v>156505.77384750004</v>
      </c>
      <c r="BA28" s="3">
        <f t="shared" si="35"/>
        <v>161200.94706292503</v>
      </c>
      <c r="BB28" s="3">
        <f t="shared" si="35"/>
        <v>166036.97547481279</v>
      </c>
      <c r="BC28" s="3">
        <f t="shared" si="35"/>
        <v>171018.0847390572</v>
      </c>
    </row>
    <row r="29" spans="2:55" s="3" customFormat="1" x14ac:dyDescent="0.25">
      <c r="B29" s="3" t="s">
        <v>38</v>
      </c>
      <c r="C29" s="6">
        <v>2238</v>
      </c>
      <c r="D29" s="6">
        <v>2523</v>
      </c>
      <c r="E29" s="6">
        <v>2657</v>
      </c>
      <c r="F29" s="6">
        <v>2855</v>
      </c>
      <c r="G29" s="6">
        <v>2860</v>
      </c>
      <c r="H29" s="6">
        <v>3315</v>
      </c>
      <c r="I29" s="6">
        <v>3548</v>
      </c>
      <c r="J29" s="6">
        <v>3877</v>
      </c>
      <c r="K29" s="6">
        <v>4015</v>
      </c>
      <c r="L29" s="6">
        <v>4462</v>
      </c>
      <c r="M29" s="6">
        <v>4763</v>
      </c>
      <c r="N29" s="6">
        <v>5208</v>
      </c>
      <c r="O29" s="6">
        <v>5197</v>
      </c>
      <c r="P29" s="6">
        <v>6096</v>
      </c>
      <c r="Q29" s="6">
        <v>6316</v>
      </c>
      <c r="R29" s="6">
        <v>7046</v>
      </c>
      <c r="S29" s="6">
        <v>7707</v>
      </c>
      <c r="T29" s="6">
        <v>8690</v>
      </c>
      <c r="U29" s="6">
        <v>9170</v>
      </c>
      <c r="V29" s="6">
        <v>9771</v>
      </c>
      <c r="W29" s="6">
        <f>+S29*0.9</f>
        <v>6936.3</v>
      </c>
      <c r="X29" s="6">
        <v>9344</v>
      </c>
      <c r="Y29" s="6">
        <v>9241</v>
      </c>
      <c r="Z29" s="6">
        <v>10517</v>
      </c>
      <c r="AA29" s="6">
        <v>9978</v>
      </c>
      <c r="AB29" s="6">
        <v>10537</v>
      </c>
      <c r="AC29" s="6">
        <v>11177</v>
      </c>
      <c r="AD29" s="6"/>
      <c r="AE29" s="6"/>
      <c r="AF29" s="6"/>
      <c r="AG29" s="6"/>
      <c r="AH29" s="6"/>
      <c r="AI29" s="6"/>
      <c r="AJ29" s="6"/>
      <c r="AQ29" s="3">
        <v>10273</v>
      </c>
      <c r="AR29" s="3">
        <v>13600</v>
      </c>
      <c r="AS29" s="3">
        <v>18447</v>
      </c>
      <c r="AT29" s="3">
        <v>24655</v>
      </c>
      <c r="AU29" s="3">
        <f t="shared" si="22"/>
        <v>35338</v>
      </c>
      <c r="AV29" s="3">
        <f>SUM(W29:Z29)</f>
        <v>36038.300000000003</v>
      </c>
      <c r="AW29" s="3">
        <f>+AV29*1.14</f>
        <v>41083.661999999997</v>
      </c>
      <c r="AX29" s="3">
        <f t="shared" ref="AX29:BC29" si="36">+AW29*1.05</f>
        <v>43137.845099999999</v>
      </c>
      <c r="AY29" s="3">
        <f t="shared" si="36"/>
        <v>45294.737354999997</v>
      </c>
      <c r="AZ29" s="3">
        <f t="shared" si="36"/>
        <v>47559.474222750003</v>
      </c>
      <c r="BA29" s="3">
        <f t="shared" si="36"/>
        <v>49937.447933887503</v>
      </c>
      <c r="BB29" s="3">
        <f t="shared" si="36"/>
        <v>52434.320330581882</v>
      </c>
      <c r="BC29" s="3">
        <f t="shared" si="36"/>
        <v>55056.036347110981</v>
      </c>
    </row>
    <row r="30" spans="2:55" s="3" customFormat="1" x14ac:dyDescent="0.25">
      <c r="B30" s="3" t="s">
        <v>40</v>
      </c>
      <c r="C30" s="6">
        <v>1595</v>
      </c>
      <c r="D30" s="6">
        <v>1855</v>
      </c>
      <c r="E30" s="6">
        <v>1928</v>
      </c>
      <c r="F30" s="6">
        <v>2467</v>
      </c>
      <c r="G30" s="6">
        <v>2020</v>
      </c>
      <c r="H30" s="6">
        <v>2414</v>
      </c>
      <c r="I30" s="6">
        <v>2416</v>
      </c>
      <c r="J30" s="6">
        <v>3026</v>
      </c>
      <c r="K30" s="6">
        <v>2787</v>
      </c>
      <c r="L30" s="6">
        <v>2840</v>
      </c>
      <c r="M30" s="6">
        <v>2683</v>
      </c>
      <c r="N30" s="6">
        <v>3280</v>
      </c>
      <c r="O30" s="6">
        <v>2843</v>
      </c>
      <c r="P30" s="6">
        <v>3259</v>
      </c>
      <c r="Q30" s="6">
        <v>3554</v>
      </c>
      <c r="R30" s="6">
        <v>4387</v>
      </c>
      <c r="S30" s="6">
        <v>3312</v>
      </c>
      <c r="T30" s="6">
        <v>3595</v>
      </c>
      <c r="U30" s="6">
        <v>3780</v>
      </c>
      <c r="V30" s="6">
        <v>4574</v>
      </c>
      <c r="W30" s="6">
        <f t="shared" ref="W30:W31" si="37">+S30*0.9</f>
        <v>2980.8</v>
      </c>
      <c r="X30" s="6">
        <v>3154</v>
      </c>
      <c r="Y30" s="6">
        <v>2877</v>
      </c>
      <c r="Z30" s="6">
        <v>3226</v>
      </c>
      <c r="AA30" s="6">
        <v>2564</v>
      </c>
      <c r="AB30" s="6">
        <v>2721</v>
      </c>
      <c r="AC30" s="6">
        <v>2822</v>
      </c>
      <c r="AD30" s="6"/>
      <c r="AE30" s="6"/>
      <c r="AF30" s="6"/>
      <c r="AG30" s="6"/>
      <c r="AH30" s="6"/>
      <c r="AI30" s="6"/>
      <c r="AJ30" s="6"/>
      <c r="AQ30" s="3">
        <v>7846</v>
      </c>
      <c r="AR30" s="3">
        <v>9876</v>
      </c>
      <c r="AS30" s="3">
        <v>11591</v>
      </c>
      <c r="AT30" s="3">
        <v>14043</v>
      </c>
      <c r="AU30" s="3">
        <f t="shared" si="22"/>
        <v>15261</v>
      </c>
      <c r="AV30" s="3">
        <f t="shared" si="23"/>
        <v>12237.8</v>
      </c>
      <c r="AW30" s="3">
        <f t="shared" ref="AW30:BC30" si="38">+AV30*0.98</f>
        <v>11993.044</v>
      </c>
      <c r="AX30" s="3">
        <f t="shared" si="38"/>
        <v>11753.18312</v>
      </c>
      <c r="AY30" s="3">
        <f t="shared" si="38"/>
        <v>11518.1194576</v>
      </c>
      <c r="AZ30" s="3">
        <f t="shared" si="38"/>
        <v>11287.757068448</v>
      </c>
      <c r="BA30" s="3">
        <f t="shared" si="38"/>
        <v>11062.00192707904</v>
      </c>
      <c r="BB30" s="3">
        <f t="shared" si="38"/>
        <v>10840.76188853746</v>
      </c>
      <c r="BC30" s="3">
        <f t="shared" si="38"/>
        <v>10623.946650766709</v>
      </c>
    </row>
    <row r="31" spans="2:55" s="3" customFormat="1" x14ac:dyDescent="0.25">
      <c r="B31" s="3" t="s">
        <v>39</v>
      </c>
      <c r="C31" s="6">
        <v>757</v>
      </c>
      <c r="D31" s="6">
        <v>776</v>
      </c>
      <c r="E31" s="6">
        <v>943</v>
      </c>
      <c r="F31" s="6">
        <v>976</v>
      </c>
      <c r="G31" s="6">
        <f>4064-3000</f>
        <v>1064</v>
      </c>
      <c r="H31" s="6">
        <f>3224-2000</f>
        <v>1224</v>
      </c>
      <c r="I31" s="6">
        <v>1348</v>
      </c>
      <c r="J31" s="6">
        <v>1829</v>
      </c>
      <c r="K31" s="6">
        <v>1583</v>
      </c>
      <c r="L31" s="6">
        <v>1593</v>
      </c>
      <c r="M31" s="6">
        <v>1790</v>
      </c>
      <c r="N31" s="6">
        <v>1599</v>
      </c>
      <c r="O31" s="6">
        <v>1622</v>
      </c>
      <c r="P31" s="6">
        <v>1956</v>
      </c>
      <c r="Q31" s="6">
        <v>2946</v>
      </c>
      <c r="R31" s="6">
        <v>3305</v>
      </c>
      <c r="S31" s="6">
        <v>2360</v>
      </c>
      <c r="T31" s="6">
        <v>2987</v>
      </c>
      <c r="U31" s="6">
        <v>3384</v>
      </c>
      <c r="V31" s="6">
        <v>3085</v>
      </c>
      <c r="W31" s="6">
        <f t="shared" si="37"/>
        <v>2124</v>
      </c>
      <c r="X31" s="6">
        <f>4164-1870</f>
        <v>2294</v>
      </c>
      <c r="Y31" s="6">
        <v>2070</v>
      </c>
      <c r="Z31" s="6">
        <v>2289</v>
      </c>
      <c r="AA31" s="6">
        <v>3455</v>
      </c>
      <c r="AB31" s="6">
        <v>3658</v>
      </c>
      <c r="AC31" s="6">
        <v>1865</v>
      </c>
      <c r="AD31" s="6"/>
      <c r="AE31" s="6"/>
      <c r="AF31" s="6"/>
      <c r="AG31" s="6"/>
      <c r="AH31" s="6"/>
      <c r="AI31" s="6"/>
      <c r="AJ31" s="6"/>
      <c r="AQ31" s="3">
        <v>3451</v>
      </c>
      <c r="AR31" s="3">
        <f>10465-5000</f>
        <v>5465</v>
      </c>
      <c r="AS31" s="3">
        <v>6564</v>
      </c>
      <c r="AT31" s="3">
        <v>9829</v>
      </c>
      <c r="AU31" s="3">
        <f t="shared" si="22"/>
        <v>11816</v>
      </c>
      <c r="AV31" s="3">
        <f t="shared" si="23"/>
        <v>8777</v>
      </c>
      <c r="AW31" s="3">
        <f>+AV31*1.3</f>
        <v>11410.1</v>
      </c>
      <c r="AX31" s="3">
        <f t="shared" ref="AX31:BC31" si="39">+AW31</f>
        <v>11410.1</v>
      </c>
      <c r="AY31" s="3">
        <f t="shared" si="39"/>
        <v>11410.1</v>
      </c>
      <c r="AZ31" s="3">
        <f t="shared" si="39"/>
        <v>11410.1</v>
      </c>
      <c r="BA31" s="3">
        <f t="shared" si="39"/>
        <v>11410.1</v>
      </c>
      <c r="BB31" s="3">
        <f t="shared" si="39"/>
        <v>11410.1</v>
      </c>
      <c r="BC31" s="3">
        <f t="shared" si="39"/>
        <v>11410.1</v>
      </c>
    </row>
    <row r="32" spans="2:55" s="3" customFormat="1" x14ac:dyDescent="0.25">
      <c r="B32" s="3" t="s">
        <v>41</v>
      </c>
      <c r="C32" s="6">
        <f t="shared" ref="C32:D32" si="40">+C31+C30+C29</f>
        <v>4590</v>
      </c>
      <c r="D32" s="6">
        <f t="shared" si="40"/>
        <v>5154</v>
      </c>
      <c r="E32" s="6">
        <f t="shared" ref="E32:G32" si="41">+E31+E30+E29</f>
        <v>5528</v>
      </c>
      <c r="F32" s="6">
        <f t="shared" si="41"/>
        <v>6298</v>
      </c>
      <c r="G32" s="6">
        <f t="shared" si="41"/>
        <v>5944</v>
      </c>
      <c r="H32" s="6">
        <f t="shared" ref="H32:I32" si="42">+H31+H30+H29</f>
        <v>6953</v>
      </c>
      <c r="I32" s="6">
        <f t="shared" si="42"/>
        <v>7312</v>
      </c>
      <c r="J32" s="6">
        <f t="shared" ref="J32:K32" si="43">+J31+J30+J29</f>
        <v>8732</v>
      </c>
      <c r="K32" s="6">
        <f t="shared" si="43"/>
        <v>8385</v>
      </c>
      <c r="L32" s="6">
        <f t="shared" ref="L32" si="44">+L31+L30+L29</f>
        <v>8895</v>
      </c>
      <c r="M32" s="6">
        <f t="shared" ref="M32" si="45">+M31+M30+M29</f>
        <v>9236</v>
      </c>
      <c r="N32" s="6">
        <f t="shared" ref="N32" si="46">+N31+N30+N29</f>
        <v>10087</v>
      </c>
      <c r="O32" s="6">
        <f t="shared" ref="O32:R32" si="47">+O31+O30+O29</f>
        <v>9662</v>
      </c>
      <c r="P32" s="6">
        <f t="shared" si="47"/>
        <v>11311</v>
      </c>
      <c r="Q32" s="6">
        <f t="shared" si="47"/>
        <v>12816</v>
      </c>
      <c r="R32" s="6">
        <f t="shared" si="47"/>
        <v>14738</v>
      </c>
      <c r="S32" s="6">
        <f>+S31+S30+S29</f>
        <v>13379</v>
      </c>
      <c r="T32" s="6">
        <f t="shared" ref="T32:V32" si="48">+T31+T30+T29</f>
        <v>15272</v>
      </c>
      <c r="U32" s="6">
        <f t="shared" si="48"/>
        <v>16334</v>
      </c>
      <c r="V32" s="6">
        <f t="shared" si="48"/>
        <v>17430</v>
      </c>
      <c r="W32" s="6">
        <f t="shared" ref="W32:Z32" si="49">+W31+W30+W29</f>
        <v>12041.1</v>
      </c>
      <c r="X32" s="6">
        <f t="shared" si="49"/>
        <v>14792</v>
      </c>
      <c r="Y32" s="6">
        <f t="shared" si="49"/>
        <v>14188</v>
      </c>
      <c r="Z32" s="6">
        <f t="shared" si="49"/>
        <v>16032</v>
      </c>
      <c r="AA32" s="6">
        <f>+AA31+AA30+AA29</f>
        <v>15997</v>
      </c>
      <c r="AB32" s="6">
        <f>+AB31+AB30+AB29</f>
        <v>16916</v>
      </c>
      <c r="AC32" s="6">
        <f>+AC31+AC30+AC29</f>
        <v>15864</v>
      </c>
      <c r="AD32" s="6"/>
      <c r="AE32" s="6"/>
      <c r="AF32" s="6"/>
      <c r="AG32" s="6"/>
      <c r="AH32" s="6"/>
      <c r="AI32" s="6"/>
      <c r="AJ32" s="6"/>
      <c r="AQ32" s="3">
        <f>SUM(AQ29:AQ31)</f>
        <v>21570</v>
      </c>
      <c r="AR32" s="3">
        <f>SUM(AR29:AR31)</f>
        <v>28941</v>
      </c>
      <c r="AS32" s="3">
        <f>SUM(AS29:AS31)</f>
        <v>36602</v>
      </c>
      <c r="AT32" s="3">
        <f t="shared" ref="AT32" si="50">SUM(AT29:AT31)</f>
        <v>48527</v>
      </c>
      <c r="AU32" s="3">
        <f t="shared" si="22"/>
        <v>62415</v>
      </c>
      <c r="AV32" s="3">
        <f t="shared" si="23"/>
        <v>57053.1</v>
      </c>
      <c r="AW32" s="3">
        <f>SUM(AW29:AW31)</f>
        <v>64486.805999999997</v>
      </c>
      <c r="AX32" s="3">
        <f t="shared" ref="AX32" si="51">SUM(AX29:AX31)</f>
        <v>66301.128219999999</v>
      </c>
      <c r="AY32" s="3">
        <f t="shared" ref="AY32" si="52">SUM(AY29:AY31)</f>
        <v>68222.956812599994</v>
      </c>
      <c r="AZ32" s="3">
        <f t="shared" ref="AZ32" si="53">SUM(AZ29:AZ31)</f>
        <v>70257.331291198003</v>
      </c>
      <c r="BA32" s="3">
        <f t="shared" ref="BA32" si="54">SUM(BA29:BA31)</f>
        <v>72409.549860966552</v>
      </c>
      <c r="BB32" s="3">
        <f t="shared" ref="BB32" si="55">SUM(BB29:BB31)</f>
        <v>74685.18221911935</v>
      </c>
      <c r="BC32" s="3">
        <f t="shared" ref="BC32" si="56">SUM(BC29:BC31)</f>
        <v>77090.082997877704</v>
      </c>
    </row>
    <row r="33" spans="2:111" s="3" customFormat="1" x14ac:dyDescent="0.25">
      <c r="B33" s="3" t="s">
        <v>42</v>
      </c>
      <c r="C33" s="6">
        <f t="shared" ref="C33:D33" si="57">+C28-C32</f>
        <v>5449</v>
      </c>
      <c r="D33" s="6">
        <f t="shared" si="57"/>
        <v>5863</v>
      </c>
      <c r="E33" s="6">
        <f t="shared" ref="E33:G33" si="58">+E28-E32</f>
        <v>5781</v>
      </c>
      <c r="F33" s="6">
        <f t="shared" si="58"/>
        <v>7820</v>
      </c>
      <c r="G33" s="6">
        <f t="shared" si="58"/>
        <v>6317</v>
      </c>
      <c r="H33" s="6">
        <f t="shared" ref="H33:I33" si="59">+H28-H32</f>
        <v>6626</v>
      </c>
      <c r="I33" s="6">
        <f t="shared" si="59"/>
        <v>7185</v>
      </c>
      <c r="J33" s="6">
        <f t="shared" ref="J33:K33" si="60">+J28-J32</f>
        <v>8858</v>
      </c>
      <c r="K33" s="6">
        <f t="shared" si="60"/>
        <v>5893</v>
      </c>
      <c r="L33" s="6">
        <f t="shared" ref="L33" si="61">+L28-L32</f>
        <v>5963</v>
      </c>
      <c r="M33" s="6">
        <f t="shared" ref="M33" si="62">+M28-M32</f>
        <v>8040</v>
      </c>
      <c r="N33" s="6">
        <f t="shared" ref="N33" si="63">+N28-N32</f>
        <v>12775</v>
      </c>
      <c r="O33" s="6">
        <f t="shared" ref="O33:R33" si="64">+O28-O32</f>
        <v>11378</v>
      </c>
      <c r="P33" s="6">
        <f t="shared" si="64"/>
        <v>12367</v>
      </c>
      <c r="Q33" s="6">
        <f t="shared" si="64"/>
        <v>10423</v>
      </c>
      <c r="R33" s="6">
        <f t="shared" si="64"/>
        <v>12585</v>
      </c>
      <c r="S33" s="6">
        <f>+S28-S32</f>
        <v>8524</v>
      </c>
      <c r="T33" s="6">
        <f t="shared" ref="T33:V33" si="65">+T28-T32</f>
        <v>8358</v>
      </c>
      <c r="U33" s="6">
        <f t="shared" si="65"/>
        <v>5664</v>
      </c>
      <c r="V33" s="6">
        <f t="shared" si="65"/>
        <v>6399</v>
      </c>
      <c r="W33" s="6">
        <f t="shared" ref="W33:AC33" si="66">+W28-W32</f>
        <v>10588.449999999999</v>
      </c>
      <c r="X33" s="6">
        <f t="shared" si="66"/>
        <v>11262</v>
      </c>
      <c r="Y33" s="6">
        <f t="shared" si="66"/>
        <v>13748</v>
      </c>
      <c r="Z33" s="6">
        <f t="shared" si="66"/>
        <v>16384</v>
      </c>
      <c r="AA33" s="6">
        <f t="shared" si="66"/>
        <v>13818</v>
      </c>
      <c r="AB33" s="6">
        <f t="shared" si="66"/>
        <v>14847</v>
      </c>
      <c r="AC33" s="6">
        <f t="shared" si="66"/>
        <v>17350</v>
      </c>
      <c r="AD33" s="6">
        <f>AD26*AD49</f>
        <v>18911.999202213858</v>
      </c>
      <c r="AE33" s="6"/>
      <c r="AF33" s="6"/>
      <c r="AG33" s="6"/>
      <c r="AH33" s="6"/>
      <c r="AI33" s="6"/>
      <c r="AJ33" s="6"/>
      <c r="AQ33" s="3">
        <f>AQ28-AQ32</f>
        <v>24913</v>
      </c>
      <c r="AR33" s="3">
        <f>AR28-AR32</f>
        <v>28986</v>
      </c>
      <c r="AS33" s="3">
        <f>AS28-AS32</f>
        <v>32671</v>
      </c>
      <c r="AT33" s="3">
        <f t="shared" ref="AT33" si="67">AT28-AT32</f>
        <v>46753</v>
      </c>
      <c r="AU33" s="3">
        <f t="shared" si="22"/>
        <v>28945</v>
      </c>
      <c r="AV33" s="3">
        <f t="shared" si="23"/>
        <v>51982.45</v>
      </c>
      <c r="AW33" s="3">
        <f>AW28-AW32</f>
        <v>67069.343999999997</v>
      </c>
      <c r="AX33" s="3">
        <f t="shared" ref="AX33" si="68">AX28-AX32</f>
        <v>78410.636780000015</v>
      </c>
      <c r="AY33" s="3">
        <f t="shared" ref="AY33" si="69">AY28-AY32</f>
        <v>83724.396437400021</v>
      </c>
      <c r="AZ33" s="3">
        <f t="shared" ref="AZ33" si="70">AZ28-AZ32</f>
        <v>86248.442556302034</v>
      </c>
      <c r="BA33" s="3">
        <f t="shared" ref="BA33" si="71">BA28-BA32</f>
        <v>88791.397201958476</v>
      </c>
      <c r="BB33" s="3">
        <f t="shared" ref="BB33" si="72">BB28-BB32</f>
        <v>91351.793255693439</v>
      </c>
      <c r="BC33" s="3">
        <f t="shared" ref="BC33" si="73">BC28-BC32</f>
        <v>93928.001741179498</v>
      </c>
    </row>
    <row r="34" spans="2:111" s="3" customFormat="1" x14ac:dyDescent="0.25">
      <c r="B34" s="3" t="s">
        <v>43</v>
      </c>
      <c r="C34" s="6">
        <v>161</v>
      </c>
      <c r="D34" s="6">
        <v>5</v>
      </c>
      <c r="E34" s="6">
        <v>131</v>
      </c>
      <c r="F34" s="6">
        <v>151</v>
      </c>
      <c r="G34" s="6">
        <v>206</v>
      </c>
      <c r="H34" s="6">
        <v>206</v>
      </c>
      <c r="I34" s="6">
        <v>144</v>
      </c>
      <c r="J34" s="6">
        <v>311</v>
      </c>
      <c r="K34" s="6">
        <v>-32</v>
      </c>
      <c r="L34" s="6">
        <v>168</v>
      </c>
      <c r="M34" s="6">
        <v>93</v>
      </c>
      <c r="N34" s="6">
        <v>280</v>
      </c>
      <c r="O34" s="6">
        <v>125</v>
      </c>
      <c r="P34" s="6">
        <v>146</v>
      </c>
      <c r="Q34" s="6">
        <v>142</v>
      </c>
      <c r="R34" s="6">
        <v>117</v>
      </c>
      <c r="S34" s="6">
        <v>384</v>
      </c>
      <c r="T34" s="6">
        <v>-172</v>
      </c>
      <c r="U34" s="6">
        <v>-88</v>
      </c>
      <c r="V34" s="6">
        <v>-250</v>
      </c>
      <c r="W34" s="6">
        <f>+V34</f>
        <v>-250</v>
      </c>
      <c r="X34" s="6">
        <v>-99</v>
      </c>
      <c r="Y34" s="6">
        <v>272</v>
      </c>
      <c r="Z34" s="6">
        <v>424</v>
      </c>
      <c r="AA34" s="6">
        <v>365</v>
      </c>
      <c r="AB34" s="6">
        <v>259</v>
      </c>
      <c r="AC34" s="6">
        <v>472</v>
      </c>
      <c r="AD34" s="6">
        <v>400</v>
      </c>
      <c r="AE34" s="6"/>
      <c r="AF34" s="6"/>
      <c r="AG34" s="6"/>
      <c r="AH34" s="6"/>
      <c r="AI34" s="6"/>
      <c r="AJ34" s="6"/>
      <c r="AQ34" s="3">
        <v>448</v>
      </c>
      <c r="AR34" s="3">
        <v>826</v>
      </c>
      <c r="AS34" s="3">
        <v>509</v>
      </c>
      <c r="AT34" s="3">
        <v>531</v>
      </c>
      <c r="AU34" s="3">
        <f t="shared" si="22"/>
        <v>-126</v>
      </c>
      <c r="AV34" s="3">
        <f t="shared" si="23"/>
        <v>347</v>
      </c>
      <c r="AW34" s="3">
        <f>+AV53*$BH$52</f>
        <v>1308.9643349999999</v>
      </c>
      <c r="AX34" s="3">
        <f>+AW53*$BH$52</f>
        <v>3029.6995153744606</v>
      </c>
      <c r="AY34" s="3">
        <f>+AX53*$BH$52</f>
        <v>5033.131788240672</v>
      </c>
      <c r="AZ34" s="3">
        <f>+AY53*$BH$52</f>
        <v>7216.5669825914329</v>
      </c>
      <c r="BA34" s="3">
        <f t="shared" ref="AZ34:BC34" si="74">+AZ53*$BH$52</f>
        <v>9515.8062172482114</v>
      </c>
      <c r="BB34" s="3">
        <f t="shared" si="74"/>
        <v>11934.163421360696</v>
      </c>
      <c r="BC34" s="3">
        <f t="shared" si="74"/>
        <v>14474.997955616229</v>
      </c>
    </row>
    <row r="35" spans="2:111" s="3" customFormat="1" x14ac:dyDescent="0.25">
      <c r="B35" s="3" t="s">
        <v>44</v>
      </c>
      <c r="C35" s="6">
        <f t="shared" ref="C35:D35" si="75">+C33+C34</f>
        <v>5610</v>
      </c>
      <c r="D35" s="6">
        <f t="shared" si="75"/>
        <v>5868</v>
      </c>
      <c r="E35" s="6">
        <f t="shared" ref="E35:G35" si="76">+E33+E34</f>
        <v>5912</v>
      </c>
      <c r="F35" s="6">
        <f t="shared" si="76"/>
        <v>7971</v>
      </c>
      <c r="G35" s="6">
        <f t="shared" si="76"/>
        <v>6523</v>
      </c>
      <c r="H35" s="6">
        <f t="shared" ref="H35" si="77">+H33+H34</f>
        <v>6832</v>
      </c>
      <c r="I35" s="6">
        <f t="shared" ref="I35:J35" si="78">+I33+I34</f>
        <v>7329</v>
      </c>
      <c r="J35" s="6">
        <f t="shared" si="78"/>
        <v>9169</v>
      </c>
      <c r="K35" s="6">
        <f t="shared" ref="K35:R35" si="79">+K33+K34</f>
        <v>5861</v>
      </c>
      <c r="L35" s="6">
        <f t="shared" si="79"/>
        <v>6131</v>
      </c>
      <c r="M35" s="6">
        <f t="shared" si="79"/>
        <v>8133</v>
      </c>
      <c r="N35" s="6">
        <f t="shared" si="79"/>
        <v>13055</v>
      </c>
      <c r="O35" s="6">
        <f t="shared" si="79"/>
        <v>11503</v>
      </c>
      <c r="P35" s="6">
        <f t="shared" si="79"/>
        <v>12513</v>
      </c>
      <c r="Q35" s="6">
        <f t="shared" si="79"/>
        <v>10565</v>
      </c>
      <c r="R35" s="6">
        <f t="shared" si="79"/>
        <v>12702</v>
      </c>
      <c r="S35" s="6">
        <f>+S33+S34</f>
        <v>8908</v>
      </c>
      <c r="T35" s="6">
        <f t="shared" ref="T35:AC35" si="80">+T33+T34</f>
        <v>8186</v>
      </c>
      <c r="U35" s="6">
        <f t="shared" si="80"/>
        <v>5576</v>
      </c>
      <c r="V35" s="6">
        <f t="shared" si="80"/>
        <v>6149</v>
      </c>
      <c r="W35" s="6">
        <f t="shared" si="80"/>
        <v>10338.449999999999</v>
      </c>
      <c r="X35" s="6">
        <f t="shared" si="80"/>
        <v>11163</v>
      </c>
      <c r="Y35" s="6">
        <f t="shared" si="80"/>
        <v>14020</v>
      </c>
      <c r="Z35" s="6">
        <f t="shared" si="80"/>
        <v>16808</v>
      </c>
      <c r="AA35" s="6">
        <f t="shared" si="80"/>
        <v>14183</v>
      </c>
      <c r="AB35" s="6">
        <f t="shared" si="80"/>
        <v>15106</v>
      </c>
      <c r="AC35" s="6">
        <f t="shared" si="80"/>
        <v>17822</v>
      </c>
      <c r="AD35" s="6">
        <f>AD34+AD33</f>
        <v>19311.999202213858</v>
      </c>
      <c r="AE35" s="6"/>
      <c r="AF35" s="6"/>
      <c r="AG35" s="6"/>
      <c r="AH35" s="6"/>
      <c r="AI35" s="6"/>
      <c r="AJ35" s="6"/>
      <c r="AQ35" s="3">
        <f>+AQ33+AQ34</f>
        <v>25361</v>
      </c>
      <c r="AR35" s="3">
        <f>+AR33+AR34</f>
        <v>29812</v>
      </c>
      <c r="AS35" s="3">
        <f>+AS33+AS34</f>
        <v>33180</v>
      </c>
      <c r="AT35" s="3">
        <f t="shared" ref="AT35" si="81">+AT33+AT34</f>
        <v>47284</v>
      </c>
      <c r="AU35" s="3">
        <f t="shared" si="22"/>
        <v>28819</v>
      </c>
      <c r="AV35" s="3">
        <f t="shared" si="23"/>
        <v>52329.45</v>
      </c>
      <c r="AW35" s="3">
        <f>+AW33+AW34</f>
        <v>68378.308334999994</v>
      </c>
      <c r="AX35" s="3">
        <f t="shared" ref="AX35" si="82">+AX33+AX34</f>
        <v>81440.33629537448</v>
      </c>
      <c r="AY35" s="3">
        <f t="shared" ref="AY35" si="83">+AY33+AY34</f>
        <v>88757.528225640694</v>
      </c>
      <c r="AZ35" s="3">
        <f t="shared" ref="AZ35" si="84">+AZ33+AZ34</f>
        <v>93465.009538893471</v>
      </c>
      <c r="BA35" s="3">
        <f t="shared" ref="BA35" si="85">+BA33+BA34</f>
        <v>98307.203419206693</v>
      </c>
      <c r="BB35" s="3">
        <f t="shared" ref="BB35" si="86">+BB33+BB34</f>
        <v>103285.95667705414</v>
      </c>
      <c r="BC35" s="3">
        <f t="shared" ref="BC35" si="87">+BC33+BC34</f>
        <v>108402.99969679573</v>
      </c>
    </row>
    <row r="36" spans="2:111" s="3" customFormat="1" x14ac:dyDescent="0.25">
      <c r="B36" s="3" t="s">
        <v>45</v>
      </c>
      <c r="C36" s="6">
        <f>622+1</f>
        <v>623</v>
      </c>
      <c r="D36" s="6">
        <v>762</v>
      </c>
      <c r="E36" s="6">
        <v>775</v>
      </c>
      <c r="F36" s="6">
        <v>1089</v>
      </c>
      <c r="G36" s="6">
        <v>2216</v>
      </c>
      <c r="H36" s="6">
        <v>2216</v>
      </c>
      <c r="I36" s="6">
        <v>1238</v>
      </c>
      <c r="J36" s="6">
        <v>1820</v>
      </c>
      <c r="K36" s="6">
        <v>959</v>
      </c>
      <c r="L36" s="6">
        <v>953</v>
      </c>
      <c r="M36" s="6">
        <v>287</v>
      </c>
      <c r="N36" s="6">
        <v>1836</v>
      </c>
      <c r="O36" s="6">
        <v>2006</v>
      </c>
      <c r="P36" s="6">
        <v>2119</v>
      </c>
      <c r="Q36" s="6">
        <v>1371</v>
      </c>
      <c r="R36" s="6">
        <v>2417</v>
      </c>
      <c r="S36" s="6">
        <v>1443</v>
      </c>
      <c r="T36" s="6">
        <v>1499</v>
      </c>
      <c r="U36" s="6">
        <v>1181</v>
      </c>
      <c r="V36" s="6">
        <v>1497</v>
      </c>
      <c r="W36" s="6">
        <f t="shared" ref="W36" si="88">+W35*0.19</f>
        <v>1964.3054999999997</v>
      </c>
      <c r="X36" s="6">
        <v>1505</v>
      </c>
      <c r="Y36" s="6">
        <v>2437</v>
      </c>
      <c r="Z36" s="6">
        <v>2791</v>
      </c>
      <c r="AA36" s="6">
        <v>1814</v>
      </c>
      <c r="AB36" s="6">
        <v>1641</v>
      </c>
      <c r="AC36" s="6">
        <v>2134</v>
      </c>
      <c r="AD36" s="6">
        <f>AD35*AD50</f>
        <v>3476.1598563984944</v>
      </c>
      <c r="AE36" s="6"/>
      <c r="AF36" s="6"/>
      <c r="AG36" s="6"/>
      <c r="AH36" s="6"/>
      <c r="AI36" s="6"/>
      <c r="AJ36" s="6"/>
      <c r="AQ36" s="3">
        <f>3249+1</f>
        <v>3250</v>
      </c>
      <c r="AR36" s="3">
        <v>6327</v>
      </c>
      <c r="AS36" s="3">
        <v>4034</v>
      </c>
      <c r="AT36" s="3">
        <v>7914</v>
      </c>
      <c r="AU36" s="3">
        <f t="shared" si="22"/>
        <v>5620</v>
      </c>
      <c r="AV36" s="3">
        <f t="shared" si="23"/>
        <v>8697.3054999999986</v>
      </c>
      <c r="AW36" s="3">
        <f>+AW35*0.18</f>
        <v>12308.095500299998</v>
      </c>
      <c r="AX36" s="3">
        <f t="shared" ref="AX36:BC36" si="89">+AX35*0.18</f>
        <v>14659.260533167406</v>
      </c>
      <c r="AY36" s="3">
        <f t="shared" si="89"/>
        <v>15976.355080615323</v>
      </c>
      <c r="AZ36" s="3">
        <f t="shared" si="89"/>
        <v>16823.701717000826</v>
      </c>
      <c r="BA36" s="3">
        <f t="shared" si="89"/>
        <v>17695.296615457206</v>
      </c>
      <c r="BB36" s="3">
        <f t="shared" si="89"/>
        <v>18591.472201869747</v>
      </c>
      <c r="BC36" s="3">
        <f t="shared" si="89"/>
        <v>19512.539945423228</v>
      </c>
    </row>
    <row r="37" spans="2:111" s="3" customFormat="1" x14ac:dyDescent="0.25">
      <c r="B37" s="3" t="s">
        <v>46</v>
      </c>
      <c r="C37" s="6">
        <f t="shared" ref="C37:D37" si="90">+C35-C36</f>
        <v>4987</v>
      </c>
      <c r="D37" s="6">
        <f t="shared" si="90"/>
        <v>5106</v>
      </c>
      <c r="E37" s="6">
        <f t="shared" ref="E37:G37" si="91">+E35-E36</f>
        <v>5137</v>
      </c>
      <c r="F37" s="6">
        <f t="shared" si="91"/>
        <v>6882</v>
      </c>
      <c r="G37" s="6">
        <f t="shared" si="91"/>
        <v>4307</v>
      </c>
      <c r="H37" s="6">
        <f t="shared" ref="H37" si="92">+H35-H36</f>
        <v>4616</v>
      </c>
      <c r="I37" s="6">
        <f t="shared" ref="I37:J37" si="93">+I35-I36</f>
        <v>6091</v>
      </c>
      <c r="J37" s="6">
        <f t="shared" si="93"/>
        <v>7349</v>
      </c>
      <c r="K37" s="6">
        <f t="shared" ref="K37:L37" si="94">+K35-K36</f>
        <v>4902</v>
      </c>
      <c r="L37" s="6">
        <f t="shared" si="94"/>
        <v>5178</v>
      </c>
      <c r="M37" s="6">
        <f t="shared" ref="M37:R37" si="95">+M35-M36</f>
        <v>7846</v>
      </c>
      <c r="N37" s="6">
        <f t="shared" si="95"/>
        <v>11219</v>
      </c>
      <c r="O37" s="6">
        <f t="shared" si="95"/>
        <v>9497</v>
      </c>
      <c r="P37" s="6">
        <f t="shared" si="95"/>
        <v>10394</v>
      </c>
      <c r="Q37" s="6">
        <f t="shared" si="95"/>
        <v>9194</v>
      </c>
      <c r="R37" s="6">
        <f t="shared" si="95"/>
        <v>10285</v>
      </c>
      <c r="S37" s="6">
        <f>+S35-S36</f>
        <v>7465</v>
      </c>
      <c r="T37" s="6">
        <f t="shared" ref="T37:V37" si="96">+T35-T36</f>
        <v>6687</v>
      </c>
      <c r="U37" s="6">
        <f t="shared" si="96"/>
        <v>4395</v>
      </c>
      <c r="V37" s="6">
        <f t="shared" si="96"/>
        <v>4652</v>
      </c>
      <c r="W37" s="6">
        <f t="shared" ref="W37:AD37" si="97">+W35-W36</f>
        <v>8374.1444999999985</v>
      </c>
      <c r="X37" s="6">
        <f t="shared" si="97"/>
        <v>9658</v>
      </c>
      <c r="Y37" s="6">
        <f t="shared" si="97"/>
        <v>11583</v>
      </c>
      <c r="Z37" s="6">
        <f t="shared" si="97"/>
        <v>14017</v>
      </c>
      <c r="AA37" s="6">
        <f t="shared" si="97"/>
        <v>12369</v>
      </c>
      <c r="AB37" s="6">
        <f t="shared" si="97"/>
        <v>13465</v>
      </c>
      <c r="AC37" s="6">
        <f t="shared" si="97"/>
        <v>15688</v>
      </c>
      <c r="AD37" s="6">
        <f t="shared" si="97"/>
        <v>15835.839345815362</v>
      </c>
      <c r="AE37" s="6"/>
      <c r="AF37" s="6"/>
      <c r="AG37" s="6"/>
      <c r="AH37" s="6"/>
      <c r="AI37" s="6"/>
      <c r="AJ37" s="6"/>
      <c r="AQ37" s="3">
        <f>+AQ35-AQ36</f>
        <v>22111</v>
      </c>
      <c r="AR37" s="3">
        <f>+AR35-AR36</f>
        <v>23485</v>
      </c>
      <c r="AS37" s="3">
        <f>+AS35-AS36</f>
        <v>29146</v>
      </c>
      <c r="AT37" s="3">
        <f t="shared" ref="AT37" si="98">+AT35-AT36</f>
        <v>39370</v>
      </c>
      <c r="AU37" s="3">
        <f t="shared" si="22"/>
        <v>23199</v>
      </c>
      <c r="AV37" s="3">
        <f t="shared" si="23"/>
        <v>43632.144499999995</v>
      </c>
      <c r="AW37" s="3">
        <f>SUM(AA37:AD37)</f>
        <v>57357.839345815359</v>
      </c>
      <c r="AX37" s="3">
        <f>+AX35-AX36</f>
        <v>66781.075762207067</v>
      </c>
      <c r="AY37" s="3">
        <f t="shared" ref="AY37" si="99">+AY35-AY36</f>
        <v>72781.173145025372</v>
      </c>
      <c r="AZ37" s="3">
        <f t="shared" ref="AZ37" si="100">+AZ35-AZ36</f>
        <v>76641.307821892638</v>
      </c>
      <c r="BA37" s="3">
        <f t="shared" ref="BA37" si="101">+BA35-BA36</f>
        <v>80611.906803749487</v>
      </c>
      <c r="BB37" s="3">
        <f t="shared" ref="BB37" si="102">+BB35-BB36</f>
        <v>84694.484475184392</v>
      </c>
      <c r="BC37" s="3">
        <f>+BC35-BC36</f>
        <v>88890.459751372502</v>
      </c>
      <c r="BD37" s="3">
        <f>+BC37*(1+$BH$51)</f>
        <v>87112.650556345048</v>
      </c>
      <c r="BE37" s="3">
        <f t="shared" ref="BE37:CI37" si="103">+BD37*(1+$BH$51)</f>
        <v>85370.397545218148</v>
      </c>
      <c r="BF37" s="3">
        <f t="shared" si="103"/>
        <v>83662.989594313782</v>
      </c>
      <c r="BG37" s="3">
        <f t="shared" si="103"/>
        <v>81989.729802427508</v>
      </c>
      <c r="BH37" s="3">
        <f t="shared" si="103"/>
        <v>80349.935206378956</v>
      </c>
      <c r="BI37" s="3">
        <f t="shared" si="103"/>
        <v>78742.936502251381</v>
      </c>
      <c r="BJ37" s="3">
        <f t="shared" si="103"/>
        <v>77168.07777220635</v>
      </c>
      <c r="BK37" s="3">
        <f t="shared" si="103"/>
        <v>75624.716216762215</v>
      </c>
      <c r="BL37" s="3">
        <f t="shared" si="103"/>
        <v>74112.221892426969</v>
      </c>
      <c r="BM37" s="3">
        <f t="shared" si="103"/>
        <v>72629.977454578431</v>
      </c>
      <c r="BN37" s="3">
        <f t="shared" si="103"/>
        <v>71177.377905486865</v>
      </c>
      <c r="BO37" s="3">
        <f t="shared" si="103"/>
        <v>69753.830347377123</v>
      </c>
      <c r="BP37" s="3">
        <f t="shared" si="103"/>
        <v>68358.753740429573</v>
      </c>
      <c r="BQ37" s="3">
        <f t="shared" si="103"/>
        <v>66991.578665620982</v>
      </c>
      <c r="BR37" s="3">
        <f t="shared" si="103"/>
        <v>65651.747092308564</v>
      </c>
      <c r="BS37" s="3">
        <f t="shared" si="103"/>
        <v>64338.712150462394</v>
      </c>
      <c r="BT37" s="3">
        <f t="shared" si="103"/>
        <v>63051.937907453146</v>
      </c>
      <c r="BU37" s="3">
        <f t="shared" si="103"/>
        <v>61790.899149304081</v>
      </c>
      <c r="BV37" s="3">
        <f t="shared" si="103"/>
        <v>60555.081166317999</v>
      </c>
      <c r="BW37" s="3">
        <f t="shared" si="103"/>
        <v>59343.979542991641</v>
      </c>
      <c r="BX37" s="3">
        <f t="shared" si="103"/>
        <v>58157.099952131808</v>
      </c>
      <c r="BY37" s="3">
        <f t="shared" si="103"/>
        <v>56993.957953089171</v>
      </c>
      <c r="BZ37" s="3">
        <f t="shared" si="103"/>
        <v>55854.078794027388</v>
      </c>
      <c r="CA37" s="3">
        <f t="shared" si="103"/>
        <v>54736.99721814684</v>
      </c>
      <c r="CB37" s="3">
        <f t="shared" si="103"/>
        <v>53642.2572737839</v>
      </c>
      <c r="CC37" s="3">
        <f t="shared" si="103"/>
        <v>52569.41212830822</v>
      </c>
      <c r="CD37" s="3">
        <f t="shared" si="103"/>
        <v>51518.023885742055</v>
      </c>
      <c r="CE37" s="3">
        <f t="shared" si="103"/>
        <v>50487.663408027212</v>
      </c>
      <c r="CF37" s="3">
        <f t="shared" si="103"/>
        <v>49477.910139866668</v>
      </c>
      <c r="CG37" s="3">
        <f t="shared" si="103"/>
        <v>48488.351937069332</v>
      </c>
      <c r="CH37" s="3">
        <f t="shared" si="103"/>
        <v>47518.584898327943</v>
      </c>
      <c r="CI37" s="3">
        <f t="shared" si="103"/>
        <v>46568.213200361381</v>
      </c>
      <c r="CJ37" s="3">
        <f t="shared" ref="CJ37:DG37" si="104">+CI37*(1+$BH$51)</f>
        <v>45636.848936354152</v>
      </c>
      <c r="CK37" s="3">
        <f t="shared" si="104"/>
        <v>44724.111957627065</v>
      </c>
      <c r="CL37" s="3">
        <f t="shared" si="104"/>
        <v>43829.62971847452</v>
      </c>
      <c r="CM37" s="3">
        <f t="shared" si="104"/>
        <v>42953.037124105031</v>
      </c>
      <c r="CN37" s="3">
        <f t="shared" si="104"/>
        <v>42093.976381622932</v>
      </c>
      <c r="CO37" s="3">
        <f t="shared" si="104"/>
        <v>41252.096853990472</v>
      </c>
      <c r="CP37" s="3">
        <f t="shared" si="104"/>
        <v>40427.05491691066</v>
      </c>
      <c r="CQ37" s="3">
        <f t="shared" si="104"/>
        <v>39618.513818572443</v>
      </c>
      <c r="CR37" s="3">
        <f t="shared" si="104"/>
        <v>38826.143542200996</v>
      </c>
      <c r="CS37" s="3">
        <f t="shared" si="104"/>
        <v>38049.620671356977</v>
      </c>
      <c r="CT37" s="3">
        <f t="shared" si="104"/>
        <v>37288.628257929835</v>
      </c>
      <c r="CU37" s="3">
        <f t="shared" si="104"/>
        <v>36542.855692771234</v>
      </c>
      <c r="CV37" s="3">
        <f t="shared" si="104"/>
        <v>35811.998578915809</v>
      </c>
      <c r="CW37" s="3">
        <f t="shared" si="104"/>
        <v>35095.758607337491</v>
      </c>
      <c r="CX37" s="3">
        <f t="shared" si="104"/>
        <v>34393.843435190742</v>
      </c>
      <c r="CY37" s="3">
        <f t="shared" si="104"/>
        <v>33705.966566486924</v>
      </c>
      <c r="CZ37" s="3">
        <f t="shared" si="104"/>
        <v>33031.847235157184</v>
      </c>
      <c r="DA37" s="3">
        <f t="shared" si="104"/>
        <v>32371.210290454041</v>
      </c>
      <c r="DB37" s="3">
        <f t="shared" si="104"/>
        <v>31723.786084644958</v>
      </c>
      <c r="DC37" s="3">
        <f t="shared" si="104"/>
        <v>31089.310362952059</v>
      </c>
      <c r="DD37" s="3">
        <f t="shared" si="104"/>
        <v>30467.524155693016</v>
      </c>
      <c r="DE37" s="3">
        <f t="shared" si="104"/>
        <v>29858.173672579156</v>
      </c>
      <c r="DF37" s="3">
        <f t="shared" si="104"/>
        <v>29261.010199127573</v>
      </c>
      <c r="DG37" s="3">
        <f t="shared" si="104"/>
        <v>28675.78999514502</v>
      </c>
    </row>
    <row r="38" spans="2:111" customFormat="1" x14ac:dyDescent="0.25">
      <c r="B38" s="3" t="s">
        <v>47</v>
      </c>
      <c r="C38" s="9">
        <f t="shared" ref="C38:D38" si="105">+C37/C39</f>
        <v>1.6933786078098472</v>
      </c>
      <c r="D38" s="9">
        <f t="shared" si="105"/>
        <v>1.7426621160409557</v>
      </c>
      <c r="E38" s="9">
        <f t="shared" ref="E38:G38" si="106">+E37/E39</f>
        <v>1.7634740817027119</v>
      </c>
      <c r="F38" s="9">
        <f t="shared" si="106"/>
        <v>2.3846153846153846</v>
      </c>
      <c r="G38" s="9">
        <f t="shared" si="106"/>
        <v>1.4980869565217392</v>
      </c>
      <c r="H38" s="9">
        <f t="shared" ref="H38" si="107">+H37/H39</f>
        <v>1.6055652173913044</v>
      </c>
      <c r="I38" s="9">
        <f t="shared" ref="I38:J38" si="108">+I37/I39</f>
        <v>2.1193458594293668</v>
      </c>
      <c r="J38" s="9">
        <f t="shared" si="108"/>
        <v>2.559735283873215</v>
      </c>
      <c r="K38" s="9">
        <f t="shared" ref="K38:L38" si="109">+K37/K39</f>
        <v>1.7092050209205021</v>
      </c>
      <c r="L38" s="9">
        <f t="shared" si="109"/>
        <v>1.7985411601250434</v>
      </c>
      <c r="M38" s="9">
        <f t="shared" ref="M38:R38" si="110">+M37/M39</f>
        <v>2.7139398132134209</v>
      </c>
      <c r="N38" s="9">
        <f t="shared" si="110"/>
        <v>3.882006920415225</v>
      </c>
      <c r="O38" s="9">
        <f t="shared" si="110"/>
        <v>3.2952810548230396</v>
      </c>
      <c r="P38" s="9">
        <f t="shared" si="110"/>
        <v>3.6127911018421965</v>
      </c>
      <c r="Q38" s="9">
        <f t="shared" si="110"/>
        <v>3.2158097236796084</v>
      </c>
      <c r="R38" s="9">
        <f t="shared" si="110"/>
        <v>3.6745266166488033</v>
      </c>
      <c r="S38" s="9">
        <f>+S37/S39</f>
        <v>2.7224653537563821</v>
      </c>
      <c r="T38" s="9">
        <f t="shared" ref="T38:V38" si="111">+T37/T39</f>
        <v>2.4647991153704387</v>
      </c>
      <c r="U38" s="9">
        <f t="shared" si="111"/>
        <v>1.6356531447711202</v>
      </c>
      <c r="V38" s="9">
        <f t="shared" si="111"/>
        <v>1.7621212121212122</v>
      </c>
      <c r="W38" s="9">
        <f t="shared" ref="W38:AD38" si="112">+W37/W39</f>
        <v>3.1720244318181812</v>
      </c>
      <c r="X38" s="9">
        <f t="shared" si="112"/>
        <v>3.6975497702909648</v>
      </c>
      <c r="Y38" s="9">
        <f t="shared" si="112"/>
        <v>4.3858386974630825</v>
      </c>
      <c r="Z38" s="9">
        <f t="shared" si="112"/>
        <v>5.3296577946768062</v>
      </c>
      <c r="AA38" s="9">
        <f t="shared" si="112"/>
        <v>4.7119999999999997</v>
      </c>
      <c r="AB38" s="9">
        <f t="shared" si="112"/>
        <v>5.1590038314176248</v>
      </c>
      <c r="AC38" s="9">
        <f t="shared" si="112"/>
        <v>6.0338461538461541</v>
      </c>
      <c r="AD38" s="9">
        <f t="shared" si="112"/>
        <v>6.0907074406982167</v>
      </c>
      <c r="AE38" s="9"/>
      <c r="AF38" s="9"/>
      <c r="AG38" s="9"/>
      <c r="AH38" s="9"/>
      <c r="AI38" s="9"/>
      <c r="AJ38" s="9"/>
      <c r="AQ38" s="17">
        <f>+AQ37/AQ39</f>
        <v>7.5696679219445393</v>
      </c>
      <c r="AR38" s="17">
        <f>+AR37/AR39</f>
        <v>8.1658553546592483</v>
      </c>
      <c r="AS38" s="17">
        <f>+AS37/AS39</f>
        <v>10.092105263157896</v>
      </c>
      <c r="AT38" s="17">
        <f t="shared" ref="AT38" si="113">+AT37/AT39</f>
        <v>13.770549143057012</v>
      </c>
      <c r="AU38" s="3">
        <f>AU37/AU39</f>
        <v>8.7841726618705032</v>
      </c>
      <c r="AV38" s="3">
        <f>AV37/AV39</f>
        <v>16.590169011406843</v>
      </c>
      <c r="AW38" s="17">
        <f t="shared" ref="AW38" si="114">+AW37/AW39</f>
        <v>21.809064390043861</v>
      </c>
      <c r="AX38" s="17">
        <f t="shared" ref="AX38" si="115">+AX37/AX39</f>
        <v>25.392044016048313</v>
      </c>
      <c r="AY38" s="17">
        <f t="shared" ref="AY38" si="116">+AY37/AY39</f>
        <v>27.673449865028658</v>
      </c>
      <c r="AZ38" s="17">
        <f t="shared" ref="AZ38" si="117">+AZ37/AZ39</f>
        <v>29.141181681328</v>
      </c>
      <c r="BA38" s="17">
        <f t="shared" ref="BA38" si="118">+BA37/BA39</f>
        <v>30.65091513450551</v>
      </c>
      <c r="BB38" s="17">
        <f t="shared" ref="BB38" si="119">+BB37/BB39</f>
        <v>32.203226036191786</v>
      </c>
      <c r="BC38" s="17">
        <f t="shared" ref="BC38" si="120">+BC37/BC39</f>
        <v>33.79865389786027</v>
      </c>
    </row>
    <row r="39" spans="2:111" s="3" customFormat="1" x14ac:dyDescent="0.25">
      <c r="B39" s="3" t="s">
        <v>2</v>
      </c>
      <c r="C39" s="6">
        <v>2945</v>
      </c>
      <c r="D39" s="6">
        <v>2930</v>
      </c>
      <c r="E39" s="6">
        <v>2913</v>
      </c>
      <c r="F39" s="6">
        <v>2886</v>
      </c>
      <c r="G39" s="6">
        <v>2875</v>
      </c>
      <c r="H39" s="6">
        <v>2875</v>
      </c>
      <c r="I39" s="6">
        <v>2874</v>
      </c>
      <c r="J39" s="6">
        <v>2871</v>
      </c>
      <c r="K39" s="6">
        <v>2868</v>
      </c>
      <c r="L39" s="6">
        <v>2879</v>
      </c>
      <c r="M39" s="6">
        <v>2891</v>
      </c>
      <c r="N39" s="6">
        <v>2890</v>
      </c>
      <c r="O39" s="6">
        <v>2882</v>
      </c>
      <c r="P39" s="6">
        <v>2877</v>
      </c>
      <c r="Q39" s="6">
        <v>2859</v>
      </c>
      <c r="R39" s="6">
        <v>2799</v>
      </c>
      <c r="S39" s="6">
        <v>2742</v>
      </c>
      <c r="T39" s="6">
        <v>2713</v>
      </c>
      <c r="U39" s="6">
        <v>2687</v>
      </c>
      <c r="V39" s="6">
        <v>2640</v>
      </c>
      <c r="W39" s="6">
        <f>+V39</f>
        <v>2640</v>
      </c>
      <c r="X39" s="6">
        <v>2612</v>
      </c>
      <c r="Y39" s="6">
        <v>2641</v>
      </c>
      <c r="Z39" s="6">
        <v>2630</v>
      </c>
      <c r="AA39" s="6">
        <v>2625</v>
      </c>
      <c r="AB39" s="6">
        <v>2610</v>
      </c>
      <c r="AC39" s="6">
        <v>2600</v>
      </c>
      <c r="AD39" s="6">
        <v>2600</v>
      </c>
      <c r="AE39" s="6"/>
      <c r="AF39" s="6"/>
      <c r="AG39" s="6"/>
      <c r="AH39" s="6"/>
      <c r="AI39" s="6"/>
      <c r="AJ39" s="6"/>
      <c r="AP39" s="3">
        <f>2395.921635+509.079123</f>
        <v>2905.0007580000001</v>
      </c>
      <c r="AQ39" s="3">
        <v>2921</v>
      </c>
      <c r="AR39" s="3">
        <v>2876</v>
      </c>
      <c r="AS39" s="3">
        <v>2888</v>
      </c>
      <c r="AT39" s="3">
        <v>2859</v>
      </c>
      <c r="AU39" s="6">
        <v>2641</v>
      </c>
      <c r="AV39" s="6">
        <v>2630</v>
      </c>
      <c r="AW39" s="3">
        <f t="shared" ref="AW39:BC39" si="121">+AV39</f>
        <v>2630</v>
      </c>
      <c r="AX39" s="3">
        <f t="shared" si="121"/>
        <v>2630</v>
      </c>
      <c r="AY39" s="3">
        <f t="shared" si="121"/>
        <v>2630</v>
      </c>
      <c r="AZ39" s="3">
        <f t="shared" si="121"/>
        <v>2630</v>
      </c>
      <c r="BA39" s="3">
        <f t="shared" si="121"/>
        <v>2630</v>
      </c>
      <c r="BB39" s="3">
        <f t="shared" si="121"/>
        <v>2630</v>
      </c>
      <c r="BC39" s="3">
        <f t="shared" si="121"/>
        <v>2630</v>
      </c>
    </row>
    <row r="40" spans="2:111" customForma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6"/>
      <c r="T40" s="1"/>
      <c r="U40" s="1"/>
      <c r="V40" s="1"/>
      <c r="W40" s="1"/>
      <c r="X40" s="1"/>
      <c r="Y40" s="1"/>
    </row>
    <row r="41" spans="2:111" s="4" customFormat="1" x14ac:dyDescent="0.25">
      <c r="B41" s="7" t="s">
        <v>48</v>
      </c>
      <c r="C41" s="12"/>
      <c r="D41" s="12"/>
      <c r="E41" s="12"/>
      <c r="F41" s="12"/>
      <c r="G41" s="11">
        <f t="shared" ref="G41:K41" si="122">+G26/C26-1</f>
        <v>0.25998662878154777</v>
      </c>
      <c r="H41" s="11">
        <f t="shared" si="122"/>
        <v>0.2762451817700855</v>
      </c>
      <c r="I41" s="11">
        <f t="shared" si="122"/>
        <v>0.2859328331026445</v>
      </c>
      <c r="J41" s="11">
        <f t="shared" si="122"/>
        <v>0.2464230814709707</v>
      </c>
      <c r="K41" s="11">
        <f t="shared" si="122"/>
        <v>0.17642767128739134</v>
      </c>
      <c r="L41" s="11">
        <f>+L26/H26-1</f>
        <v>0.10665640175293145</v>
      </c>
      <c r="M41" s="11">
        <f>+M26/I26-1</f>
        <v>0.21629277135735325</v>
      </c>
      <c r="N41" s="11">
        <f>+N26/J26-1</f>
        <v>0.33156247035385644</v>
      </c>
      <c r="O41" s="11">
        <f>+O26/K26-1</f>
        <v>0.47550318543158365</v>
      </c>
      <c r="P41" s="11">
        <f>+P26/L26-1</f>
        <v>0.5560014983678494</v>
      </c>
      <c r="Q41" s="11">
        <f t="shared" ref="Q41:R41" si="123">+Q26/M26-1</f>
        <v>0.35118770377270603</v>
      </c>
      <c r="R41" s="11">
        <f t="shared" si="123"/>
        <v>0.19945141065830718</v>
      </c>
      <c r="S41" s="11">
        <f>+S26/O26-1</f>
        <v>6.6371174200450911E-2</v>
      </c>
      <c r="T41" s="11">
        <f>+T26/P26-1</f>
        <v>-8.7698180692643568E-3</v>
      </c>
      <c r="U41" s="11">
        <f>+U26/Q26-1</f>
        <v>-4.4674250258531556E-2</v>
      </c>
      <c r="V41" s="11">
        <f t="shared" ref="V41" si="124">+V26/R26-1</f>
        <v>-4.4726916337501144E-2</v>
      </c>
      <c r="W41" s="11">
        <f>+W26/S26-1</f>
        <v>2.6408198366060009E-2</v>
      </c>
      <c r="X41" s="11">
        <f t="shared" ref="X41" si="125">+X26/T26-1</f>
        <v>0.11022829782804799</v>
      </c>
      <c r="Y41" s="11">
        <f t="shared" ref="Y41" si="126">+Y26/U26-1</f>
        <v>0.23208486685429741</v>
      </c>
      <c r="Z41" s="11">
        <f t="shared" ref="Z41" si="127">+Z26/V26-1</f>
        <v>0.24703870666873939</v>
      </c>
      <c r="AA41" s="11">
        <f>+AA26/W26-1</f>
        <v>0.27264793157619138</v>
      </c>
      <c r="AB41" s="11">
        <f>+AB26/X26-1</f>
        <v>0.2210069064658271</v>
      </c>
      <c r="AC41" s="11">
        <f>+AC26/Y26-1</f>
        <v>0.18868974404029748</v>
      </c>
      <c r="AD41" s="11">
        <f>+AD26/Z26-1</f>
        <v>0.15429682630699815</v>
      </c>
      <c r="AE41" s="11"/>
      <c r="AF41" s="11"/>
      <c r="AG41" s="11"/>
      <c r="AH41" s="11"/>
      <c r="AI41" s="11"/>
      <c r="AJ41" s="11"/>
      <c r="AM41" s="18">
        <f t="shared" ref="AM41:AQ41" si="128">+AM26/AL26-1</f>
        <v>0.58358739837398366</v>
      </c>
      <c r="AN41" s="18">
        <f t="shared" si="128"/>
        <v>0.43815177282207607</v>
      </c>
      <c r="AO41" s="18">
        <f t="shared" si="128"/>
        <v>0.54161088799643009</v>
      </c>
      <c r="AP41" s="18">
        <f t="shared" si="128"/>
        <v>0.47090961719371882</v>
      </c>
      <c r="AQ41" s="18">
        <f t="shared" si="128"/>
        <v>0.37352716896661997</v>
      </c>
      <c r="AR41" s="18">
        <f>+AR26/AQ26-1</f>
        <v>0.26610910132884413</v>
      </c>
      <c r="AS41" s="18">
        <f>+AS26/AR26-1</f>
        <v>0.21596390228722573</v>
      </c>
      <c r="AT41" s="18">
        <f>+AT26/AS26-1</f>
        <v>0.37182574303495608</v>
      </c>
      <c r="AU41" s="18">
        <f>+AU26/AT26-1</f>
        <v>-1.1193175554782941E-2</v>
      </c>
      <c r="AV41" s="18">
        <f t="shared" ref="AV41:BC41" si="129">+AV26/AU26-1</f>
        <v>0.15686610810486323</v>
      </c>
      <c r="AW41" s="18">
        <f t="shared" si="129"/>
        <v>0.20395697585636885</v>
      </c>
      <c r="AX41" s="18">
        <f t="shared" si="129"/>
        <v>0.10000000000000009</v>
      </c>
      <c r="AY41" s="18">
        <f t="shared" si="129"/>
        <v>5.0000000000000044E-2</v>
      </c>
      <c r="AZ41" s="18">
        <f t="shared" si="129"/>
        <v>3.0000000000000027E-2</v>
      </c>
      <c r="BA41" s="18">
        <f t="shared" si="129"/>
        <v>3.0000000000000027E-2</v>
      </c>
      <c r="BB41" s="18">
        <f t="shared" si="129"/>
        <v>3.0000000000000027E-2</v>
      </c>
      <c r="BC41" s="18">
        <f t="shared" si="129"/>
        <v>3.0000000000000027E-2</v>
      </c>
    </row>
    <row r="42" spans="2:111" s="4" customFormat="1" x14ac:dyDescent="0.25">
      <c r="B42" s="7" t="s">
        <v>95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>
        <f>+O22/K22-1</f>
        <v>0.41985917173887088</v>
      </c>
      <c r="P42" s="11">
        <f t="shared" ref="P42:R42" si="130">+P22/L22-1</f>
        <v>0.47543879015343848</v>
      </c>
      <c r="Q42" s="11">
        <f t="shared" si="130"/>
        <v>0.31097316780136164</v>
      </c>
      <c r="R42" s="11">
        <f t="shared" si="130"/>
        <v>0.14539923954372624</v>
      </c>
      <c r="S42" s="11">
        <f>+S22/O22-1</f>
        <v>1.0674960073968176E-2</v>
      </c>
      <c r="T42" s="11">
        <f>+T22/P22-1</f>
        <v>-4.3244052072422545E-2</v>
      </c>
      <c r="U42" s="11">
        <f>+U22/Q22-1</f>
        <v>-2.5049641056972605E-2</v>
      </c>
      <c r="V42" s="11"/>
      <c r="W42" s="12"/>
      <c r="X42" s="12"/>
      <c r="Y42" s="12"/>
      <c r="AA42" s="11"/>
      <c r="AB42" s="11"/>
      <c r="AC42" s="11"/>
    </row>
    <row r="43" spans="2:111" s="3" customFormat="1" x14ac:dyDescent="0.25">
      <c r="B43" s="3" t="s">
        <v>97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>
        <v>0.15</v>
      </c>
      <c r="T43" s="10">
        <v>0.15</v>
      </c>
      <c r="U43" s="10">
        <v>0.17</v>
      </c>
      <c r="V43" s="10"/>
      <c r="W43" s="6"/>
      <c r="X43" s="6"/>
      <c r="Y43" s="6"/>
      <c r="AA43" s="10"/>
      <c r="AB43" s="10"/>
    </row>
    <row r="44" spans="2:111" s="3" customFormat="1" x14ac:dyDescent="0.25">
      <c r="B44" s="3" t="s">
        <v>96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>
        <v>-0.08</v>
      </c>
      <c r="T44" s="10">
        <v>-0.14000000000000001</v>
      </c>
      <c r="U44" s="10">
        <v>-0.18</v>
      </c>
      <c r="V44" s="10">
        <v>-0.22</v>
      </c>
      <c r="W44" s="6"/>
      <c r="X44" s="6"/>
      <c r="Y44" s="6"/>
      <c r="AA44" s="10"/>
      <c r="AB44" s="10"/>
    </row>
    <row r="45" spans="2:111" s="3" customFormat="1" x14ac:dyDescent="0.25">
      <c r="B45" s="3" t="s">
        <v>108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0"/>
      <c r="P45" s="10"/>
      <c r="Q45" s="10"/>
      <c r="R45" s="10">
        <f t="shared" ref="R45" si="131">+R24/N24-1</f>
        <v>0.22315202231520215</v>
      </c>
      <c r="S45" s="10">
        <f t="shared" ref="S45:Z45" si="132">+S24/O24-1</f>
        <v>0.30149812734082393</v>
      </c>
      <c r="T45" s="10">
        <f t="shared" si="132"/>
        <v>0.4819672131147541</v>
      </c>
      <c r="U45" s="10">
        <f t="shared" si="132"/>
        <v>-0.489247311827957</v>
      </c>
      <c r="V45" s="10">
        <f t="shared" si="132"/>
        <v>-0.17103762827822122</v>
      </c>
      <c r="W45" s="10">
        <f t="shared" si="132"/>
        <v>-0.51223021582733819</v>
      </c>
      <c r="X45" s="10">
        <f t="shared" si="132"/>
        <v>-0.38938053097345138</v>
      </c>
      <c r="Y45" s="10">
        <f t="shared" si="132"/>
        <v>-0.26315789473684215</v>
      </c>
      <c r="Z45" s="10">
        <f t="shared" si="132"/>
        <v>0.47317744154057761</v>
      </c>
      <c r="AA45" s="10">
        <f>+AA24/W24-1</f>
        <v>0.29793510324483785</v>
      </c>
      <c r="AB45" s="10">
        <f>+AB24/X24-1</f>
        <v>0.27898550724637672</v>
      </c>
      <c r="AC45" s="10">
        <f>+AC24/Y24-1</f>
        <v>0.28571428571428581</v>
      </c>
      <c r="AD45" s="10"/>
      <c r="AE45" s="10"/>
      <c r="AF45" s="10"/>
      <c r="AG45" s="10"/>
      <c r="AH45" s="10"/>
      <c r="AI45" s="10"/>
      <c r="AJ45" s="10"/>
      <c r="AS45" s="19">
        <f t="shared" ref="AS45" si="133">AS24/AR24-1</f>
        <v>1.2734530938123751</v>
      </c>
      <c r="AT45" s="19">
        <f>AT24/AS24-1</f>
        <v>0.99648814749780512</v>
      </c>
      <c r="AU45" s="19">
        <f>AU24/AT24-1</f>
        <v>-1</v>
      </c>
    </row>
    <row r="46" spans="2:111" s="3" customFormat="1" x14ac:dyDescent="0.25">
      <c r="B46" s="3" t="s">
        <v>135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0">
        <f t="shared" ref="Q46:T46" si="134">+Q32/M32-1</f>
        <v>0.38761368557817244</v>
      </c>
      <c r="R46" s="10">
        <f t="shared" si="134"/>
        <v>0.46108852979081982</v>
      </c>
      <c r="S46" s="10">
        <f t="shared" si="134"/>
        <v>0.38470296004967919</v>
      </c>
      <c r="T46" s="10">
        <f t="shared" si="134"/>
        <v>0.35019008045265676</v>
      </c>
      <c r="U46" s="10">
        <f>+U32/Q32-1</f>
        <v>0.27450062421972543</v>
      </c>
      <c r="V46" s="10">
        <f t="shared" ref="V46:Z46" si="135">+V32/R32-1</f>
        <v>0.18265707694395439</v>
      </c>
      <c r="W46" s="10">
        <f t="shared" si="135"/>
        <v>-9.9999999999999978E-2</v>
      </c>
      <c r="X46" s="10">
        <f t="shared" si="135"/>
        <v>-3.1430068098480923E-2</v>
      </c>
      <c r="Y46" s="10">
        <f t="shared" si="135"/>
        <v>-0.13138239255540585</v>
      </c>
      <c r="Z46" s="10">
        <f t="shared" si="135"/>
        <v>-8.0206540447504304E-2</v>
      </c>
      <c r="AA46" s="10">
        <f>+AA32/W32-1</f>
        <v>0.32853310744035014</v>
      </c>
      <c r="AB46" s="10">
        <f>+AB32/X32-1</f>
        <v>0.14359113034072468</v>
      </c>
      <c r="AC46" s="10">
        <f>+AC32/Y32-1</f>
        <v>0.11812799548914565</v>
      </c>
      <c r="AD46" s="10"/>
      <c r="AE46" s="10"/>
      <c r="AF46" s="10"/>
      <c r="AG46" s="10"/>
      <c r="AH46" s="10"/>
      <c r="AI46" s="10"/>
      <c r="AJ46" s="10"/>
    </row>
    <row r="47" spans="2:111" s="3" customFormat="1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2:111" s="3" customFormat="1" x14ac:dyDescent="0.25">
      <c r="B48" s="3" t="s">
        <v>37</v>
      </c>
      <c r="C48" s="10">
        <f t="shared" ref="C48:Z48" si="136">+C28/C26</f>
        <v>0.8389603877653351</v>
      </c>
      <c r="D48" s="10">
        <f t="shared" si="136"/>
        <v>0.83266570931902351</v>
      </c>
      <c r="E48" s="10">
        <f t="shared" si="136"/>
        <v>0.82385080498288044</v>
      </c>
      <c r="F48" s="10">
        <f t="shared" si="136"/>
        <v>0.83469315360056762</v>
      </c>
      <c r="G48" s="10">
        <f t="shared" si="136"/>
        <v>0.81322544272733299</v>
      </c>
      <c r="H48" s="10">
        <f t="shared" si="136"/>
        <v>0.80415729006277392</v>
      </c>
      <c r="I48" s="10">
        <f t="shared" si="136"/>
        <v>0.82126671198731027</v>
      </c>
      <c r="J48" s="10">
        <f t="shared" si="136"/>
        <v>0.83436106631249407</v>
      </c>
      <c r="K48" s="10">
        <f t="shared" si="136"/>
        <v>0.80498393189378137</v>
      </c>
      <c r="L48" s="10">
        <f t="shared" si="136"/>
        <v>0.7950981966072671</v>
      </c>
      <c r="M48" s="10">
        <f t="shared" si="136"/>
        <v>0.80465766185374943</v>
      </c>
      <c r="N48" s="10">
        <f t="shared" si="136"/>
        <v>0.81440581362211462</v>
      </c>
      <c r="O48" s="10">
        <f t="shared" si="136"/>
        <v>0.80394329601467274</v>
      </c>
      <c r="P48" s="10">
        <f t="shared" si="136"/>
        <v>0.81432059703545756</v>
      </c>
      <c r="Q48" s="10">
        <f t="shared" si="136"/>
        <v>0.80106859703550504</v>
      </c>
      <c r="R48" s="10">
        <f t="shared" si="136"/>
        <v>0.81146981081642955</v>
      </c>
      <c r="S48" s="10">
        <f t="shared" si="136"/>
        <v>0.78482872294682526</v>
      </c>
      <c r="T48" s="10">
        <f t="shared" si="136"/>
        <v>0.81985982929706469</v>
      </c>
      <c r="U48" s="10">
        <f t="shared" si="136"/>
        <v>0.79375045103557773</v>
      </c>
      <c r="V48" s="10">
        <f t="shared" si="136"/>
        <v>0.74083631276231932</v>
      </c>
      <c r="W48" s="10">
        <f t="shared" si="136"/>
        <v>0.78999999999999992</v>
      </c>
      <c r="X48" s="10">
        <f t="shared" si="136"/>
        <v>0.81421294415450485</v>
      </c>
      <c r="Y48" s="10">
        <f t="shared" si="136"/>
        <v>0.81813389562467054</v>
      </c>
      <c r="Z48" s="10">
        <f t="shared" si="136"/>
        <v>0.80815736331679588</v>
      </c>
      <c r="AA48" s="10">
        <f t="shared" ref="AA48:AB48" si="137">+AA28/AA26</f>
        <v>0.81785763269784661</v>
      </c>
      <c r="AB48" s="10">
        <f t="shared" si="137"/>
        <v>0.81295590079598679</v>
      </c>
      <c r="AC48" s="10">
        <f t="shared" ref="AC48" si="138">+AC28/AC26</f>
        <v>0.81830052477272164</v>
      </c>
      <c r="AD48" s="10">
        <v>0.81830052477272164</v>
      </c>
      <c r="AE48" s="10"/>
      <c r="AF48" s="10"/>
      <c r="AG48" s="10"/>
      <c r="AH48" s="10"/>
      <c r="AI48" s="10"/>
      <c r="AJ48" s="10"/>
      <c r="AQ48" s="19">
        <f t="shared" ref="AQ48:BC48" si="139">+AQ28/AQ26</f>
        <v>0.8324617643898421</v>
      </c>
      <c r="AR48" s="19">
        <f t="shared" si="139"/>
        <v>0.81936998741106415</v>
      </c>
      <c r="AS48" s="19">
        <f t="shared" si="139"/>
        <v>0.80582795323678236</v>
      </c>
      <c r="AT48" s="19">
        <f t="shared" si="139"/>
        <v>0.80794376277251567</v>
      </c>
      <c r="AU48" s="19">
        <f t="shared" si="139"/>
        <v>0.78347297378418479</v>
      </c>
      <c r="AV48" s="19">
        <f t="shared" si="139"/>
        <v>0.80826346728341525</v>
      </c>
      <c r="AW48" s="19">
        <f t="shared" si="139"/>
        <v>0.80999999999999994</v>
      </c>
      <c r="AX48" s="19">
        <f t="shared" si="139"/>
        <v>0.81</v>
      </c>
      <c r="AY48" s="19">
        <f t="shared" si="139"/>
        <v>0.81</v>
      </c>
      <c r="AZ48" s="19">
        <f t="shared" si="139"/>
        <v>0.81</v>
      </c>
      <c r="BA48" s="19">
        <f t="shared" si="139"/>
        <v>0.80999999999999994</v>
      </c>
      <c r="BB48" s="19">
        <f t="shared" si="139"/>
        <v>0.81</v>
      </c>
      <c r="BC48" s="19">
        <f t="shared" si="139"/>
        <v>0.81000000000000016</v>
      </c>
    </row>
    <row r="49" spans="1:60" x14ac:dyDescent="0.25">
      <c r="A49" s="3"/>
      <c r="B49" s="3" t="s">
        <v>136</v>
      </c>
      <c r="C49" s="10">
        <f t="shared" ref="C49:E49" si="140">+C33/C26</f>
        <v>0.45537355841551064</v>
      </c>
      <c r="D49" s="10">
        <f t="shared" si="140"/>
        <v>0.44312599198851182</v>
      </c>
      <c r="E49" s="10">
        <f t="shared" si="140"/>
        <v>0.42114081736723247</v>
      </c>
      <c r="F49" s="10">
        <f t="shared" ref="F49:I49" si="141">+F33/F26</f>
        <v>0.46233889085964291</v>
      </c>
      <c r="G49" s="10">
        <f t="shared" si="141"/>
        <v>0.41898255621144792</v>
      </c>
      <c r="H49" s="10">
        <f t="shared" si="141"/>
        <v>0.39239606774843067</v>
      </c>
      <c r="I49" s="10">
        <f t="shared" si="141"/>
        <v>0.40703602991162474</v>
      </c>
      <c r="J49" s="10">
        <f t="shared" ref="J49:L49" si="142">+J33/J26</f>
        <v>0.42016886443411439</v>
      </c>
      <c r="K49" s="10">
        <f t="shared" si="142"/>
        <v>0.33224333314540228</v>
      </c>
      <c r="L49" s="10">
        <f t="shared" si="142"/>
        <v>0.31909883876491679</v>
      </c>
      <c r="M49" s="10">
        <f t="shared" ref="M49:P49" si="143">+M33/M26</f>
        <v>0.37447601304145317</v>
      </c>
      <c r="N49" s="10">
        <f t="shared" si="143"/>
        <v>0.45507979481333716</v>
      </c>
      <c r="O49" s="10">
        <f t="shared" si="143"/>
        <v>0.43475602766420846</v>
      </c>
      <c r="P49" s="10">
        <f t="shared" si="143"/>
        <v>0.42531898063761736</v>
      </c>
      <c r="Q49" s="10">
        <f t="shared" ref="Q49:T49" si="144">+Q33/Q26</f>
        <v>0.35928990003447087</v>
      </c>
      <c r="R49" s="10">
        <f t="shared" si="144"/>
        <v>0.37376377297971547</v>
      </c>
      <c r="S49" s="10">
        <f t="shared" si="144"/>
        <v>0.30543213415508097</v>
      </c>
      <c r="T49" s="10">
        <f t="shared" si="144"/>
        <v>0.28998681562695161</v>
      </c>
      <c r="U49" s="10">
        <f>+U33/U26</f>
        <v>0.20437324096124701</v>
      </c>
      <c r="V49" s="10">
        <f t="shared" ref="V49:Z49" si="145">+V33/V26</f>
        <v>0.19894295041193844</v>
      </c>
      <c r="W49" s="10">
        <f t="shared" si="145"/>
        <v>0.36964391691394655</v>
      </c>
      <c r="X49" s="10">
        <f t="shared" si="145"/>
        <v>0.35194849839057468</v>
      </c>
      <c r="Y49" s="10">
        <f t="shared" si="145"/>
        <v>0.40262402624026239</v>
      </c>
      <c r="Z49" s="10">
        <f t="shared" si="145"/>
        <v>0.4084665054473835</v>
      </c>
      <c r="AA49" s="10">
        <f t="shared" ref="AA49:AB49" si="146">+AA33/AA26</f>
        <v>0.37904265532848719</v>
      </c>
      <c r="AB49" s="10">
        <f t="shared" si="146"/>
        <v>0.38000051188861306</v>
      </c>
      <c r="AC49" s="10">
        <f t="shared" ref="AC49" si="147">+AC33/AC26</f>
        <v>0.4274557146024785</v>
      </c>
      <c r="AD49" s="10">
        <v>0.4084665054473835</v>
      </c>
      <c r="AE49" s="10"/>
      <c r="AF49" s="10"/>
      <c r="AG49" s="10"/>
      <c r="AH49" s="10"/>
      <c r="AI49" s="10"/>
      <c r="AJ49" s="10"/>
      <c r="AQ49" s="10">
        <f t="shared" ref="AQ49:BC49" si="148">+AQ33/AQ26</f>
        <v>0.44616569361366809</v>
      </c>
      <c r="AR49" s="10">
        <f t="shared" si="148"/>
        <v>0.41000325332050863</v>
      </c>
      <c r="AS49" s="10">
        <f t="shared" si="148"/>
        <v>0.3800500203571221</v>
      </c>
      <c r="AT49" s="10">
        <f t="shared" si="148"/>
        <v>0.39645040660058173</v>
      </c>
      <c r="AU49" s="10">
        <f t="shared" si="148"/>
        <v>0.24822269293107735</v>
      </c>
      <c r="AV49" s="10">
        <f t="shared" si="148"/>
        <v>0.38533776621374188</v>
      </c>
      <c r="AW49" s="10">
        <f t="shared" si="148"/>
        <v>0.41295042945540744</v>
      </c>
      <c r="AX49" s="10">
        <f t="shared" si="148"/>
        <v>0.43889047854402169</v>
      </c>
      <c r="AY49" s="10">
        <f t="shared" si="148"/>
        <v>0.44631748868119236</v>
      </c>
      <c r="AZ49" s="10">
        <f t="shared" si="148"/>
        <v>0.44638122130035773</v>
      </c>
      <c r="BA49" s="10">
        <f t="shared" si="148"/>
        <v>0.4461576252744463</v>
      </c>
      <c r="BB49" s="10">
        <f t="shared" si="148"/>
        <v>0.44565345957133784</v>
      </c>
      <c r="BC49" s="10">
        <f t="shared" si="148"/>
        <v>0.44487506409887789</v>
      </c>
      <c r="BG49" t="s">
        <v>112</v>
      </c>
      <c r="BH49" s="3">
        <f>NPV(BH50,AV37:DG37)</f>
        <v>1276326.5920557959</v>
      </c>
    </row>
    <row r="50" spans="1:60" x14ac:dyDescent="0.25">
      <c r="A50" s="3"/>
      <c r="B50" s="3" t="s">
        <v>110</v>
      </c>
      <c r="C50" s="10">
        <f t="shared" ref="C50:V50" si="149">+C36/C35</f>
        <v>0.11105169340463458</v>
      </c>
      <c r="D50" s="10">
        <f t="shared" si="149"/>
        <v>0.12985685071574643</v>
      </c>
      <c r="E50" s="10">
        <f t="shared" si="149"/>
        <v>0.13108930987821379</v>
      </c>
      <c r="F50" s="10">
        <f t="shared" si="149"/>
        <v>0.13662024840045164</v>
      </c>
      <c r="G50" s="10">
        <f t="shared" si="149"/>
        <v>0.33972098727579336</v>
      </c>
      <c r="H50" s="10">
        <f t="shared" si="149"/>
        <v>0.32435597189695553</v>
      </c>
      <c r="I50" s="10">
        <f t="shared" si="149"/>
        <v>0.16891799699822621</v>
      </c>
      <c r="J50" s="10">
        <f t="shared" si="149"/>
        <v>0.19849492856363835</v>
      </c>
      <c r="K50" s="10">
        <f t="shared" si="149"/>
        <v>0.16362395495649207</v>
      </c>
      <c r="L50" s="10">
        <f t="shared" si="149"/>
        <v>0.15543956940140272</v>
      </c>
      <c r="M50" s="10">
        <f t="shared" si="149"/>
        <v>3.5288331488995447E-2</v>
      </c>
      <c r="N50" s="10">
        <f t="shared" si="149"/>
        <v>0.14063577173496744</v>
      </c>
      <c r="O50" s="10">
        <f t="shared" si="149"/>
        <v>0.17438928975049986</v>
      </c>
      <c r="P50" s="10">
        <f t="shared" si="149"/>
        <v>0.16934388236234316</v>
      </c>
      <c r="Q50" s="10">
        <f t="shared" si="149"/>
        <v>0.12976810222432561</v>
      </c>
      <c r="R50" s="10">
        <f t="shared" si="149"/>
        <v>0.19028499448905684</v>
      </c>
      <c r="S50" s="10">
        <f t="shared" si="149"/>
        <v>0.1619892231701841</v>
      </c>
      <c r="T50" s="10">
        <f t="shared" si="149"/>
        <v>0.18311751771316884</v>
      </c>
      <c r="U50" s="10">
        <f t="shared" si="149"/>
        <v>0.21180057388809181</v>
      </c>
      <c r="V50" s="10">
        <f t="shared" si="149"/>
        <v>0.24345422019840623</v>
      </c>
      <c r="W50" s="10">
        <f t="shared" ref="W50:Z50" si="150">+W36/W35</f>
        <v>0.19</v>
      </c>
      <c r="X50" s="10">
        <f t="shared" si="150"/>
        <v>0.13482038878437697</v>
      </c>
      <c r="Y50" s="10">
        <f t="shared" si="150"/>
        <v>0.1738231098430813</v>
      </c>
      <c r="Z50" s="10">
        <f t="shared" si="150"/>
        <v>0.16605188005711566</v>
      </c>
      <c r="AA50" s="10">
        <f t="shared" ref="AA50:AB50" si="151">+AA36/AA35</f>
        <v>0.12789959811041388</v>
      </c>
      <c r="AB50" s="10">
        <f t="shared" si="151"/>
        <v>0.10863233152389778</v>
      </c>
      <c r="AC50" s="10">
        <f>+AC36/AC35</f>
        <v>0.11973964762652901</v>
      </c>
      <c r="AD50" s="10">
        <v>0.18</v>
      </c>
      <c r="AE50" s="10"/>
      <c r="AF50" s="10"/>
      <c r="AG50" s="10"/>
      <c r="AH50" s="10"/>
      <c r="AI50" s="10"/>
      <c r="AJ50" s="10"/>
      <c r="AQ50" s="19">
        <f t="shared" ref="AQ50:BC50" si="152">+AQ36/AQ35</f>
        <v>0.12814952091794488</v>
      </c>
      <c r="AR50" s="19">
        <f t="shared" si="152"/>
        <v>0.21222997450690997</v>
      </c>
      <c r="AS50" s="19">
        <f t="shared" si="152"/>
        <v>0.12157926461723931</v>
      </c>
      <c r="AT50" s="19">
        <f t="shared" si="152"/>
        <v>0.16737162676592504</v>
      </c>
      <c r="AU50" s="19">
        <f t="shared" si="152"/>
        <v>0.19501023630243935</v>
      </c>
      <c r="AV50" s="19">
        <f t="shared" si="152"/>
        <v>0.16620288384456552</v>
      </c>
      <c r="AW50" s="19">
        <f t="shared" si="152"/>
        <v>0.18</v>
      </c>
      <c r="AX50" s="19">
        <f t="shared" si="152"/>
        <v>0.18</v>
      </c>
      <c r="AY50" s="19">
        <f t="shared" si="152"/>
        <v>0.18</v>
      </c>
      <c r="AZ50" s="19">
        <f t="shared" si="152"/>
        <v>0.18000000000000002</v>
      </c>
      <c r="BA50" s="19">
        <f t="shared" si="152"/>
        <v>0.18000000000000002</v>
      </c>
      <c r="BB50" s="19">
        <f t="shared" si="152"/>
        <v>0.18000000000000002</v>
      </c>
      <c r="BC50" s="19">
        <f t="shared" si="152"/>
        <v>0.17999999999999997</v>
      </c>
      <c r="BG50" s="3" t="s">
        <v>113</v>
      </c>
      <c r="BH50" s="19">
        <v>0.05</v>
      </c>
    </row>
    <row r="51" spans="1:60" customForma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6"/>
      <c r="T51" s="1"/>
      <c r="U51" s="1"/>
      <c r="V51" s="1"/>
      <c r="W51" s="1"/>
      <c r="X51" s="1"/>
      <c r="Y51" s="1"/>
      <c r="BG51" t="s">
        <v>114</v>
      </c>
      <c r="BH51" s="19">
        <v>-0.02</v>
      </c>
    </row>
    <row r="52" spans="1:60" customFormat="1" x14ac:dyDescent="0.25">
      <c r="B52" t="s">
        <v>130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6">
        <f t="shared" ref="Q52:S52" si="153">+Q53-Q67</f>
        <v>64833</v>
      </c>
      <c r="R52" s="6">
        <f t="shared" si="153"/>
        <v>54773</v>
      </c>
      <c r="S52" s="6">
        <f t="shared" si="153"/>
        <v>50665</v>
      </c>
      <c r="T52" s="6">
        <f t="shared" ref="T52:AC52" si="154">+T53-T67</f>
        <v>47025</v>
      </c>
      <c r="U52" s="6">
        <f t="shared" si="154"/>
        <v>38382</v>
      </c>
      <c r="V52" s="6"/>
      <c r="W52" s="6"/>
      <c r="X52" s="6"/>
      <c r="Y52" s="6"/>
      <c r="Z52" s="6"/>
      <c r="AA52" s="6">
        <f t="shared" si="154"/>
        <v>45951</v>
      </c>
      <c r="AB52" s="6">
        <f t="shared" si="154"/>
        <v>45898</v>
      </c>
      <c r="AC52" s="6">
        <f t="shared" si="154"/>
        <v>48148</v>
      </c>
      <c r="AD52" s="6"/>
      <c r="AE52" s="6"/>
      <c r="AF52" s="6"/>
      <c r="AG52" s="6"/>
      <c r="AH52" s="6"/>
      <c r="AI52" s="6"/>
      <c r="AJ52" s="6"/>
      <c r="BG52" s="3" t="s">
        <v>111</v>
      </c>
      <c r="BH52" s="19">
        <v>0.03</v>
      </c>
    </row>
    <row r="53" spans="1:60" x14ac:dyDescent="0.25">
      <c r="A53" s="3"/>
      <c r="B53" s="3" t="s">
        <v>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f>17576+44378+6234</f>
        <v>68188</v>
      </c>
      <c r="O53" s="6">
        <f>19513+44706+6342</f>
        <v>70561</v>
      </c>
      <c r="P53" s="6">
        <f>16186+47894+6393</f>
        <v>70473</v>
      </c>
      <c r="Q53" s="6">
        <f>14496+43579+6758</f>
        <v>64833</v>
      </c>
      <c r="R53" s="6">
        <f>16601+31397+6775</f>
        <v>54773</v>
      </c>
      <c r="S53" s="6">
        <f>14886+29004+6775</f>
        <v>50665</v>
      </c>
      <c r="T53" s="6">
        <f>12681+27808+6536</f>
        <v>47025</v>
      </c>
      <c r="U53" s="6">
        <f>14308+27468+6528</f>
        <v>48304</v>
      </c>
      <c r="V53" s="6"/>
      <c r="W53" s="6"/>
      <c r="X53" s="6"/>
      <c r="Y53" s="6"/>
      <c r="Z53" s="6"/>
      <c r="AA53" s="6">
        <f>32307+25813+6218</f>
        <v>64338</v>
      </c>
      <c r="AB53" s="6">
        <f>32045+26035+6207</f>
        <v>64287</v>
      </c>
      <c r="AC53" s="6">
        <f>43852+27048+6071</f>
        <v>76971</v>
      </c>
      <c r="AD53" s="6"/>
      <c r="AE53" s="6"/>
      <c r="AF53" s="6"/>
      <c r="AG53" s="6"/>
      <c r="AH53" s="6"/>
      <c r="AI53" s="6"/>
      <c r="AJ53" s="6"/>
      <c r="AT53" s="3">
        <f>+R53</f>
        <v>54773</v>
      </c>
      <c r="AU53" s="3">
        <f>+V53</f>
        <v>0</v>
      </c>
      <c r="AV53" s="3">
        <f t="shared" ref="AV53:BC53" si="155">+AU53+AV37</f>
        <v>43632.144499999995</v>
      </c>
      <c r="AW53" s="3">
        <f t="shared" si="155"/>
        <v>100989.98384581535</v>
      </c>
      <c r="AX53" s="3">
        <f t="shared" si="155"/>
        <v>167771.05960802242</v>
      </c>
      <c r="AY53" s="3">
        <f t="shared" si="155"/>
        <v>240552.23275304778</v>
      </c>
      <c r="AZ53" s="3">
        <f t="shared" si="155"/>
        <v>317193.54057494039</v>
      </c>
      <c r="BA53" s="3">
        <f t="shared" si="155"/>
        <v>397805.44737868989</v>
      </c>
      <c r="BB53" s="3">
        <f t="shared" si="155"/>
        <v>482499.9318538743</v>
      </c>
      <c r="BC53" s="3">
        <f t="shared" si="155"/>
        <v>571390.39160524681</v>
      </c>
      <c r="BG53" s="3" t="s">
        <v>115</v>
      </c>
      <c r="BH53" s="17">
        <f>BH49/AD39</f>
        <v>490.89484309838303</v>
      </c>
    </row>
    <row r="54" spans="1:60" x14ac:dyDescent="0.25">
      <c r="A54" s="3"/>
      <c r="B54" s="3" t="s">
        <v>49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v>11335</v>
      </c>
      <c r="O54" s="6">
        <v>10276</v>
      </c>
      <c r="P54" s="6">
        <v>11698</v>
      </c>
      <c r="Q54" s="6">
        <v>12088</v>
      </c>
      <c r="R54" s="6">
        <v>14039</v>
      </c>
      <c r="S54" s="6">
        <v>11390</v>
      </c>
      <c r="T54" s="6">
        <v>11525</v>
      </c>
      <c r="U54" s="6">
        <v>11227</v>
      </c>
      <c r="V54" s="6"/>
      <c r="W54" s="6"/>
      <c r="X54" s="6"/>
      <c r="Y54" s="6"/>
      <c r="Z54" s="3"/>
      <c r="AA54" s="3">
        <v>13430</v>
      </c>
      <c r="AB54" s="3">
        <v>14505</v>
      </c>
      <c r="AC54" s="3">
        <v>14700</v>
      </c>
      <c r="BG54" s="3" t="s">
        <v>116</v>
      </c>
      <c r="BH54" s="19">
        <f>BH53/Main!M2-1</f>
        <v>-0.13446850430498791</v>
      </c>
    </row>
    <row r="55" spans="1:60" x14ac:dyDescent="0.25">
      <c r="A55" s="3"/>
      <c r="B55" s="3" t="s">
        <v>50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>
        <v>2381</v>
      </c>
      <c r="O55" s="6">
        <v>2827</v>
      </c>
      <c r="P55" s="6">
        <v>4919</v>
      </c>
      <c r="Q55" s="6">
        <v>5258</v>
      </c>
      <c r="R55" s="6">
        <v>4629</v>
      </c>
      <c r="S55" s="6">
        <v>3985</v>
      </c>
      <c r="T55" s="6">
        <v>3973</v>
      </c>
      <c r="U55" s="6">
        <v>5312</v>
      </c>
      <c r="V55" s="6"/>
      <c r="W55" s="6"/>
      <c r="X55" s="6"/>
      <c r="Y55" s="6"/>
      <c r="Z55" s="3"/>
      <c r="AA55" s="3">
        <v>3780</v>
      </c>
      <c r="AB55" s="3">
        <v>3846</v>
      </c>
      <c r="AC55" s="3">
        <v>5467</v>
      </c>
    </row>
    <row r="56" spans="1:60" x14ac:dyDescent="0.25">
      <c r="A56" s="3"/>
      <c r="B56" s="3" t="s">
        <v>51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>
        <v>45633</v>
      </c>
      <c r="O56" s="6">
        <v>47720</v>
      </c>
      <c r="P56" s="6">
        <v>50909</v>
      </c>
      <c r="Q56" s="6">
        <v>53726</v>
      </c>
      <c r="R56" s="6">
        <v>57809</v>
      </c>
      <c r="S56" s="6">
        <v>61582</v>
      </c>
      <c r="T56" s="6">
        <v>67588</v>
      </c>
      <c r="U56" s="6">
        <v>73738</v>
      </c>
      <c r="V56" s="6"/>
      <c r="W56" s="6"/>
      <c r="X56" s="6"/>
      <c r="Y56" s="6"/>
      <c r="Z56" s="3"/>
      <c r="AA56" s="3">
        <v>98908</v>
      </c>
      <c r="AB56" s="3">
        <v>102959</v>
      </c>
      <c r="AC56" s="3">
        <v>112162</v>
      </c>
    </row>
    <row r="57" spans="1:60" x14ac:dyDescent="0.25">
      <c r="A57" s="3"/>
      <c r="B57" s="3" t="s">
        <v>52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v>9348</v>
      </c>
      <c r="O57" s="6">
        <v>10202</v>
      </c>
      <c r="P57" s="6">
        <v>10525</v>
      </c>
      <c r="Q57" s="6">
        <v>11063</v>
      </c>
      <c r="R57" s="6">
        <v>12155</v>
      </c>
      <c r="S57" s="6">
        <v>12241</v>
      </c>
      <c r="T57" s="6">
        <v>14130</v>
      </c>
      <c r="U57" s="6">
        <v>13641</v>
      </c>
      <c r="V57" s="6"/>
      <c r="W57" s="6"/>
      <c r="X57" s="6"/>
      <c r="Y57" s="6"/>
      <c r="Z57" s="3"/>
      <c r="AA57" s="3">
        <v>13555</v>
      </c>
      <c r="AB57" s="3">
        <v>14058</v>
      </c>
      <c r="AC57" s="3">
        <v>14812</v>
      </c>
    </row>
    <row r="58" spans="1:60" x14ac:dyDescent="0.25">
      <c r="A58" s="3"/>
      <c r="B58" s="3" t="s">
        <v>54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f>623+19050</f>
        <v>19673</v>
      </c>
      <c r="O58" s="6">
        <f>505+19056</f>
        <v>19561</v>
      </c>
      <c r="P58" s="6">
        <f>19219+514</f>
        <v>19733</v>
      </c>
      <c r="Q58" s="6">
        <f>365+19065</f>
        <v>19430</v>
      </c>
      <c r="R58" s="6">
        <f>19197+634</f>
        <v>19831</v>
      </c>
      <c r="S58" s="6">
        <f>910+19923</f>
        <v>20833</v>
      </c>
      <c r="T58" s="6">
        <f>965+20229</f>
        <v>21194</v>
      </c>
      <c r="U58" s="6">
        <f>875+20268</f>
        <v>21143</v>
      </c>
      <c r="V58" s="6"/>
      <c r="W58" s="6"/>
      <c r="X58" s="6"/>
      <c r="Y58" s="6"/>
      <c r="Z58" s="3"/>
      <c r="AA58" s="3">
        <v>20654</v>
      </c>
      <c r="AB58" s="3">
        <v>20654</v>
      </c>
      <c r="AC58" s="3">
        <v>20654</v>
      </c>
    </row>
    <row r="59" spans="1:60" x14ac:dyDescent="0.25">
      <c r="A59" s="3"/>
      <c r="B59" s="3" t="s">
        <v>55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v>2758</v>
      </c>
      <c r="O59" s="6">
        <v>2376</v>
      </c>
      <c r="P59" s="6">
        <v>2352</v>
      </c>
      <c r="Q59" s="6">
        <v>3187</v>
      </c>
      <c r="R59" s="6">
        <v>2751</v>
      </c>
      <c r="S59" s="6">
        <v>3522</v>
      </c>
      <c r="T59" s="6">
        <v>4344</v>
      </c>
      <c r="U59" s="6">
        <v>5529</v>
      </c>
      <c r="V59" s="6"/>
      <c r="W59" s="6"/>
      <c r="X59" s="6"/>
      <c r="Y59" s="6"/>
      <c r="Z59" s="3"/>
      <c r="AA59" s="3">
        <v>8179</v>
      </c>
      <c r="AB59" s="3">
        <v>9929</v>
      </c>
      <c r="AC59" s="3">
        <v>11642</v>
      </c>
    </row>
    <row r="60" spans="1:60" x14ac:dyDescent="0.25">
      <c r="A60" s="3"/>
      <c r="B60" s="3" t="s">
        <v>53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f t="shared" ref="N60:O60" si="156">SUM(N53:N59)</f>
        <v>159316</v>
      </c>
      <c r="O60" s="6">
        <f t="shared" si="156"/>
        <v>163523</v>
      </c>
      <c r="P60" s="6">
        <f t="shared" ref="P60:Q60" si="157">SUM(P53:P59)</f>
        <v>170609</v>
      </c>
      <c r="Q60" s="6">
        <f t="shared" si="157"/>
        <v>169585</v>
      </c>
      <c r="R60" s="6">
        <f t="shared" ref="R60" si="158">SUM(R53:R59)</f>
        <v>165987</v>
      </c>
      <c r="S60" s="6">
        <f>SUM(S53:S59)</f>
        <v>164218</v>
      </c>
      <c r="T60" s="6">
        <f>SUM(T53:T59)</f>
        <v>169779</v>
      </c>
      <c r="U60" s="6">
        <f>SUM(U53:U59)</f>
        <v>178894</v>
      </c>
      <c r="V60" s="6"/>
      <c r="W60" s="6"/>
      <c r="X60" s="6"/>
      <c r="Y60" s="6"/>
      <c r="Z60" s="3"/>
      <c r="AA60" s="6">
        <f>SUM(AA53:AA59)</f>
        <v>222844</v>
      </c>
      <c r="AB60" s="6">
        <f>SUM(AB53:AB59)</f>
        <v>230238</v>
      </c>
      <c r="AC60" s="6">
        <f>SUM(AC53:AC59)</f>
        <v>256408</v>
      </c>
    </row>
    <row r="61" spans="1:60" customFormat="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6"/>
      <c r="T61" s="1"/>
      <c r="U61" s="1"/>
      <c r="V61" s="1"/>
      <c r="W61" s="1"/>
      <c r="X61" s="1"/>
      <c r="Y61" s="1"/>
    </row>
    <row r="62" spans="1:60" customFormat="1" x14ac:dyDescent="0.25">
      <c r="B62" t="s">
        <v>56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6">
        <v>1331</v>
      </c>
      <c r="O62" s="6">
        <v>878</v>
      </c>
      <c r="P62" s="6">
        <v>973</v>
      </c>
      <c r="Q62" s="6">
        <v>2195</v>
      </c>
      <c r="R62" s="6">
        <v>4083</v>
      </c>
      <c r="S62" s="6">
        <v>3246</v>
      </c>
      <c r="T62" s="6">
        <v>4008</v>
      </c>
      <c r="U62" s="6">
        <v>3871</v>
      </c>
      <c r="V62" s="1"/>
      <c r="W62" s="1"/>
      <c r="X62" s="1"/>
      <c r="Y62" s="1"/>
      <c r="AA62" s="3">
        <v>3785</v>
      </c>
      <c r="AB62" s="3">
        <v>3173</v>
      </c>
      <c r="AC62" s="3">
        <v>7656</v>
      </c>
    </row>
    <row r="63" spans="1:60" customFormat="1" x14ac:dyDescent="0.25">
      <c r="B63" t="s">
        <v>57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6">
        <v>1093</v>
      </c>
      <c r="O63" s="6">
        <v>1006</v>
      </c>
      <c r="P63" s="6">
        <v>949</v>
      </c>
      <c r="Q63" s="6">
        <v>909</v>
      </c>
      <c r="R63" s="6">
        <v>1052</v>
      </c>
      <c r="S63" s="6">
        <v>935</v>
      </c>
      <c r="T63" s="6">
        <v>982</v>
      </c>
      <c r="U63" s="6">
        <v>975</v>
      </c>
      <c r="V63" s="1"/>
      <c r="W63" s="1"/>
      <c r="X63" s="1"/>
      <c r="Y63" s="1"/>
      <c r="AA63" s="3">
        <v>0</v>
      </c>
      <c r="AB63" s="3">
        <v>0</v>
      </c>
      <c r="AC63" s="3">
        <v>0</v>
      </c>
    </row>
    <row r="64" spans="1:60" x14ac:dyDescent="0.25">
      <c r="B64" t="s">
        <v>58</v>
      </c>
      <c r="N64" s="6">
        <f>1023+9631</f>
        <v>10654</v>
      </c>
      <c r="O64" s="6">
        <f>1040+10574</f>
        <v>11614</v>
      </c>
      <c r="P64" s="6">
        <f>1051+10956</f>
        <v>12007</v>
      </c>
      <c r="Q64" s="6">
        <f>1086+11554</f>
        <v>12640</v>
      </c>
      <c r="R64" s="6">
        <f>1127+12746</f>
        <v>13873</v>
      </c>
      <c r="S64" s="6">
        <f>1159+12894</f>
        <v>14053</v>
      </c>
      <c r="T64" s="6">
        <f>1275+14792</f>
        <v>16067</v>
      </c>
      <c r="U64" s="6">
        <f>1291+14687</f>
        <v>15978</v>
      </c>
      <c r="AA64" s="3">
        <f>1676+17570</f>
        <v>19246</v>
      </c>
      <c r="AB64" s="3">
        <f>1917+17685</f>
        <v>19602</v>
      </c>
      <c r="AC64" s="3">
        <f>2016+18208</f>
        <v>20224</v>
      </c>
    </row>
    <row r="65" spans="2:36" x14ac:dyDescent="0.25">
      <c r="B65" t="s">
        <v>59</v>
      </c>
      <c r="N65" s="6">
        <v>11152</v>
      </c>
      <c r="O65" s="6">
        <v>9411</v>
      </c>
      <c r="P65" s="6">
        <v>11510</v>
      </c>
      <c r="Q65" s="6">
        <v>13158</v>
      </c>
      <c r="R65" s="6">
        <v>14312</v>
      </c>
      <c r="S65" s="6">
        <v>15226</v>
      </c>
      <c r="T65" s="6">
        <v>15420</v>
      </c>
      <c r="U65" s="6">
        <v>16036</v>
      </c>
      <c r="AA65" s="3">
        <v>22640</v>
      </c>
      <c r="AB65" s="3">
        <v>21914</v>
      </c>
      <c r="AC65" s="3">
        <v>23658</v>
      </c>
    </row>
    <row r="66" spans="2:36" x14ac:dyDescent="0.25">
      <c r="B66" t="s">
        <v>60</v>
      </c>
      <c r="N66" s="6">
        <v>382</v>
      </c>
      <c r="O66" s="6">
        <v>382</v>
      </c>
      <c r="P66" s="6">
        <v>391</v>
      </c>
      <c r="Q66" s="6">
        <v>464</v>
      </c>
      <c r="R66" s="6">
        <v>561</v>
      </c>
      <c r="S66" s="6">
        <v>520</v>
      </c>
      <c r="T66" s="6">
        <v>532</v>
      </c>
      <c r="U66" s="6">
        <v>514</v>
      </c>
      <c r="AA66" s="3">
        <v>0</v>
      </c>
      <c r="AB66" s="3">
        <v>0</v>
      </c>
      <c r="AC66" s="3">
        <v>0</v>
      </c>
    </row>
    <row r="67" spans="2:36" x14ac:dyDescent="0.25">
      <c r="B67" t="s">
        <v>5</v>
      </c>
      <c r="N67" s="6"/>
      <c r="O67" s="6"/>
      <c r="P67" s="6"/>
      <c r="Q67" s="6"/>
      <c r="R67" s="6"/>
      <c r="S67" s="6"/>
      <c r="T67" s="6"/>
      <c r="U67" s="6">
        <v>9922</v>
      </c>
      <c r="V67" s="6"/>
      <c r="W67" s="6"/>
      <c r="X67" s="6"/>
      <c r="Y67" s="6"/>
      <c r="Z67" s="6"/>
      <c r="AA67" s="6">
        <v>18387</v>
      </c>
      <c r="AB67" s="6">
        <v>18389</v>
      </c>
      <c r="AC67" s="6">
        <v>28823</v>
      </c>
      <c r="AD67" s="6"/>
      <c r="AE67" s="6"/>
      <c r="AF67" s="6"/>
      <c r="AG67" s="6"/>
      <c r="AH67" s="6"/>
      <c r="AI67" s="6"/>
      <c r="AJ67" s="6"/>
    </row>
    <row r="68" spans="2:36" x14ac:dyDescent="0.25">
      <c r="B68" t="s">
        <v>144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7795</v>
      </c>
      <c r="AB68" s="6">
        <v>7897</v>
      </c>
      <c r="AC68" s="6">
        <v>9171</v>
      </c>
      <c r="AD68" s="6"/>
      <c r="AE68" s="6"/>
      <c r="AF68" s="6"/>
      <c r="AG68" s="6"/>
      <c r="AH68" s="6"/>
      <c r="AI68" s="6"/>
      <c r="AJ68" s="6"/>
    </row>
    <row r="69" spans="2:36" x14ac:dyDescent="0.25">
      <c r="B69" t="s">
        <v>65</v>
      </c>
      <c r="N69" s="6">
        <v>6414</v>
      </c>
      <c r="O69" s="6">
        <v>6575</v>
      </c>
      <c r="P69" s="6">
        <v>6552</v>
      </c>
      <c r="Q69" s="6">
        <v>6859</v>
      </c>
      <c r="R69" s="6">
        <v>7227</v>
      </c>
      <c r="S69" s="6">
        <v>7010</v>
      </c>
      <c r="T69" s="6">
        <v>7003</v>
      </c>
      <c r="U69" s="6">
        <v>7504</v>
      </c>
      <c r="AA69" s="3">
        <v>1462</v>
      </c>
      <c r="AB69" s="3">
        <v>2500</v>
      </c>
      <c r="AC69" s="3">
        <v>2347</v>
      </c>
    </row>
    <row r="70" spans="2:36" x14ac:dyDescent="0.25">
      <c r="B70" t="s">
        <v>64</v>
      </c>
      <c r="N70" s="6">
        <v>50018</v>
      </c>
      <c r="O70" s="6">
        <v>51160</v>
      </c>
      <c r="P70" s="6">
        <v>52845</v>
      </c>
      <c r="Q70" s="6">
        <v>54334</v>
      </c>
      <c r="R70" s="6">
        <v>55811</v>
      </c>
      <c r="S70" s="6">
        <v>57512</v>
      </c>
      <c r="T70" s="6">
        <v>59929</v>
      </c>
      <c r="U70" s="6">
        <v>62092</v>
      </c>
      <c r="AA70" s="3">
        <v>75391</v>
      </c>
      <c r="AB70" s="3">
        <v>78270</v>
      </c>
      <c r="AC70" s="3">
        <v>80749</v>
      </c>
    </row>
    <row r="71" spans="2:36" x14ac:dyDescent="0.25">
      <c r="B71" t="s">
        <v>63</v>
      </c>
      <c r="N71" s="6">
        <v>927</v>
      </c>
      <c r="O71" s="6">
        <v>154</v>
      </c>
      <c r="P71" s="6">
        <v>285</v>
      </c>
      <c r="Q71" s="6">
        <v>-207</v>
      </c>
      <c r="R71" s="6">
        <v>-693</v>
      </c>
      <c r="S71" s="6">
        <v>-1996</v>
      </c>
      <c r="T71" s="6">
        <v>-3411</v>
      </c>
      <c r="U71" s="6">
        <v>-5054</v>
      </c>
      <c r="AA71" s="3">
        <v>-2655</v>
      </c>
      <c r="AB71" s="3">
        <v>-2695</v>
      </c>
      <c r="AC71" s="3">
        <v>-1192</v>
      </c>
    </row>
    <row r="72" spans="2:36" x14ac:dyDescent="0.25">
      <c r="B72" t="s">
        <v>62</v>
      </c>
      <c r="N72" s="6">
        <v>77345</v>
      </c>
      <c r="O72" s="6">
        <v>82343</v>
      </c>
      <c r="P72" s="6">
        <v>85097</v>
      </c>
      <c r="Q72" s="6">
        <v>79233</v>
      </c>
      <c r="R72" s="6">
        <v>69761</v>
      </c>
      <c r="S72" s="6">
        <v>67712</v>
      </c>
      <c r="T72" s="6">
        <v>69249</v>
      </c>
      <c r="U72" s="6">
        <v>67056</v>
      </c>
      <c r="AA72" s="3">
        <v>76793</v>
      </c>
      <c r="AB72" s="3">
        <v>81188</v>
      </c>
      <c r="AC72" s="3">
        <v>84972</v>
      </c>
    </row>
    <row r="73" spans="2:36" x14ac:dyDescent="0.25">
      <c r="B73" t="s">
        <v>61</v>
      </c>
      <c r="N73" s="6">
        <f t="shared" ref="N73:O73" si="159">SUM(N62:N72)</f>
        <v>159316</v>
      </c>
      <c r="O73" s="6">
        <f t="shared" si="159"/>
        <v>163523</v>
      </c>
      <c r="P73" s="6">
        <f t="shared" ref="P73:Q73" si="160">SUM(P62:P72)</f>
        <v>170609</v>
      </c>
      <c r="Q73" s="6">
        <f t="shared" si="160"/>
        <v>169585</v>
      </c>
      <c r="R73" s="6">
        <f>SUM(R62:R72)</f>
        <v>165987</v>
      </c>
      <c r="S73" s="6">
        <f>SUM(S62:S72)</f>
        <v>164218</v>
      </c>
      <c r="T73" s="6">
        <f>SUM(T62:T72)</f>
        <v>169779</v>
      </c>
      <c r="U73" s="6">
        <f>SUM(U62:U72)</f>
        <v>178894</v>
      </c>
      <c r="AA73" s="6">
        <f>SUM(AA62:AA72)</f>
        <v>222844</v>
      </c>
      <c r="AB73" s="6">
        <f>SUM(AB62:AB72)</f>
        <v>230238</v>
      </c>
      <c r="AC73" s="6">
        <f>SUM(AC62:AC72)</f>
        <v>256408</v>
      </c>
    </row>
    <row r="74" spans="2:36" x14ac:dyDescent="0.25">
      <c r="S74" s="6"/>
    </row>
    <row r="75" spans="2:36" x14ac:dyDescent="0.25">
      <c r="B75" t="s">
        <v>66</v>
      </c>
      <c r="O75" s="6">
        <f t="shared" ref="O75:U75" si="161">O37</f>
        <v>9497</v>
      </c>
      <c r="P75" s="6">
        <f t="shared" si="161"/>
        <v>10394</v>
      </c>
      <c r="Q75" s="6">
        <f t="shared" si="161"/>
        <v>9194</v>
      </c>
      <c r="R75" s="6">
        <f t="shared" si="161"/>
        <v>10285</v>
      </c>
      <c r="S75" s="6">
        <f t="shared" si="161"/>
        <v>7465</v>
      </c>
      <c r="T75" s="6">
        <f t="shared" si="161"/>
        <v>6687</v>
      </c>
      <c r="U75" s="6">
        <f t="shared" si="161"/>
        <v>4395</v>
      </c>
      <c r="AA75" s="6">
        <f t="shared" ref="AA75:AC75" si="162">AA37</f>
        <v>12369</v>
      </c>
      <c r="AB75" s="6">
        <f t="shared" si="162"/>
        <v>13465</v>
      </c>
      <c r="AC75" s="6">
        <f t="shared" si="162"/>
        <v>15688</v>
      </c>
    </row>
    <row r="76" spans="2:36" x14ac:dyDescent="0.25">
      <c r="B76" t="s">
        <v>67</v>
      </c>
      <c r="O76" s="6">
        <v>9497</v>
      </c>
      <c r="P76" s="6">
        <f>19892-O76</f>
        <v>10395</v>
      </c>
      <c r="Q76" s="6">
        <f>29085-P76-O76</f>
        <v>9193</v>
      </c>
      <c r="R76" s="6">
        <v>10285</v>
      </c>
      <c r="S76" s="6">
        <v>7465</v>
      </c>
      <c r="T76" s="6">
        <v>6687</v>
      </c>
      <c r="U76" s="6">
        <f>18547-T76-S76</f>
        <v>4395</v>
      </c>
      <c r="AA76" s="3">
        <v>12369</v>
      </c>
      <c r="AB76" s="3">
        <f>25834-AA76</f>
        <v>13465</v>
      </c>
      <c r="AC76" s="3">
        <f>41522-AB76-AA76</f>
        <v>15688</v>
      </c>
    </row>
    <row r="77" spans="2:36" x14ac:dyDescent="0.25">
      <c r="B77" t="s">
        <v>69</v>
      </c>
      <c r="O77" s="6">
        <v>1972</v>
      </c>
      <c r="P77" s="6">
        <f>3958-O77</f>
        <v>1986</v>
      </c>
      <c r="Q77" s="6">
        <f>5953-P77-O77</f>
        <v>1995</v>
      </c>
      <c r="R77" s="6">
        <v>2014</v>
      </c>
      <c r="S77" s="6">
        <v>2156</v>
      </c>
      <c r="T77" s="6">
        <v>1979</v>
      </c>
      <c r="U77" s="6">
        <f>6310-T77-S77</f>
        <v>2175</v>
      </c>
      <c r="AA77" s="3">
        <v>3374</v>
      </c>
      <c r="AB77" s="3">
        <f>7011-AA77</f>
        <v>3637</v>
      </c>
      <c r="AC77" s="3">
        <f>11038-AB77-AA77</f>
        <v>4027</v>
      </c>
    </row>
    <row r="78" spans="2:36" x14ac:dyDescent="0.25">
      <c r="B78" t="s">
        <v>70</v>
      </c>
      <c r="O78" s="6">
        <v>1830</v>
      </c>
      <c r="P78" s="6">
        <f>4379-O78</f>
        <v>2549</v>
      </c>
      <c r="Q78" s="6">
        <f>6757-P78-O78</f>
        <v>2378</v>
      </c>
      <c r="R78" s="6">
        <v>2406</v>
      </c>
      <c r="S78" s="6">
        <v>2498</v>
      </c>
      <c r="T78" s="6">
        <v>3351</v>
      </c>
      <c r="U78" s="6">
        <f>8984-T78-S78</f>
        <v>3135</v>
      </c>
      <c r="AA78" s="3">
        <v>3562</v>
      </c>
      <c r="AB78" s="3">
        <f>8178-AA78</f>
        <v>4616</v>
      </c>
      <c r="AC78" s="3">
        <f>12428-AB78-AA78</f>
        <v>4250</v>
      </c>
    </row>
    <row r="79" spans="2:36" x14ac:dyDescent="0.25">
      <c r="B79" t="s">
        <v>71</v>
      </c>
      <c r="O79" s="6">
        <v>418</v>
      </c>
      <c r="P79" s="6">
        <f>647-O79</f>
        <v>229</v>
      </c>
      <c r="Q79" s="6">
        <f>-139-P79-O79</f>
        <v>-786</v>
      </c>
      <c r="R79" s="6">
        <v>748</v>
      </c>
      <c r="S79" s="6">
        <v>-563</v>
      </c>
      <c r="T79" s="6">
        <v>-453</v>
      </c>
      <c r="U79" s="6">
        <f>-2113-T79-S79</f>
        <v>-1097</v>
      </c>
      <c r="AA79" s="3">
        <v>-456</v>
      </c>
      <c r="AB79" s="3">
        <f>-2098-AA79</f>
        <v>-1642</v>
      </c>
      <c r="AC79" s="3">
        <f>-3406-AB79-AA79</f>
        <v>-1308</v>
      </c>
    </row>
    <row r="80" spans="2:36" x14ac:dyDescent="0.25">
      <c r="B80" t="s">
        <v>55</v>
      </c>
      <c r="O80" s="6">
        <v>-66</v>
      </c>
      <c r="P80" s="6">
        <f>-88-O80</f>
        <v>-22</v>
      </c>
      <c r="Q80" s="6">
        <f>-161-P80-O80</f>
        <v>-73</v>
      </c>
      <c r="R80" s="6">
        <v>34</v>
      </c>
      <c r="S80" s="6">
        <v>-221</v>
      </c>
      <c r="T80" s="6">
        <v>189</v>
      </c>
      <c r="U80" s="6">
        <f>413-T80-S80+71</f>
        <v>516</v>
      </c>
      <c r="AA80" s="3">
        <f>240-66</f>
        <v>174</v>
      </c>
      <c r="AB80" s="3">
        <f>-71+280-AA80</f>
        <v>35</v>
      </c>
      <c r="AC80" s="3">
        <f>-82+288-AB80-AA80</f>
        <v>-3</v>
      </c>
    </row>
    <row r="81" spans="1:29" x14ac:dyDescent="0.25">
      <c r="B81" t="s">
        <v>72</v>
      </c>
      <c r="O81" s="6">
        <f>849-461-10-250-72-1681+6+210</f>
        <v>-1409</v>
      </c>
      <c r="P81" s="6">
        <f>-517-2313-195-134-133-200+9+184-O81</f>
        <v>-1890</v>
      </c>
      <c r="Q81" s="6">
        <f>-1072-2566-184+560-163+895+87+527-P81-O81</f>
        <v>1383</v>
      </c>
      <c r="R81" s="6">
        <f>-2038+817-165+876+151+2462+100+414</f>
        <v>2617</v>
      </c>
      <c r="S81" s="6">
        <f>2557+573-108-882-105+763-52-5</f>
        <v>2741</v>
      </c>
      <c r="T81" s="6">
        <f>-522-435-25+237+73+1180+24-88</f>
        <v>444</v>
      </c>
      <c r="U81" s="6">
        <f>1930-693-160-666-12+2942-35+446-T81-S81</f>
        <v>567</v>
      </c>
      <c r="AA81" s="3">
        <f>2520+100-94-1112-1274+83</f>
        <v>223</v>
      </c>
      <c r="AB81" s="3">
        <f>1350+16-41-862-1771+790-AA81</f>
        <v>-741</v>
      </c>
      <c r="AC81" s="3">
        <f>1493-168-70-195-1199+1691-AB81-AA81</f>
        <v>2070</v>
      </c>
    </row>
    <row r="82" spans="1:29" x14ac:dyDescent="0.25">
      <c r="B82" t="s">
        <v>68</v>
      </c>
      <c r="O82" s="6">
        <f t="shared" ref="O82:U82" si="163">SUM(O76:O81)</f>
        <v>12242</v>
      </c>
      <c r="P82" s="6">
        <f t="shared" si="163"/>
        <v>13247</v>
      </c>
      <c r="Q82" s="6">
        <f t="shared" si="163"/>
        <v>14090</v>
      </c>
      <c r="R82" s="6">
        <f t="shared" si="163"/>
        <v>18104</v>
      </c>
      <c r="S82" s="6">
        <f t="shared" si="163"/>
        <v>14076</v>
      </c>
      <c r="T82" s="6">
        <f t="shared" si="163"/>
        <v>12197</v>
      </c>
      <c r="U82" s="6">
        <f t="shared" si="163"/>
        <v>9691</v>
      </c>
      <c r="AA82" s="6">
        <f t="shared" ref="AA82:AC82" si="164">SUM(AA76:AA81)</f>
        <v>19246</v>
      </c>
      <c r="AB82" s="6">
        <f t="shared" si="164"/>
        <v>19370</v>
      </c>
      <c r="AC82" s="6">
        <f t="shared" si="164"/>
        <v>24724</v>
      </c>
    </row>
    <row r="83" spans="1:29" x14ac:dyDescent="0.25">
      <c r="S83" s="6"/>
      <c r="T83" s="6"/>
    </row>
    <row r="84" spans="1:29" x14ac:dyDescent="0.25">
      <c r="A84" s="3"/>
      <c r="B84" s="3" t="s">
        <v>73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v>-4272</v>
      </c>
      <c r="P84" s="6">
        <f>-8884-O84</f>
        <v>-4612</v>
      </c>
      <c r="Q84" s="6">
        <f>-13198-P84-O84</f>
        <v>-4314</v>
      </c>
      <c r="R84" s="6">
        <v>-5370</v>
      </c>
      <c r="S84" s="6">
        <f>-5441+126</f>
        <v>-5315</v>
      </c>
      <c r="T84" s="6">
        <f>-7572+44</f>
        <v>-7528</v>
      </c>
      <c r="U84" s="6">
        <f>-22388-T84-S84+190</f>
        <v>-9355</v>
      </c>
      <c r="V84" s="6"/>
      <c r="W84" s="6"/>
      <c r="X84" s="6"/>
      <c r="Y84" s="6"/>
      <c r="Z84" s="3"/>
      <c r="AA84" s="3">
        <v>-6400</v>
      </c>
      <c r="AB84" s="3">
        <f>-14573-AA84</f>
        <v>-8173</v>
      </c>
      <c r="AC84" s="3">
        <f>-22831-AB84-AA84</f>
        <v>-8258</v>
      </c>
    </row>
    <row r="85" spans="1:29" x14ac:dyDescent="0.25">
      <c r="A85" s="3"/>
      <c r="B85" s="3" t="s">
        <v>74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f>-6231+1650+3981-2</f>
        <v>-602</v>
      </c>
      <c r="P85" s="6">
        <f>-16528+6337+6327-O85-62</f>
        <v>-3324</v>
      </c>
      <c r="Q85" s="6">
        <f>-24314+15331+9318-46-160-P85-O85</f>
        <v>4055</v>
      </c>
      <c r="R85" s="6">
        <f>-6093+16340+1598-2-123</f>
        <v>11720</v>
      </c>
      <c r="S85" s="6">
        <f>-4068+5065+402-10</f>
        <v>1389</v>
      </c>
      <c r="T85" s="6">
        <f>-2220+2648+511-7</f>
        <v>932</v>
      </c>
      <c r="U85" s="6">
        <f>-8885+9333+1562-T85-S85</f>
        <v>-311</v>
      </c>
      <c r="V85" s="6"/>
      <c r="W85" s="6"/>
      <c r="X85" s="6"/>
      <c r="Y85" s="6"/>
      <c r="Z85" s="3"/>
      <c r="AA85" s="3">
        <f>-6887+4625</f>
        <v>-2262</v>
      </c>
      <c r="AB85" s="3">
        <f>-10176+7858-AA85</f>
        <v>-56</v>
      </c>
      <c r="AC85" s="3">
        <f>-14644-AB85-AA85+11972</f>
        <v>-354</v>
      </c>
    </row>
    <row r="86" spans="1:29" x14ac:dyDescent="0.25">
      <c r="A86" s="3"/>
      <c r="B86" s="3" t="s">
        <v>75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v>0</v>
      </c>
      <c r="P86" s="6">
        <f>-259-O86</f>
        <v>-259</v>
      </c>
      <c r="Q86" s="6">
        <f>-330-P86-O86</f>
        <v>-71</v>
      </c>
      <c r="R86" s="6">
        <v>-521</v>
      </c>
      <c r="S86" s="6">
        <v>-853</v>
      </c>
      <c r="T86" s="6">
        <v>-363</v>
      </c>
      <c r="U86" s="6">
        <f>-1250-1-T86-S86</f>
        <v>-35</v>
      </c>
      <c r="V86" s="6"/>
      <c r="W86" s="6"/>
      <c r="X86" s="6"/>
      <c r="Y86" s="6"/>
      <c r="Z86" s="3"/>
      <c r="AA86" s="3">
        <v>-72</v>
      </c>
      <c r="AB86" s="3">
        <f>-129-12</f>
        <v>-141</v>
      </c>
      <c r="AC86" s="3">
        <f>-261-AB86-AA86+112</f>
        <v>64</v>
      </c>
    </row>
    <row r="87" spans="1:29" x14ac:dyDescent="0.25">
      <c r="A87" s="3"/>
      <c r="B87" s="3" t="s">
        <v>76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>
        <f t="shared" ref="O87:U87" si="165">SUM(O84:O86)</f>
        <v>-4874</v>
      </c>
      <c r="P87" s="6">
        <f t="shared" si="165"/>
        <v>-8195</v>
      </c>
      <c r="Q87" s="6">
        <f t="shared" si="165"/>
        <v>-330</v>
      </c>
      <c r="R87" s="6">
        <f t="shared" si="165"/>
        <v>5829</v>
      </c>
      <c r="S87" s="6">
        <f t="shared" si="165"/>
        <v>-4779</v>
      </c>
      <c r="T87" s="6">
        <f t="shared" si="165"/>
        <v>-6959</v>
      </c>
      <c r="U87" s="6">
        <f t="shared" si="165"/>
        <v>-9701</v>
      </c>
      <c r="V87" s="6"/>
      <c r="W87" s="6"/>
      <c r="X87" s="6"/>
      <c r="Y87" s="6"/>
      <c r="Z87" s="3"/>
      <c r="AA87" s="6">
        <f t="shared" ref="AA87" si="166">SUM(AA84:AA86)</f>
        <v>-8734</v>
      </c>
      <c r="AB87" s="6">
        <f>SUM(AB84:AB86)</f>
        <v>-8370</v>
      </c>
      <c r="AC87" s="6">
        <f>SUM(AC84:AC86)</f>
        <v>-8548</v>
      </c>
    </row>
    <row r="88" spans="1:29" x14ac:dyDescent="0.25">
      <c r="A88" s="3"/>
      <c r="B88" s="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3"/>
    </row>
    <row r="89" spans="1:29" x14ac:dyDescent="0.25">
      <c r="A89" s="3"/>
      <c r="B89" s="3" t="s">
        <v>77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v>-1077</v>
      </c>
      <c r="P89" s="6">
        <f>-2432-O89</f>
        <v>-1355</v>
      </c>
      <c r="Q89" s="6">
        <f>-4007-P89-O89</f>
        <v>-1575</v>
      </c>
      <c r="R89" s="6">
        <v>-1507</v>
      </c>
      <c r="S89" s="6">
        <v>-925</v>
      </c>
      <c r="T89" s="6">
        <v>-1002</v>
      </c>
      <c r="U89" s="6">
        <f>-2938-T89-S89</f>
        <v>-1011</v>
      </c>
      <c r="V89" s="6"/>
      <c r="W89" s="6"/>
      <c r="X89" s="6"/>
      <c r="Y89" s="6"/>
      <c r="Z89" s="3"/>
      <c r="AA89" s="3">
        <v>-3162</v>
      </c>
      <c r="AB89" s="3">
        <f>-6370-AA89</f>
        <v>-3208</v>
      </c>
      <c r="AC89" s="3">
        <f>-9913-AB89-AA89</f>
        <v>-3543</v>
      </c>
    </row>
    <row r="90" spans="1:29" s="7" customFormat="1" x14ac:dyDescent="0.25">
      <c r="B90" s="7" t="s">
        <v>78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>
        <v>-3939</v>
      </c>
      <c r="P90" s="8">
        <f>-11018-O90</f>
        <v>-7079</v>
      </c>
      <c r="Q90" s="8">
        <f>-24476-P90-O90</f>
        <v>-13458</v>
      </c>
      <c r="R90" s="8">
        <v>-20063</v>
      </c>
      <c r="S90" s="8">
        <v>-9506</v>
      </c>
      <c r="T90" s="8">
        <v>-5233</v>
      </c>
      <c r="U90" s="8">
        <f>-21093-T90-S90</f>
        <v>-6354</v>
      </c>
      <c r="V90" s="8"/>
      <c r="W90" s="8"/>
      <c r="X90" s="8"/>
      <c r="Y90" s="8"/>
      <c r="AA90" s="7">
        <v>-15008</v>
      </c>
      <c r="AB90" s="7">
        <f>-21307-AA90</f>
        <v>-6299</v>
      </c>
      <c r="AC90" s="7">
        <f>-30125-AB90-AA90</f>
        <v>-8818</v>
      </c>
    </row>
    <row r="91" spans="1:29" x14ac:dyDescent="0.25">
      <c r="A91" s="3"/>
      <c r="B91" s="3" t="s">
        <v>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>
        <v>0</v>
      </c>
      <c r="T91" s="6">
        <v>0</v>
      </c>
      <c r="U91" s="6">
        <f>9921-T91-S91</f>
        <v>9921</v>
      </c>
      <c r="V91" s="6"/>
      <c r="W91" s="6"/>
      <c r="X91" s="6"/>
      <c r="Y91" s="6"/>
      <c r="Z91" s="3"/>
      <c r="AA91" s="3">
        <v>-1273</v>
      </c>
      <c r="AB91" s="3">
        <f>-614-AA91</f>
        <v>659</v>
      </c>
      <c r="AC91" s="3">
        <f>10432-AB91-AA91</f>
        <v>11046</v>
      </c>
    </row>
    <row r="92" spans="1:29" x14ac:dyDescent="0.25">
      <c r="A92" s="3"/>
      <c r="B92" s="3" t="s">
        <v>145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3"/>
      <c r="AB92" s="3">
        <v>-2539</v>
      </c>
      <c r="AC92" s="3">
        <f>-3802-AB92</f>
        <v>-1263</v>
      </c>
    </row>
    <row r="93" spans="1:29" x14ac:dyDescent="0.25">
      <c r="A93" s="3"/>
      <c r="B93" s="3" t="s">
        <v>55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>
        <f>-151+32-50</f>
        <v>-169</v>
      </c>
      <c r="P93" s="6">
        <f>-274-O93+3-13</f>
        <v>-115</v>
      </c>
      <c r="Q93" s="6">
        <f>-505+15-13-P93-O93</f>
        <v>-219</v>
      </c>
      <c r="R93" s="6">
        <v>-172</v>
      </c>
      <c r="S93" s="6">
        <f>-233+20-16</f>
        <v>-229</v>
      </c>
      <c r="T93" s="6">
        <f>-219-79-30</f>
        <v>-328</v>
      </c>
      <c r="U93" s="6">
        <f>-615-250-101-T93-S93</f>
        <v>-409</v>
      </c>
      <c r="V93" s="6"/>
      <c r="W93" s="6"/>
      <c r="X93" s="6"/>
      <c r="Y93" s="6"/>
      <c r="Z93" s="3"/>
      <c r="AA93" s="3">
        <f>-9-315</f>
        <v>-324</v>
      </c>
      <c r="AB93" s="3">
        <f>-115-AA93</f>
        <v>209</v>
      </c>
      <c r="AC93" s="3">
        <f>-350-1558-AB93-AA93</f>
        <v>-1793</v>
      </c>
    </row>
    <row r="94" spans="1:29" x14ac:dyDescent="0.25">
      <c r="A94" s="3"/>
      <c r="B94" s="3" t="s">
        <v>79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f t="shared" ref="O94:Q94" si="167">SUM(O89:O93)</f>
        <v>-5185</v>
      </c>
      <c r="P94" s="6">
        <f t="shared" si="167"/>
        <v>-8549</v>
      </c>
      <c r="Q94" s="6">
        <f t="shared" si="167"/>
        <v>-15252</v>
      </c>
      <c r="R94" s="6">
        <f t="shared" ref="R94" si="168">SUM(R89:R93)</f>
        <v>-21742</v>
      </c>
      <c r="S94" s="6">
        <f>SUM(S89:S93)</f>
        <v>-10660</v>
      </c>
      <c r="T94" s="6">
        <f>SUM(T89:T93)</f>
        <v>-6563</v>
      </c>
      <c r="U94" s="6">
        <f>SUM(U89:U93)</f>
        <v>2147</v>
      </c>
      <c r="V94" s="6"/>
      <c r="W94" s="6"/>
      <c r="X94" s="6"/>
      <c r="Y94" s="6"/>
      <c r="Z94" s="3"/>
      <c r="AA94" s="6">
        <f>SUM(AA89:AA93)</f>
        <v>-19767</v>
      </c>
      <c r="AB94" s="6">
        <f>SUM(AB89:AB93)</f>
        <v>-11178</v>
      </c>
      <c r="AC94" s="6">
        <f>SUM(AC89:AC93)</f>
        <v>-4371</v>
      </c>
    </row>
    <row r="95" spans="1:29" x14ac:dyDescent="0.25">
      <c r="B95" t="s">
        <v>80</v>
      </c>
      <c r="O95" s="1">
        <v>-246</v>
      </c>
      <c r="P95" s="1">
        <f>-129-O95</f>
        <v>117</v>
      </c>
      <c r="Q95" s="1">
        <f>-344-P95-O95</f>
        <v>-215</v>
      </c>
      <c r="R95" s="1">
        <v>-130</v>
      </c>
      <c r="S95" s="6">
        <v>-149</v>
      </c>
      <c r="T95" s="1">
        <v>-550</v>
      </c>
      <c r="U95" s="6">
        <f>-1063-T95-S95</f>
        <v>-364</v>
      </c>
      <c r="AA95" s="6">
        <v>-288</v>
      </c>
      <c r="AB95" s="3">
        <f>-440-AA95</f>
        <v>-152</v>
      </c>
      <c r="AC95" s="3">
        <f>-72-AB95-AA95</f>
        <v>368</v>
      </c>
    </row>
    <row r="96" spans="1:29" x14ac:dyDescent="0.25">
      <c r="B96" t="s">
        <v>81</v>
      </c>
      <c r="O96" s="6">
        <f t="shared" ref="O96:U96" si="169">+O95+O94+O87+O82</f>
        <v>1937</v>
      </c>
      <c r="P96" s="6">
        <f t="shared" si="169"/>
        <v>-3380</v>
      </c>
      <c r="Q96" s="6">
        <f t="shared" si="169"/>
        <v>-1707</v>
      </c>
      <c r="R96" s="6">
        <f t="shared" si="169"/>
        <v>2061</v>
      </c>
      <c r="S96" s="6">
        <f t="shared" si="169"/>
        <v>-1512</v>
      </c>
      <c r="T96" s="6">
        <f t="shared" si="169"/>
        <v>-1875</v>
      </c>
      <c r="U96" s="6">
        <f t="shared" si="169"/>
        <v>1773</v>
      </c>
      <c r="AA96" s="6">
        <f t="shared" ref="AA96:AC96" si="170">+AA95+AA94+AA87+AA82</f>
        <v>-9543</v>
      </c>
      <c r="AB96" s="6">
        <f t="shared" si="170"/>
        <v>-330</v>
      </c>
      <c r="AC96" s="6">
        <f t="shared" si="170"/>
        <v>12173</v>
      </c>
    </row>
    <row r="97" spans="1:29" x14ac:dyDescent="0.25">
      <c r="S97" s="6"/>
    </row>
    <row r="98" spans="1:29" x14ac:dyDescent="0.25">
      <c r="A98" s="3"/>
      <c r="B98" s="3" t="s">
        <v>35</v>
      </c>
      <c r="C98" s="6"/>
      <c r="D98" s="6"/>
      <c r="E98" s="6"/>
      <c r="F98" s="6"/>
      <c r="G98" s="6"/>
      <c r="H98" s="6"/>
      <c r="I98" s="6">
        <v>43030</v>
      </c>
      <c r="J98" s="6">
        <v>44942</v>
      </c>
      <c r="K98" s="6"/>
      <c r="L98" s="6"/>
      <c r="M98" s="6"/>
      <c r="N98" s="6"/>
      <c r="O98" s="6"/>
      <c r="P98" s="6"/>
      <c r="Q98" s="6"/>
      <c r="R98" s="6">
        <v>71970</v>
      </c>
      <c r="S98" s="6">
        <v>77805</v>
      </c>
      <c r="T98" s="6">
        <v>83553</v>
      </c>
      <c r="U98" s="6">
        <v>87314</v>
      </c>
      <c r="V98" s="6"/>
      <c r="W98" s="6"/>
      <c r="X98" s="6"/>
      <c r="Y98" s="6"/>
      <c r="Z98" s="3" t="s">
        <v>0</v>
      </c>
    </row>
    <row r="99" spans="1:29" x14ac:dyDescent="0.25">
      <c r="B99" t="s">
        <v>134</v>
      </c>
      <c r="S99" s="6">
        <f t="shared" ref="S99:U99" si="171">+S98-R98</f>
        <v>5835</v>
      </c>
      <c r="T99" s="6">
        <f t="shared" si="171"/>
        <v>5748</v>
      </c>
      <c r="U99" s="6">
        <f t="shared" si="171"/>
        <v>3761</v>
      </c>
      <c r="V99" s="6"/>
      <c r="W99" s="6"/>
      <c r="X99" s="6"/>
      <c r="Y99" s="6"/>
      <c r="Z99" s="6"/>
    </row>
    <row r="100" spans="1:29" x14ac:dyDescent="0.25">
      <c r="S100" s="6"/>
      <c r="T100" s="6"/>
    </row>
    <row r="101" spans="1:29" x14ac:dyDescent="0.25">
      <c r="B101" t="s">
        <v>127</v>
      </c>
      <c r="O101" s="6">
        <f>+O82+O84</f>
        <v>7970</v>
      </c>
      <c r="P101" s="6">
        <f t="shared" ref="P101:S101" si="172">+P82+P84</f>
        <v>8635</v>
      </c>
      <c r="Q101" s="6">
        <f t="shared" si="172"/>
        <v>9776</v>
      </c>
      <c r="R101" s="6">
        <f t="shared" si="172"/>
        <v>12734</v>
      </c>
      <c r="S101" s="6">
        <f t="shared" si="172"/>
        <v>8761</v>
      </c>
      <c r="T101" s="6">
        <f>+T82+T84</f>
        <v>4669</v>
      </c>
      <c r="U101" s="6">
        <f>+U82+U84</f>
        <v>336</v>
      </c>
      <c r="AA101" s="6">
        <f>+AA82+AA84</f>
        <v>12846</v>
      </c>
      <c r="AB101" s="6">
        <f>+AB82+AB84</f>
        <v>11197</v>
      </c>
      <c r="AC101" s="6">
        <f>+AC82+AC84</f>
        <v>16466</v>
      </c>
    </row>
    <row r="102" spans="1:29" x14ac:dyDescent="0.25">
      <c r="B102" t="s">
        <v>128</v>
      </c>
      <c r="R102" s="6">
        <f t="shared" ref="R102:S102" si="173">SUM(O101:R101)</f>
        <v>39115</v>
      </c>
      <c r="S102" s="6">
        <f t="shared" si="173"/>
        <v>39906</v>
      </c>
      <c r="T102" s="6">
        <f>SUM(Q101:T101)</f>
        <v>35940</v>
      </c>
      <c r="U102" s="6">
        <f>SUM(R101:U101)</f>
        <v>26500</v>
      </c>
    </row>
    <row r="104" spans="1:29" x14ac:dyDescent="0.25">
      <c r="A104" s="3"/>
      <c r="B104" s="3" t="s">
        <v>129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>
        <v>-2631</v>
      </c>
      <c r="R104" s="6"/>
      <c r="S104" s="6"/>
      <c r="T104" s="6"/>
      <c r="U104" s="6">
        <v>-3672</v>
      </c>
      <c r="V104" s="6"/>
      <c r="W104" s="6"/>
      <c r="X104" s="6"/>
      <c r="Y104" s="6"/>
      <c r="Z104" s="3"/>
    </row>
    <row r="105" spans="1:29" x14ac:dyDescent="0.25">
      <c r="B105" t="s">
        <v>132</v>
      </c>
      <c r="Q105" s="10"/>
      <c r="R105" s="10">
        <f>SUM(Q24:R24)/SUM(M24:N24)-1</f>
        <v>1.0013947001394699</v>
      </c>
      <c r="S105" s="10">
        <f>SUM(R24:S24)/SUM(N24:O24)-1</f>
        <v>0.25659472422062346</v>
      </c>
      <c r="T105" s="10">
        <f>SUM(S24:T24)/SUM(O24:P24)-1</f>
        <v>0.36710369487485095</v>
      </c>
      <c r="U105" s="10">
        <f>SUM(T24:U24)/SUM(P24:Q24)-1</f>
        <v>-0.14600231749710313</v>
      </c>
    </row>
    <row r="107" spans="1:29" x14ac:dyDescent="0.25">
      <c r="B107" t="s">
        <v>133</v>
      </c>
      <c r="Q107" s="6">
        <v>13054</v>
      </c>
      <c r="R107" s="6"/>
      <c r="S107" s="6"/>
      <c r="T107" s="6"/>
      <c r="U107" s="6">
        <v>9336</v>
      </c>
    </row>
    <row r="108" spans="1:29" x14ac:dyDescent="0.25">
      <c r="B108" t="s">
        <v>137</v>
      </c>
      <c r="U108" s="10">
        <f>+U107/U26</f>
        <v>0.33686945226239445</v>
      </c>
    </row>
    <row r="110" spans="1:29" x14ac:dyDescent="0.25">
      <c r="B110" t="s">
        <v>138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Sebastian Szewczyk</cp:lastModifiedBy>
  <dcterms:created xsi:type="dcterms:W3CDTF">2022-06-11T17:53:18Z</dcterms:created>
  <dcterms:modified xsi:type="dcterms:W3CDTF">2024-11-12T17:10:11Z</dcterms:modified>
</cp:coreProperties>
</file>