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430" documentId="13_ncr:1_{25EA9D46-BA89-48C0-A206-A0DD528639F0}" xr6:coauthVersionLast="47" xr6:coauthVersionMax="47" xr10:uidLastSave="{0344579F-646C-49CD-88A3-AD86E90D91A5}"/>
  <bookViews>
    <workbookView xWindow="16245" yWindow="1215" windowWidth="17280" windowHeight="9795" activeTab="1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7" i="2" l="1"/>
  <c r="G107" i="2"/>
  <c r="G105" i="2"/>
  <c r="D7" i="1"/>
  <c r="D4" i="1"/>
  <c r="BO29" i="2"/>
  <c r="BP29" i="2" s="1"/>
  <c r="BQ29" i="2" s="1"/>
  <c r="BR29" i="2" s="1"/>
  <c r="BR30" i="2"/>
  <c r="BQ30" i="2"/>
  <c r="BP30" i="2"/>
  <c r="BO30" i="2"/>
  <c r="BN30" i="2"/>
  <c r="BN29" i="2"/>
  <c r="BM29" i="2"/>
  <c r="BM30" i="2"/>
  <c r="BM41" i="2"/>
  <c r="W44" i="2"/>
  <c r="X44" i="2"/>
  <c r="Y44" i="2"/>
  <c r="Z44" i="2"/>
  <c r="BM40" i="2"/>
  <c r="BM43" i="2"/>
  <c r="BF40" i="2"/>
  <c r="BL38" i="2"/>
  <c r="BL39" i="2" s="1"/>
  <c r="BL40" i="2" s="1"/>
  <c r="BL35" i="2"/>
  <c r="BL34" i="2"/>
  <c r="BK34" i="2"/>
  <c r="BK35" i="2"/>
  <c r="X40" i="2"/>
  <c r="Z30" i="2"/>
  <c r="Z29" i="2"/>
  <c r="Y30" i="2"/>
  <c r="Y29" i="2"/>
  <c r="X30" i="2"/>
  <c r="X29" i="2"/>
  <c r="BL43" i="2"/>
  <c r="BL41" i="2"/>
  <c r="BL37" i="2"/>
  <c r="BL36" i="2"/>
  <c r="BL33" i="2"/>
  <c r="BL32" i="2"/>
  <c r="BL30" i="2"/>
  <c r="BL29" i="2"/>
  <c r="BK29" i="2"/>
  <c r="BD44" i="2"/>
  <c r="BD56" i="2"/>
  <c r="Y43" i="2"/>
  <c r="X43" i="2"/>
  <c r="Z40" i="2"/>
  <c r="Y40" i="2"/>
  <c r="Z31" i="2"/>
  <c r="Y31" i="2"/>
  <c r="X31" i="2"/>
  <c r="R8" i="2"/>
  <c r="W110" i="2"/>
  <c r="V110" i="2"/>
  <c r="W103" i="2"/>
  <c r="W100" i="2"/>
  <c r="W99" i="2"/>
  <c r="W96" i="2"/>
  <c r="W94" i="2"/>
  <c r="W89" i="2"/>
  <c r="W90" i="2" s="1"/>
  <c r="W107" i="2" s="1"/>
  <c r="W76" i="2"/>
  <c r="W75" i="2"/>
  <c r="W73" i="2"/>
  <c r="W81" i="2" s="1"/>
  <c r="W68" i="2"/>
  <c r="W62" i="2"/>
  <c r="W61" i="2" s="1"/>
  <c r="W19" i="2"/>
  <c r="W58" i="2"/>
  <c r="W57" i="2"/>
  <c r="W53" i="2"/>
  <c r="W52" i="2"/>
  <c r="W51" i="2"/>
  <c r="W39" i="2"/>
  <c r="W34" i="2"/>
  <c r="U100" i="2"/>
  <c r="U99" i="2"/>
  <c r="U94" i="2"/>
  <c r="U89" i="2"/>
  <c r="U75" i="2"/>
  <c r="U76" i="2"/>
  <c r="U73" i="2"/>
  <c r="U68" i="2"/>
  <c r="U62" i="2"/>
  <c r="U34" i="2"/>
  <c r="BM42" i="2" l="1"/>
  <c r="BM44" i="2" s="1"/>
  <c r="W105" i="2"/>
  <c r="W70" i="2"/>
  <c r="U19" i="2"/>
  <c r="V19" i="2"/>
  <c r="T19" i="2"/>
  <c r="S19" i="2"/>
  <c r="R19" i="2"/>
  <c r="Q19" i="2"/>
  <c r="P19" i="2"/>
  <c r="V5" i="2"/>
  <c r="U5" i="2"/>
  <c r="T5" i="2"/>
  <c r="S5" i="2"/>
  <c r="W31" i="2"/>
  <c r="V53" i="2"/>
  <c r="U53" i="2"/>
  <c r="V52" i="2"/>
  <c r="U52" i="2"/>
  <c r="V51" i="2"/>
  <c r="U51" i="2"/>
  <c r="U110" i="2"/>
  <c r="V103" i="2"/>
  <c r="V105" i="2" s="1"/>
  <c r="U103" i="2"/>
  <c r="V100" i="2"/>
  <c r="V99" i="2"/>
  <c r="V94" i="2"/>
  <c r="V96" i="2"/>
  <c r="U96" i="2"/>
  <c r="V90" i="2"/>
  <c r="V107" i="2" s="1"/>
  <c r="U90" i="2"/>
  <c r="V89" i="2"/>
  <c r="V75" i="2"/>
  <c r="V76" i="2"/>
  <c r="V73" i="2"/>
  <c r="U81" i="2"/>
  <c r="V62" i="2"/>
  <c r="V70" i="2" s="1"/>
  <c r="U70" i="2"/>
  <c r="V68" i="2"/>
  <c r="V39" i="2"/>
  <c r="V34" i="2"/>
  <c r="F17" i="2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G100" i="2"/>
  <c r="G103" i="2"/>
  <c r="G94" i="2"/>
  <c r="G96" i="2"/>
  <c r="G89" i="2"/>
  <c r="G90" i="2" s="1"/>
  <c r="G75" i="2"/>
  <c r="G76" i="2"/>
  <c r="G73" i="2"/>
  <c r="G68" i="2"/>
  <c r="G62" i="2"/>
  <c r="G61" i="2" s="1"/>
  <c r="C58" i="2"/>
  <c r="C57" i="2"/>
  <c r="C39" i="2"/>
  <c r="C34" i="2"/>
  <c r="C31" i="2"/>
  <c r="S110" i="2"/>
  <c r="W111" i="2" s="1"/>
  <c r="R110" i="2"/>
  <c r="V111" i="2" s="1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76" i="2"/>
  <c r="H75" i="2"/>
  <c r="H73" i="2"/>
  <c r="H81" i="2" s="1"/>
  <c r="H62" i="2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BJ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T52" i="2"/>
  <c r="S99" i="2"/>
  <c r="S100" i="2"/>
  <c r="S94" i="2"/>
  <c r="S96" i="2" s="1"/>
  <c r="S89" i="2"/>
  <c r="S90" i="2" s="1"/>
  <c r="S107" i="2" s="1"/>
  <c r="S73" i="2"/>
  <c r="S76" i="2"/>
  <c r="W50" i="2" s="1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U61" i="2"/>
  <c r="T34" i="2"/>
  <c r="S58" i="2"/>
  <c r="BK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V50" i="2" s="1"/>
  <c r="R73" i="2"/>
  <c r="R68" i="2"/>
  <c r="R62" i="2"/>
  <c r="R34" i="2"/>
  <c r="BD58" i="2"/>
  <c r="BD57" i="2"/>
  <c r="BD39" i="2"/>
  <c r="BD34" i="2"/>
  <c r="BD31" i="2"/>
  <c r="BD48" i="2" s="1"/>
  <c r="BD116" i="2"/>
  <c r="BD117" i="2" s="1"/>
  <c r="BC48" i="2"/>
  <c r="BC39" i="2"/>
  <c r="BC35" i="2"/>
  <c r="BC116" i="2"/>
  <c r="BC117" i="2" s="1"/>
  <c r="BB79" i="2"/>
  <c r="BB76" i="2"/>
  <c r="BB75" i="2"/>
  <c r="BB73" i="2"/>
  <c r="BB68" i="2"/>
  <c r="BB65" i="2"/>
  <c r="BB62" i="2"/>
  <c r="BB48" i="2"/>
  <c r="BB39" i="2"/>
  <c r="BB35" i="2"/>
  <c r="BB116" i="2"/>
  <c r="BB117" i="2" s="1"/>
  <c r="BA79" i="2"/>
  <c r="BA76" i="2"/>
  <c r="BA73" i="2"/>
  <c r="BA68" i="2"/>
  <c r="BA65" i="2"/>
  <c r="BA62" i="2"/>
  <c r="BA48" i="2"/>
  <c r="BA39" i="2"/>
  <c r="BA35" i="2"/>
  <c r="BA54" i="2" s="1"/>
  <c r="BA116" i="2"/>
  <c r="BA117" i="2" s="1"/>
  <c r="BA123" i="2" s="1"/>
  <c r="AZ79" i="2"/>
  <c r="AZ76" i="2"/>
  <c r="AZ73" i="2"/>
  <c r="AZ68" i="2"/>
  <c r="AZ65" i="2"/>
  <c r="AZ62" i="2"/>
  <c r="AZ48" i="2"/>
  <c r="AZ39" i="2"/>
  <c r="AZ35" i="2"/>
  <c r="AZ54" i="2" s="1"/>
  <c r="AZ116" i="2"/>
  <c r="AZ117" i="2" s="1"/>
  <c r="AZ123" i="2" s="1"/>
  <c r="AY79" i="2"/>
  <c r="AY77" i="2"/>
  <c r="AY76" i="2"/>
  <c r="AY68" i="2"/>
  <c r="AY69" i="2"/>
  <c r="AY65" i="2"/>
  <c r="AY62" i="2"/>
  <c r="AY61" i="2" s="1"/>
  <c r="AY48" i="2"/>
  <c r="AY39" i="2"/>
  <c r="AY35" i="2"/>
  <c r="AY54" i="2" s="1"/>
  <c r="AY116" i="2"/>
  <c r="AY117" i="2" s="1"/>
  <c r="AX79" i="2"/>
  <c r="AX76" i="2"/>
  <c r="AX73" i="2"/>
  <c r="AX68" i="2"/>
  <c r="AX65" i="2"/>
  <c r="AX62" i="2"/>
  <c r="AX48" i="2"/>
  <c r="AX39" i="2"/>
  <c r="AX35" i="2"/>
  <c r="AX54" i="2" s="1"/>
  <c r="AX116" i="2"/>
  <c r="AX117" i="2" s="1"/>
  <c r="AW79" i="2"/>
  <c r="AW73" i="2"/>
  <c r="AW76" i="2"/>
  <c r="AW75" i="2"/>
  <c r="AW72" i="2"/>
  <c r="AW69" i="2"/>
  <c r="AW68" i="2"/>
  <c r="AW65" i="2"/>
  <c r="AW62" i="2"/>
  <c r="AW48" i="2"/>
  <c r="AW39" i="2"/>
  <c r="AW35" i="2"/>
  <c r="AW116" i="2"/>
  <c r="AW117" i="2" s="1"/>
  <c r="AV79" i="2"/>
  <c r="AV76" i="2"/>
  <c r="AV62" i="2"/>
  <c r="AV61" i="2" s="1"/>
  <c r="AV69" i="2"/>
  <c r="AV68" i="2"/>
  <c r="AV65" i="2"/>
  <c r="AV39" i="2"/>
  <c r="AV35" i="2"/>
  <c r="AV54" i="2" s="1"/>
  <c r="AV48" i="2"/>
  <c r="AV116" i="2"/>
  <c r="AV117" i="2" s="1"/>
  <c r="AU79" i="2"/>
  <c r="AU76" i="2"/>
  <c r="AU69" i="2"/>
  <c r="AU68" i="2"/>
  <c r="AU65" i="2"/>
  <c r="AU62" i="2"/>
  <c r="AU61" i="2" s="1"/>
  <c r="AU39" i="2"/>
  <c r="AU35" i="2"/>
  <c r="AU54" i="2" s="1"/>
  <c r="AU48" i="2"/>
  <c r="AU116" i="2"/>
  <c r="AU117" i="2" s="1"/>
  <c r="AU123" i="2" s="1"/>
  <c r="AT79" i="2"/>
  <c r="AT76" i="2"/>
  <c r="AT69" i="2"/>
  <c r="AT68" i="2"/>
  <c r="AT65" i="2"/>
  <c r="AT62" i="2"/>
  <c r="AT61" i="2" s="1"/>
  <c r="AT39" i="2"/>
  <c r="AT35" i="2"/>
  <c r="AT48" i="2"/>
  <c r="AT116" i="2"/>
  <c r="AT117" i="2" s="1"/>
  <c r="AT123" i="2" s="1"/>
  <c r="AS76" i="2"/>
  <c r="AS75" i="2"/>
  <c r="AS69" i="2"/>
  <c r="AS68" i="2"/>
  <c r="AS65" i="2"/>
  <c r="AS62" i="2"/>
  <c r="AS61" i="2" s="1"/>
  <c r="AS39" i="2"/>
  <c r="AS35" i="2"/>
  <c r="AS48" i="2"/>
  <c r="AS116" i="2"/>
  <c r="AS117" i="2" s="1"/>
  <c r="AS123" i="2" s="1"/>
  <c r="AR76" i="2"/>
  <c r="AR81" i="2" s="1"/>
  <c r="AR69" i="2"/>
  <c r="AR68" i="2"/>
  <c r="AR65" i="2"/>
  <c r="AR62" i="2"/>
  <c r="AR61" i="2" s="1"/>
  <c r="AR39" i="2"/>
  <c r="AR35" i="2"/>
  <c r="AR54" i="2" s="1"/>
  <c r="AR48" i="2"/>
  <c r="AR116" i="2"/>
  <c r="AR117" i="2" s="1"/>
  <c r="AQ79" i="2"/>
  <c r="AQ76" i="2"/>
  <c r="AQ68" i="2"/>
  <c r="AQ62" i="2"/>
  <c r="AQ61" i="2" s="1"/>
  <c r="AQ65" i="2"/>
  <c r="AQ39" i="2"/>
  <c r="AQ35" i="2"/>
  <c r="AQ48" i="2"/>
  <c r="AQ116" i="2"/>
  <c r="AQ117" i="2" s="1"/>
  <c r="AP79" i="2"/>
  <c r="AP76" i="2"/>
  <c r="AP68" i="2"/>
  <c r="AP62" i="2"/>
  <c r="AP61" i="2" s="1"/>
  <c r="AP65" i="2"/>
  <c r="AP48" i="2"/>
  <c r="AP39" i="2"/>
  <c r="AP35" i="2"/>
  <c r="AP116" i="2"/>
  <c r="AP117" i="2" s="1"/>
  <c r="AP123" i="2" s="1"/>
  <c r="AO79" i="2"/>
  <c r="AO81" i="2" s="1"/>
  <c r="AO65" i="2"/>
  <c r="AO62" i="2"/>
  <c r="AO61" i="2" s="1"/>
  <c r="AO39" i="2"/>
  <c r="AO35" i="2"/>
  <c r="AO54" i="2" s="1"/>
  <c r="AO48" i="2"/>
  <c r="AO116" i="2"/>
  <c r="AO117" i="2" s="1"/>
  <c r="AO123" i="2" s="1"/>
  <c r="AN81" i="2"/>
  <c r="AN65" i="2"/>
  <c r="AN62" i="2"/>
  <c r="AN41" i="2"/>
  <c r="AN39" i="2"/>
  <c r="AN35" i="2"/>
  <c r="AN48" i="2"/>
  <c r="AN116" i="2"/>
  <c r="AN117" i="2" s="1"/>
  <c r="AL122" i="2"/>
  <c r="AH122" i="2"/>
  <c r="AM81" i="2"/>
  <c r="AM62" i="2"/>
  <c r="AM70" i="2" s="1"/>
  <c r="AM41" i="2"/>
  <c r="AM39" i="2"/>
  <c r="AM35" i="2"/>
  <c r="AM54" i="2" s="1"/>
  <c r="AM48" i="2"/>
  <c r="AM116" i="2"/>
  <c r="AM117" i="2" s="1"/>
  <c r="AM123" i="2" s="1"/>
  <c r="AL81" i="2"/>
  <c r="AL62" i="2"/>
  <c r="AL70" i="2" s="1"/>
  <c r="AL48" i="2"/>
  <c r="AL35" i="2"/>
  <c r="AL54" i="2" s="1"/>
  <c r="AL43" i="2"/>
  <c r="AL41" i="2"/>
  <c r="AL39" i="2"/>
  <c r="AL116" i="2"/>
  <c r="AL117" i="2" s="1"/>
  <c r="AL123" i="2" s="1"/>
  <c r="AK116" i="2"/>
  <c r="AK117" i="2" s="1"/>
  <c r="AK80" i="2"/>
  <c r="AK81" i="2" s="1"/>
  <c r="AK62" i="2"/>
  <c r="AK70" i="2" s="1"/>
  <c r="AK41" i="2"/>
  <c r="AK48" i="2"/>
  <c r="AK39" i="2"/>
  <c r="AK35" i="2"/>
  <c r="AK54" i="2" s="1"/>
  <c r="AJ79" i="2"/>
  <c r="AJ81" i="2" s="1"/>
  <c r="AJ70" i="2"/>
  <c r="AJ61" i="2"/>
  <c r="AJ41" i="2"/>
  <c r="AJ39" i="2"/>
  <c r="AJ35" i="2"/>
  <c r="AJ54" i="2" s="1"/>
  <c r="AH48" i="2"/>
  <c r="AJ48" i="2"/>
  <c r="AJ116" i="2"/>
  <c r="AJ117" i="2" s="1"/>
  <c r="AJ123" i="2" s="1"/>
  <c r="AI79" i="2"/>
  <c r="AI81" i="2" s="1"/>
  <c r="AI70" i="2"/>
  <c r="AI61" i="2"/>
  <c r="AI41" i="2"/>
  <c r="AI39" i="2"/>
  <c r="AI35" i="2"/>
  <c r="AI48" i="2"/>
  <c r="AI116" i="2"/>
  <c r="AI117" i="2" s="1"/>
  <c r="AH116" i="2"/>
  <c r="AH117" i="2" s="1"/>
  <c r="AE41" i="2"/>
  <c r="AD41" i="2"/>
  <c r="AE39" i="2"/>
  <c r="AD39" i="2"/>
  <c r="AE35" i="2"/>
  <c r="AE54" i="2" s="1"/>
  <c r="AD35" i="2"/>
  <c r="AD54" i="2" s="1"/>
  <c r="AH81" i="2"/>
  <c r="AH62" i="2"/>
  <c r="AH70" i="2" s="1"/>
  <c r="AF41" i="2"/>
  <c r="AF39" i="2"/>
  <c r="AF35" i="2"/>
  <c r="AF54" i="2" s="1"/>
  <c r="AG41" i="2"/>
  <c r="AG39" i="2"/>
  <c r="AG35" i="2"/>
  <c r="AG54" i="2" s="1"/>
  <c r="AH41" i="2"/>
  <c r="AH39" i="2"/>
  <c r="AH35" i="2"/>
  <c r="AG48" i="2"/>
  <c r="AF48" i="2"/>
  <c r="AE48" i="2"/>
  <c r="Q75" i="2"/>
  <c r="Q76" i="2"/>
  <c r="U50" i="2" s="1"/>
  <c r="Q73" i="2"/>
  <c r="Q68" i="2"/>
  <c r="Q62" i="2"/>
  <c r="Q34" i="2"/>
  <c r="Q31" i="2"/>
  <c r="Q58" i="2"/>
  <c r="BH58" i="2"/>
  <c r="BG58" i="2"/>
  <c r="BF58" i="2"/>
  <c r="BH57" i="2"/>
  <c r="BG57" i="2"/>
  <c r="BF57" i="2"/>
  <c r="BE58" i="2"/>
  <c r="BE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V58" i="2"/>
  <c r="Q53" i="2"/>
  <c r="Q52" i="2"/>
  <c r="BK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BK38" i="2"/>
  <c r="O100" i="2"/>
  <c r="O103" i="2" s="1"/>
  <c r="O94" i="2"/>
  <c r="O96" i="2" s="1"/>
  <c r="O89" i="2"/>
  <c r="O90" i="2" s="1"/>
  <c r="O107" i="2" s="1"/>
  <c r="W35" i="2" l="1"/>
  <c r="V81" i="2"/>
  <c r="U111" i="2"/>
  <c r="U105" i="2"/>
  <c r="U107" i="2"/>
  <c r="W108" i="2" s="1"/>
  <c r="W109" i="2" s="1"/>
  <c r="V61" i="2"/>
  <c r="AP81" i="2"/>
  <c r="AQ118" i="2"/>
  <c r="T111" i="2"/>
  <c r="Q111" i="2"/>
  <c r="R111" i="2"/>
  <c r="S111" i="2"/>
  <c r="G70" i="2"/>
  <c r="G81" i="2"/>
  <c r="P111" i="2"/>
  <c r="S103" i="2"/>
  <c r="O111" i="2"/>
  <c r="H70" i="2"/>
  <c r="E35" i="2"/>
  <c r="E54" i="2" s="1"/>
  <c r="C35" i="2"/>
  <c r="S70" i="2"/>
  <c r="T50" i="2"/>
  <c r="H61" i="2"/>
  <c r="T35" i="2"/>
  <c r="H105" i="2"/>
  <c r="D35" i="2"/>
  <c r="J61" i="2"/>
  <c r="AP40" i="2"/>
  <c r="AP42" i="2" s="1"/>
  <c r="AP56" i="2" s="1"/>
  <c r="S61" i="2"/>
  <c r="AN70" i="2"/>
  <c r="AN40" i="2"/>
  <c r="AN42" i="2" s="1"/>
  <c r="AU81" i="2"/>
  <c r="AQ81" i="2"/>
  <c r="T70" i="2"/>
  <c r="AN61" i="2"/>
  <c r="AN118" i="2" s="1"/>
  <c r="AS81" i="2"/>
  <c r="S81" i="2"/>
  <c r="S108" i="2"/>
  <c r="AO70" i="2"/>
  <c r="T105" i="2"/>
  <c r="AI40" i="2"/>
  <c r="AI42" i="2" s="1"/>
  <c r="AI44" i="2" s="1"/>
  <c r="AI45" i="2" s="1"/>
  <c r="AT40" i="2"/>
  <c r="AT42" i="2" s="1"/>
  <c r="AT44" i="2" s="1"/>
  <c r="AT45" i="2" s="1"/>
  <c r="AM61" i="2"/>
  <c r="AM118" i="2" s="1"/>
  <c r="AS40" i="2"/>
  <c r="AS42" i="2" s="1"/>
  <c r="AS44" i="2" s="1"/>
  <c r="AS45" i="2" s="1"/>
  <c r="AU70" i="2"/>
  <c r="AY81" i="2"/>
  <c r="BB40" i="2"/>
  <c r="S105" i="2"/>
  <c r="T108" i="2"/>
  <c r="T81" i="2"/>
  <c r="T61" i="2"/>
  <c r="AY70" i="2"/>
  <c r="I81" i="2"/>
  <c r="Q51" i="2"/>
  <c r="R81" i="2"/>
  <c r="BK26" i="2"/>
  <c r="BK27" i="2"/>
  <c r="AH40" i="2"/>
  <c r="AH42" i="2" s="1"/>
  <c r="AH44" i="2" s="1"/>
  <c r="AH45" i="2" s="1"/>
  <c r="AL61" i="2"/>
  <c r="AL118" i="2" s="1"/>
  <c r="J70" i="2"/>
  <c r="AV40" i="2"/>
  <c r="AV42" i="2" s="1"/>
  <c r="AV44" i="2" s="1"/>
  <c r="AV45" i="2" s="1"/>
  <c r="AZ61" i="2"/>
  <c r="AZ118" i="2" s="1"/>
  <c r="AW40" i="2"/>
  <c r="BA70" i="2"/>
  <c r="AI54" i="2"/>
  <c r="Q61" i="2"/>
  <c r="AS70" i="2"/>
  <c r="R61" i="2"/>
  <c r="AZ81" i="2"/>
  <c r="AT81" i="2"/>
  <c r="AV81" i="2"/>
  <c r="AQ70" i="2"/>
  <c r="AO40" i="2"/>
  <c r="AO42" i="2" s="1"/>
  <c r="AO56" i="2" s="1"/>
  <c r="AV70" i="2"/>
  <c r="AP54" i="2"/>
  <c r="AW81" i="2"/>
  <c r="AR118" i="2"/>
  <c r="AX81" i="2"/>
  <c r="AV118" i="2"/>
  <c r="AV123" i="2"/>
  <c r="J81" i="2"/>
  <c r="AN54" i="2"/>
  <c r="BB70" i="2"/>
  <c r="BB81" i="2"/>
  <c r="AX61" i="2"/>
  <c r="AX118" i="2" s="1"/>
  <c r="I61" i="2"/>
  <c r="AE40" i="2"/>
  <c r="AE42" i="2" s="1"/>
  <c r="AH54" i="2"/>
  <c r="I70" i="2"/>
  <c r="AJ40" i="2"/>
  <c r="AJ42" i="2" s="1"/>
  <c r="AJ44" i="2" s="1"/>
  <c r="AJ45" i="2" s="1"/>
  <c r="R105" i="2"/>
  <c r="BB54" i="2"/>
  <c r="AW61" i="2"/>
  <c r="AW118" i="2" s="1"/>
  <c r="BA81" i="2"/>
  <c r="AS54" i="2"/>
  <c r="AU40" i="2"/>
  <c r="AU42" i="2" s="1"/>
  <c r="AU44" i="2" s="1"/>
  <c r="AU45" i="2" s="1"/>
  <c r="AJ118" i="2"/>
  <c r="AT54" i="2"/>
  <c r="BC123" i="2"/>
  <c r="BC118" i="2"/>
  <c r="AH123" i="2"/>
  <c r="AW123" i="2"/>
  <c r="I105" i="2"/>
  <c r="R70" i="2"/>
  <c r="J105" i="2"/>
  <c r="AM40" i="2"/>
  <c r="AM42" i="2" s="1"/>
  <c r="AH61" i="2"/>
  <c r="AH118" i="2" s="1"/>
  <c r="AR40" i="2"/>
  <c r="AR42" i="2" s="1"/>
  <c r="AQ123" i="2"/>
  <c r="AX123" i="2"/>
  <c r="AI118" i="2"/>
  <c r="AR123" i="2"/>
  <c r="AP70" i="2"/>
  <c r="AK61" i="2"/>
  <c r="AK118" i="2" s="1"/>
  <c r="BA61" i="2"/>
  <c r="BA118" i="2" s="1"/>
  <c r="BC54" i="2"/>
  <c r="BC40" i="2"/>
  <c r="AZ40" i="2"/>
  <c r="BD123" i="2"/>
  <c r="BD118" i="2"/>
  <c r="AP118" i="2"/>
  <c r="AX70" i="2"/>
  <c r="AK123" i="2"/>
  <c r="AT118" i="2"/>
  <c r="AU118" i="2"/>
  <c r="BD35" i="2"/>
  <c r="BD54" i="2" s="1"/>
  <c r="AO118" i="2"/>
  <c r="AY123" i="2"/>
  <c r="AY118" i="2"/>
  <c r="AQ40" i="2"/>
  <c r="AQ42" i="2" s="1"/>
  <c r="AQ54" i="2"/>
  <c r="AS118" i="2"/>
  <c r="AT70" i="2"/>
  <c r="BB123" i="2"/>
  <c r="AW70" i="2"/>
  <c r="AN123" i="2"/>
  <c r="AY40" i="2"/>
  <c r="AD40" i="2"/>
  <c r="AD42" i="2" s="1"/>
  <c r="AI123" i="2"/>
  <c r="AW54" i="2"/>
  <c r="BA40" i="2"/>
  <c r="BB61" i="2"/>
  <c r="BB118" i="2" s="1"/>
  <c r="AX40" i="2"/>
  <c r="AZ70" i="2"/>
  <c r="AR70" i="2"/>
  <c r="R108" i="2"/>
  <c r="Q105" i="2"/>
  <c r="AL40" i="2"/>
  <c r="AL42" i="2" s="1"/>
  <c r="AL56" i="2" s="1"/>
  <c r="AK40" i="2"/>
  <c r="AK42" i="2" s="1"/>
  <c r="AF40" i="2"/>
  <c r="AF42" i="2" s="1"/>
  <c r="AG40" i="2"/>
  <c r="AG42" i="2" s="1"/>
  <c r="BK36" i="2"/>
  <c r="Q35" i="2"/>
  <c r="Q54" i="2" s="1"/>
  <c r="BK37" i="2"/>
  <c r="V31" i="2"/>
  <c r="Q70" i="2"/>
  <c r="BK32" i="2"/>
  <c r="Q81" i="2"/>
  <c r="T58" i="2"/>
  <c r="T57" i="2"/>
  <c r="S57" i="2"/>
  <c r="BK46" i="2"/>
  <c r="BL46" i="2"/>
  <c r="BM46" i="2" s="1"/>
  <c r="BN46" i="2" s="1"/>
  <c r="BO46" i="2" s="1"/>
  <c r="BP46" i="2" s="1"/>
  <c r="BQ46" i="2" s="1"/>
  <c r="BR46" i="2" s="1"/>
  <c r="U57" i="2"/>
  <c r="U31" i="2"/>
  <c r="BK33" i="2"/>
  <c r="V57" i="2"/>
  <c r="T39" i="2"/>
  <c r="Q57" i="2"/>
  <c r="S31" i="2"/>
  <c r="S35" i="2" s="1"/>
  <c r="BK30" i="2"/>
  <c r="S39" i="2"/>
  <c r="T48" i="2"/>
  <c r="R3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BE39" i="2"/>
  <c r="BE34" i="2"/>
  <c r="BE31" i="2"/>
  <c r="BE48" i="2" s="1"/>
  <c r="BF39" i="2"/>
  <c r="BF34" i="2"/>
  <c r="BF31" i="2"/>
  <c r="BL2" i="2"/>
  <c r="BM2" i="2" s="1"/>
  <c r="BN2" i="2" s="1"/>
  <c r="BO2" i="2" s="1"/>
  <c r="BP2" i="2" s="1"/>
  <c r="BQ2" i="2" s="1"/>
  <c r="BR2" i="2" s="1"/>
  <c r="BJ43" i="2"/>
  <c r="BJ41" i="2"/>
  <c r="BJ46" i="2"/>
  <c r="BI46" i="2"/>
  <c r="BI43" i="2"/>
  <c r="BI41" i="2"/>
  <c r="BH39" i="2"/>
  <c r="BG39" i="2"/>
  <c r="BH34" i="2"/>
  <c r="BG34" i="2"/>
  <c r="BG31" i="2"/>
  <c r="BH31" i="2"/>
  <c r="BI2" i="2"/>
  <c r="BJ2" i="2"/>
  <c r="R2" i="2"/>
  <c r="Q2" i="2"/>
  <c r="P2" i="2"/>
  <c r="T2" i="2" s="1"/>
  <c r="O2" i="2"/>
  <c r="S2" i="2" s="1"/>
  <c r="BI38" i="2"/>
  <c r="BI37" i="2"/>
  <c r="BI36" i="2"/>
  <c r="BJ38" i="2"/>
  <c r="BJ37" i="2"/>
  <c r="BJ36" i="2"/>
  <c r="BJ33" i="2"/>
  <c r="BJ32" i="2"/>
  <c r="BI33" i="2"/>
  <c r="BI32" i="2"/>
  <c r="BI25" i="2"/>
  <c r="BI26" i="2"/>
  <c r="BI27" i="2"/>
  <c r="BI30" i="2"/>
  <c r="BI29" i="2"/>
  <c r="BJ30" i="2"/>
  <c r="BJ29" i="2"/>
  <c r="BJ27" i="2"/>
  <c r="BJ26" i="2"/>
  <c r="BJ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L39" i="2"/>
  <c r="K39" i="2"/>
  <c r="J39" i="2"/>
  <c r="I39" i="2"/>
  <c r="H39" i="2"/>
  <c r="G39" i="2"/>
  <c r="M39" i="2"/>
  <c r="N34" i="2"/>
  <c r="N31" i="2"/>
  <c r="G31" i="2"/>
  <c r="G48" i="2" s="1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E40" i="2" l="1"/>
  <c r="W48" i="2"/>
  <c r="W40" i="2"/>
  <c r="W54" i="2"/>
  <c r="U35" i="2"/>
  <c r="U54" i="2" s="1"/>
  <c r="V108" i="2"/>
  <c r="V109" i="2" s="1"/>
  <c r="M61" i="2"/>
  <c r="U108" i="2"/>
  <c r="U109" i="2" s="1"/>
  <c r="V35" i="2"/>
  <c r="V40" i="2" s="1"/>
  <c r="AP44" i="2"/>
  <c r="AP45" i="2" s="1"/>
  <c r="C40" i="2"/>
  <c r="C54" i="2"/>
  <c r="L108" i="2"/>
  <c r="K108" i="2"/>
  <c r="D40" i="2"/>
  <c r="D54" i="2"/>
  <c r="E55" i="2"/>
  <c r="E42" i="2"/>
  <c r="N61" i="2"/>
  <c r="BJ61" i="2" s="1"/>
  <c r="BK41" i="2" s="1"/>
  <c r="AS56" i="2"/>
  <c r="AT56" i="2"/>
  <c r="AT119" i="2"/>
  <c r="AS119" i="2"/>
  <c r="AX42" i="2"/>
  <c r="AX56" i="2" s="1"/>
  <c r="AX55" i="2"/>
  <c r="AW42" i="2"/>
  <c r="AW55" i="2"/>
  <c r="AZ42" i="2"/>
  <c r="AZ56" i="2" s="1"/>
  <c r="AZ55" i="2"/>
  <c r="BA42" i="2"/>
  <c r="BA56" i="2" s="1"/>
  <c r="BA55" i="2"/>
  <c r="BB42" i="2"/>
  <c r="BB55" i="2"/>
  <c r="BC42" i="2"/>
  <c r="BC56" i="2" s="1"/>
  <c r="BC55" i="2"/>
  <c r="AY42" i="2"/>
  <c r="AY56" i="2" s="1"/>
  <c r="AY55" i="2"/>
  <c r="AV56" i="2"/>
  <c r="AV119" i="2"/>
  <c r="M108" i="2"/>
  <c r="Q109" i="2" s="1"/>
  <c r="Q50" i="2"/>
  <c r="M50" i="2"/>
  <c r="R50" i="2"/>
  <c r="N50" i="2"/>
  <c r="AH56" i="2"/>
  <c r="AO44" i="2"/>
  <c r="AO45" i="2" s="1"/>
  <c r="AI56" i="2"/>
  <c r="AU56" i="2"/>
  <c r="AJ56" i="2"/>
  <c r="BD40" i="2"/>
  <c r="AH119" i="2"/>
  <c r="AU119" i="2"/>
  <c r="AD56" i="2"/>
  <c r="AD44" i="2"/>
  <c r="AD45" i="2" s="1"/>
  <c r="AM56" i="2"/>
  <c r="AM44" i="2"/>
  <c r="AM45" i="2" s="1"/>
  <c r="AG44" i="2"/>
  <c r="AG45" i="2" s="1"/>
  <c r="AG56" i="2"/>
  <c r="AF44" i="2"/>
  <c r="AF45" i="2" s="1"/>
  <c r="AF56" i="2"/>
  <c r="AJ119" i="2"/>
  <c r="BG48" i="2"/>
  <c r="BJ58" i="2"/>
  <c r="AQ44" i="2"/>
  <c r="AQ56" i="2"/>
  <c r="AI119" i="2"/>
  <c r="BI58" i="2"/>
  <c r="AK44" i="2"/>
  <c r="AK45" i="2" s="1"/>
  <c r="AK56" i="2"/>
  <c r="BJ57" i="2"/>
  <c r="AL44" i="2"/>
  <c r="AL45" i="2" s="1"/>
  <c r="BI57" i="2"/>
  <c r="O50" i="2"/>
  <c r="R48" i="2"/>
  <c r="R35" i="2"/>
  <c r="R54" i="2" s="1"/>
  <c r="AN44" i="2"/>
  <c r="AN45" i="2" s="1"/>
  <c r="AN56" i="2"/>
  <c r="AP119" i="2"/>
  <c r="AE56" i="2"/>
  <c r="AE44" i="2"/>
  <c r="AE45" i="2" s="1"/>
  <c r="AR56" i="2"/>
  <c r="AR44" i="2"/>
  <c r="BK57" i="2"/>
  <c r="R57" i="2"/>
  <c r="U48" i="2"/>
  <c r="T40" i="2"/>
  <c r="S48" i="2"/>
  <c r="U39" i="2"/>
  <c r="U40" i="2" s="1"/>
  <c r="U58" i="2"/>
  <c r="BK58" i="2"/>
  <c r="V48" i="2"/>
  <c r="S54" i="2"/>
  <c r="T54" i="2"/>
  <c r="S40" i="2"/>
  <c r="Q40" i="2"/>
  <c r="J48" i="2"/>
  <c r="BI34" i="2"/>
  <c r="L61" i="2"/>
  <c r="O48" i="2"/>
  <c r="O35" i="2"/>
  <c r="O54" i="2" s="1"/>
  <c r="O70" i="2"/>
  <c r="O61" i="2"/>
  <c r="K61" i="2"/>
  <c r="P54" i="2"/>
  <c r="P40" i="2"/>
  <c r="P108" i="2"/>
  <c r="O108" i="2"/>
  <c r="N108" i="2"/>
  <c r="R109" i="2" s="1"/>
  <c r="O81" i="2"/>
  <c r="BF35" i="2"/>
  <c r="F35" i="2"/>
  <c r="F40" i="2" s="1"/>
  <c r="BE35" i="2"/>
  <c r="BE40" i="2" s="1"/>
  <c r="BF48" i="2"/>
  <c r="BJ39" i="2"/>
  <c r="BH48" i="2"/>
  <c r="BJ31" i="2"/>
  <c r="BI39" i="2"/>
  <c r="BH35" i="2"/>
  <c r="BH54" i="2" s="1"/>
  <c r="BG35" i="2"/>
  <c r="BG54" i="2" s="1"/>
  <c r="BJ34" i="2"/>
  <c r="BI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W42" i="2" l="1"/>
  <c r="W55" i="2"/>
  <c r="V54" i="2"/>
  <c r="AX44" i="2"/>
  <c r="AX45" i="2" s="1"/>
  <c r="S109" i="2"/>
  <c r="O109" i="2"/>
  <c r="AZ44" i="2"/>
  <c r="AZ45" i="2" s="1"/>
  <c r="C42" i="2"/>
  <c r="C55" i="2"/>
  <c r="AK119" i="2"/>
  <c r="E56" i="2"/>
  <c r="E44" i="2"/>
  <c r="E45" i="2" s="1"/>
  <c r="T109" i="2"/>
  <c r="P109" i="2"/>
  <c r="D42" i="2"/>
  <c r="D55" i="2"/>
  <c r="AY44" i="2"/>
  <c r="AX119" i="2"/>
  <c r="BA44" i="2"/>
  <c r="BA45" i="2" s="1"/>
  <c r="BE42" i="2"/>
  <c r="BE44" i="2" s="1"/>
  <c r="BE45" i="2" s="1"/>
  <c r="BE55" i="2"/>
  <c r="BF42" i="2"/>
  <c r="BF44" i="2" s="1"/>
  <c r="BF45" i="2" s="1"/>
  <c r="BF55" i="2"/>
  <c r="T42" i="2"/>
  <c r="T56" i="2" s="1"/>
  <c r="T55" i="2"/>
  <c r="M42" i="2"/>
  <c r="M56" i="2" s="1"/>
  <c r="M55" i="2"/>
  <c r="V42" i="2"/>
  <c r="V56" i="2" s="1"/>
  <c r="V55" i="2"/>
  <c r="BD42" i="2"/>
  <c r="BD55" i="2"/>
  <c r="Q42" i="2"/>
  <c r="Q44" i="2" s="1"/>
  <c r="Q45" i="2" s="1"/>
  <c r="Q55" i="2"/>
  <c r="F42" i="2"/>
  <c r="F44" i="2" s="1"/>
  <c r="F45" i="2" s="1"/>
  <c r="F55" i="2"/>
  <c r="BB56" i="2"/>
  <c r="BB44" i="2"/>
  <c r="P42" i="2"/>
  <c r="P56" i="2" s="1"/>
  <c r="P55" i="2"/>
  <c r="AW44" i="2"/>
  <c r="AW56" i="2"/>
  <c r="U42" i="2"/>
  <c r="U56" i="2" s="1"/>
  <c r="U55" i="2"/>
  <c r="BC44" i="2"/>
  <c r="S42" i="2"/>
  <c r="S56" i="2" s="1"/>
  <c r="S55" i="2"/>
  <c r="AO119" i="2"/>
  <c r="R40" i="2"/>
  <c r="AL119" i="2"/>
  <c r="AM119" i="2"/>
  <c r="AQ45" i="2"/>
  <c r="AQ119" i="2"/>
  <c r="AN119" i="2"/>
  <c r="AR45" i="2"/>
  <c r="AR119" i="2"/>
  <c r="BE54" i="2"/>
  <c r="BG40" i="2"/>
  <c r="BI35" i="2"/>
  <c r="BI54" i="2" s="1"/>
  <c r="BL57" i="2"/>
  <c r="O40" i="2"/>
  <c r="BF54" i="2"/>
  <c r="BK39" i="2"/>
  <c r="BJ35" i="2"/>
  <c r="BJ40" i="2" s="1"/>
  <c r="BJ54" i="2"/>
  <c r="BH40" i="2"/>
  <c r="M54" i="2"/>
  <c r="F54" i="2"/>
  <c r="BE56" i="2"/>
  <c r="BK31" i="2"/>
  <c r="BL31" i="2"/>
  <c r="BI48" i="2"/>
  <c r="BJ48" i="2"/>
  <c r="N40" i="2"/>
  <c r="I40" i="2"/>
  <c r="G40" i="2"/>
  <c r="H40" i="2"/>
  <c r="H54" i="2"/>
  <c r="L40" i="2"/>
  <c r="K40" i="2"/>
  <c r="J40" i="2"/>
  <c r="AY45" i="2" l="1"/>
  <c r="AY119" i="2"/>
  <c r="W56" i="2"/>
  <c r="C44" i="2"/>
  <c r="C45" i="2" s="1"/>
  <c r="C56" i="2"/>
  <c r="BA119" i="2"/>
  <c r="T44" i="2"/>
  <c r="T45" i="2" s="1"/>
  <c r="BF56" i="2"/>
  <c r="AZ119" i="2"/>
  <c r="Q56" i="2"/>
  <c r="D44" i="2"/>
  <c r="D45" i="2" s="1"/>
  <c r="D56" i="2"/>
  <c r="BI40" i="2"/>
  <c r="BI55" i="2" s="1"/>
  <c r="F56" i="2"/>
  <c r="BG42" i="2"/>
  <c r="BG55" i="2"/>
  <c r="BJ42" i="2"/>
  <c r="BJ56" i="2" s="1"/>
  <c r="BJ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I42" i="2"/>
  <c r="BI56" i="2" s="1"/>
  <c r="K42" i="2"/>
  <c r="K44" i="2" s="1"/>
  <c r="K45" i="2" s="1"/>
  <c r="K55" i="2"/>
  <c r="BH42" i="2"/>
  <c r="BH44" i="2" s="1"/>
  <c r="BH45" i="2" s="1"/>
  <c r="BH55" i="2"/>
  <c r="H42" i="2"/>
  <c r="H56" i="2" s="1"/>
  <c r="H55" i="2"/>
  <c r="I42" i="2"/>
  <c r="I56" i="2" s="1"/>
  <c r="I55" i="2"/>
  <c r="BD45" i="2"/>
  <c r="AW45" i="2"/>
  <c r="AW119" i="2"/>
  <c r="BB45" i="2"/>
  <c r="BB119" i="2"/>
  <c r="G42" i="2"/>
  <c r="G44" i="2" s="1"/>
  <c r="G55" i="2"/>
  <c r="V44" i="2"/>
  <c r="O42" i="2"/>
  <c r="O56" i="2" s="1"/>
  <c r="O55" i="2"/>
  <c r="BC45" i="2"/>
  <c r="BC119" i="2"/>
  <c r="L42" i="2"/>
  <c r="L56" i="2" s="1"/>
  <c r="L55" i="2"/>
  <c r="S44" i="2"/>
  <c r="S45" i="2" s="1"/>
  <c r="U44" i="2"/>
  <c r="S83" i="2"/>
  <c r="BK48" i="2"/>
  <c r="BM57" i="2"/>
  <c r="BL58" i="2"/>
  <c r="Q83" i="2"/>
  <c r="T83" i="2" l="1"/>
  <c r="W83" i="2"/>
  <c r="W45" i="2"/>
  <c r="U45" i="2"/>
  <c r="U83" i="2"/>
  <c r="V45" i="2"/>
  <c r="V83" i="2"/>
  <c r="G45" i="2"/>
  <c r="G83" i="2"/>
  <c r="O44" i="2"/>
  <c r="O45" i="2" s="1"/>
  <c r="J44" i="2"/>
  <c r="J83" i="2" s="1"/>
  <c r="G56" i="2"/>
  <c r="I44" i="2"/>
  <c r="I45" i="2" s="1"/>
  <c r="BI44" i="2"/>
  <c r="BI45" i="2" s="1"/>
  <c r="K56" i="2"/>
  <c r="N56" i="2"/>
  <c r="BJ44" i="2"/>
  <c r="BJ45" i="2" s="1"/>
  <c r="H44" i="2"/>
  <c r="BD119" i="2"/>
  <c r="R56" i="2"/>
  <c r="R44" i="2"/>
  <c r="P83" i="2"/>
  <c r="L44" i="2"/>
  <c r="L45" i="2" s="1"/>
  <c r="M83" i="2"/>
  <c r="BH56" i="2"/>
  <c r="BG56" i="2"/>
  <c r="BG44" i="2"/>
  <c r="BG45" i="2" s="1"/>
  <c r="I83" i="2"/>
  <c r="BN57" i="2"/>
  <c r="BM58" i="2"/>
  <c r="K83" i="2"/>
  <c r="BL48" i="2"/>
  <c r="BK54" i="2"/>
  <c r="BK40" i="2"/>
  <c r="BM31" i="2"/>
  <c r="N45" i="2"/>
  <c r="O83" i="2" l="1"/>
  <c r="J45" i="2"/>
  <c r="H45" i="2"/>
  <c r="H83" i="2"/>
  <c r="BK42" i="2"/>
  <c r="BK43" i="2" s="1"/>
  <c r="BK56" i="2" s="1"/>
  <c r="BK55" i="2"/>
  <c r="R83" i="2"/>
  <c r="R45" i="2"/>
  <c r="L83" i="2"/>
  <c r="BO57" i="2"/>
  <c r="BN58" i="2"/>
  <c r="BM48" i="2"/>
  <c r="BN31" i="2"/>
  <c r="BN40" i="2" s="1"/>
  <c r="BP57" i="2" l="1"/>
  <c r="BO58" i="2"/>
  <c r="BK44" i="2"/>
  <c r="BN48" i="2"/>
  <c r="BO31" i="2"/>
  <c r="BO40" i="2" s="1"/>
  <c r="BM54" i="2"/>
  <c r="BM55" i="2"/>
  <c r="BQ57" i="2" l="1"/>
  <c r="BP58" i="2"/>
  <c r="BK61" i="2"/>
  <c r="BK45" i="2"/>
  <c r="BO48" i="2"/>
  <c r="BP31" i="2"/>
  <c r="BP40" i="2" s="1"/>
  <c r="BN54" i="2"/>
  <c r="BR57" i="2" l="1"/>
  <c r="BQ58" i="2"/>
  <c r="BP48" i="2"/>
  <c r="BO54" i="2"/>
  <c r="BQ31" i="2"/>
  <c r="BQ40" i="2" s="1"/>
  <c r="BR31" i="2" l="1"/>
  <c r="BR40" i="2" s="1"/>
  <c r="BR58" i="2"/>
  <c r="BQ48" i="2"/>
  <c r="BP54" i="2"/>
  <c r="BR48" i="2" l="1"/>
  <c r="BR54" i="2"/>
  <c r="BQ54" i="2"/>
  <c r="Z43" i="2" l="1"/>
  <c r="BL42" i="2"/>
  <c r="BL55" i="2"/>
  <c r="BL54" i="2"/>
  <c r="BM56" i="2" l="1"/>
  <c r="BM45" i="2"/>
  <c r="BL44" i="2"/>
  <c r="BL56" i="2"/>
  <c r="BL61" i="2" l="1"/>
  <c r="BM61" i="2" s="1"/>
  <c r="BL45" i="2"/>
  <c r="BN41" i="2" l="1"/>
  <c r="BN42" i="2" s="1"/>
  <c r="BN43" i="2" l="1"/>
  <c r="BN44" i="2" l="1"/>
  <c r="BN45" i="2"/>
  <c r="BN61" i="2"/>
  <c r="BO41" i="2" l="1"/>
  <c r="BO42" i="2" s="1"/>
  <c r="BO43" i="2" l="1"/>
  <c r="BO44" i="2" l="1"/>
  <c r="BO45" i="2" s="1"/>
  <c r="BO61" i="2" l="1"/>
  <c r="BP41" i="2" s="1"/>
  <c r="BP42" i="2" s="1"/>
  <c r="BP43" i="2" l="1"/>
  <c r="BP44" i="2" l="1"/>
  <c r="BP45" i="2" s="1"/>
  <c r="BP61" i="2" l="1"/>
  <c r="BQ41" i="2" s="1"/>
  <c r="BQ42" i="2" s="1"/>
  <c r="BQ43" i="2" l="1"/>
  <c r="BQ44" i="2" l="1"/>
  <c r="BQ45" i="2" l="1"/>
  <c r="BQ61" i="2"/>
  <c r="BR41" i="2" l="1"/>
  <c r="BR42" i="2" s="1"/>
  <c r="BR43" i="2" l="1"/>
  <c r="BR56" i="2" s="1"/>
  <c r="BR44" i="2" l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X44" i="2" s="1"/>
  <c r="BU54" i="2" s="1"/>
  <c r="BU56" i="2" s="1"/>
  <c r="BR61" i="2"/>
  <c r="BR4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tc={1194B53B-11DF-4936-8FD7-77F49319A1C9}</author>
    <author>tc={F728FAC2-51F0-4023-AB40-41F83CEF5C89}</author>
  </authors>
  <commentList>
    <comment ref="K26" authorId="0" shapeId="0" xr:uid="{1194B53B-11DF-4936-8FD7-77F49319A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16964 old</t>
      </text>
    </comment>
    <comment ref="K27" authorId="1" shapeId="0" xr:uid="{F728FAC2-51F0-4023-AB40-41F83CEF5C8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13314 prior</t>
      </text>
    </comment>
  </commentList>
</comments>
</file>

<file path=xl/sharedStrings.xml><?xml version="1.0" encoding="utf-8"?>
<sst xmlns="http://schemas.openxmlformats.org/spreadsheetml/2006/main" count="196" uniqueCount="177">
  <si>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</si>
  <si>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</si>
  <si>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</si>
  <si>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</si>
  <si>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</si>
  <si>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</si>
  <si>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</si>
  <si>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</si>
  <si>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</si>
  <si>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</si>
  <si>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</si>
  <si>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</si>
  <si>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</si>
  <si>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</si>
  <si>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</si>
  <si>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</si>
  <si>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</si>
  <si>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</si>
  <si>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</si>
  <si>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</si>
  <si>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</si>
  <si>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</si>
  <si>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</si>
  <si>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</si>
  <si>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</si>
  <si>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</si>
  <si>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</si>
  <si>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</si>
  <si>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</si>
  <si>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</si>
  <si>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</si>
  <si>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</si>
  <si>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</si>
  <si>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</si>
  <si>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</si>
  <si>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</si>
  <si>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</si>
  <si>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</si>
  <si>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</si>
  <si>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</si>
  <si>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</si>
  <si>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</si>
  <si>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</si>
  <si>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</si>
  <si>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</si>
  <si>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</si>
  <si>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</si>
  <si>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</si>
  <si>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</si>
  <si>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</si>
  <si>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</si>
  <si>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</si>
  <si>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</si>
  <si>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</si>
  <si>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</si>
  <si>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</si>
  <si>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</si>
  <si>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</si>
  <si>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</si>
  <si>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</si>
  <si>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</si>
  <si>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</si>
  <si>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</si>
  <si>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</si>
  <si>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</si>
  <si>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</si>
  <si>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</si>
  <si>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</si>
  <si>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</si>
  <si>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</si>
  <si>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</si>
  <si>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</si>
  <si>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</si>
  <si>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</si>
  <si>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</si>
  <si>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</si>
  <si>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</si>
  <si>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</si>
  <si>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</si>
  <si>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</si>
  <si>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</si>
  <si>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</si>
  <si>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</si>
  <si>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</si>
  <si>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</si>
  <si>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</si>
  <si>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</si>
  <si>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</si>
  <si>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</si>
  <si>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</si>
  <si>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</si>
  <si>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</si>
  <si>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</si>
  <si>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</si>
  <si>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</si>
  <si>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</si>
  <si>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</si>
  <si>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</si>
  <si>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</si>
  <si>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</si>
  <si>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</si>
  <si>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</si>
  <si>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</si>
  <si>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</si>
  <si>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</si>
  <si>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Windows</t>
  </si>
  <si>
    <t>Dynamics</t>
  </si>
  <si>
    <t>CEO</t>
  </si>
  <si>
    <t>CFO</t>
  </si>
  <si>
    <t>Amy Hood</t>
  </si>
  <si>
    <t>Satya Nadella</t>
  </si>
  <si>
    <t>CAO</t>
  </si>
  <si>
    <t>Alice Jolla</t>
  </si>
  <si>
    <t>Deputy GC</t>
  </si>
  <si>
    <t>Keith Dolliver</t>
  </si>
  <si>
    <t>VP IR</t>
  </si>
  <si>
    <t>Brett Iversen</t>
  </si>
  <si>
    <t>FQ124</t>
  </si>
  <si>
    <t>FQ224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</si>
  <si>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</si>
  <si>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</si>
  <si>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</si>
  <si>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</si>
  <si>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</si>
  <si>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</si>
  <si>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</si>
  <si>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</si>
  <si>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</si>
  <si>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</si>
  <si>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</si>
  <si>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</si>
  <si>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</si>
  <si>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</si>
  <si>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</si>
  <si>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</si>
  <si>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</si>
  <si>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</si>
  <si>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</si>
  <si>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</si>
  <si>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</si>
  <si>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</si>
  <si>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</si>
  <si>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</si>
  <si>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</si>
  <si>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</si>
  <si>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</si>
  <si>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</si>
  <si>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</si>
  <si>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</si>
  <si>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</si>
  <si>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</si>
  <si>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Employees</t>
  </si>
  <si>
    <t>F1990</t>
  </si>
  <si>
    <t>F1991</t>
  </si>
  <si>
    <t>F1992</t>
  </si>
  <si>
    <t>F1993</t>
  </si>
  <si>
    <t>EV/NI</t>
  </si>
  <si>
    <t xml:space="preserve"> </t>
  </si>
  <si>
    <t>Commercial bookings CC</t>
  </si>
  <si>
    <t>Gaming</t>
  </si>
  <si>
    <t>Cloud y/y</t>
  </si>
  <si>
    <t>Personal y/y</t>
  </si>
  <si>
    <t>Productivity y/y</t>
  </si>
  <si>
    <t>Operating Margin</t>
  </si>
  <si>
    <t>Search/News Ads</t>
  </si>
  <si>
    <t>Enterprise Services</t>
  </si>
  <si>
    <t>Devices</t>
  </si>
  <si>
    <t>Server Products &amp; Cloud</t>
  </si>
  <si>
    <t>Office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</si>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</sst>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9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20128</xdr:colOff>
      <xdr:row>3</xdr:row>
      <xdr:rowOff>123825</xdr:rowOff>
    </xdr:from>
    <xdr:to>
      <xdr:col>23</xdr:col>
      <xdr:colOff>20128</xdr:colOff>
      <xdr:row>122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5507778" y="609600"/>
          <a:ext cx="0" cy="1929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6213</xdr:colOff>
      <xdr:row>0</xdr:row>
      <xdr:rowOff>11907</xdr:rowOff>
    </xdr:from>
    <xdr:to>
      <xdr:col>64</xdr:col>
      <xdr:colOff>6213</xdr:colOff>
      <xdr:row>119</xdr:row>
      <xdr:rowOff>40482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24092557" y="11907"/>
          <a:ext cx="0" cy="19864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6" dT="2023-01-12T14:11:54.08" personId="{2ADAC7E3-86EF-4E60-96A3-ED0BEE011F1E}" id="{1194B53B-11DF-4936-8FD7-77F49319A1C9}">
    <text>16964 old</text>
  </threadedComment>
  <threadedComment ref="K27" dT="2023-01-12T14:11:37.67" personId="{2ADAC7E3-86EF-4E60-96A3-ED0BEE011F1E}" id="{F728FAC2-51F0-4023-AB40-41F83CEF5C89}">
    <text>13314 prior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C1:E15"/>
  <sheetViews>
    <sheetView zoomScaleNormal="100" workbookViewId="0">
      <selection activeCell="D7" sqref="D7"/>
    </sheetView>
  </sheetViews>
  <sheetFormatPr defaultRowHeight="13.2" x14ac:dyDescent="0.25"/>
  <cols>
    <col min="3" max="3" width="11.5546875" customWidth="1"/>
    <col min="4" max="4" width="13.5546875" customWidth="1"/>
  </cols>
  <sheetData>
    <row r="1" spans="3:5" x14ac:dyDescent="0.25">
      <c r="E1" s="2"/>
    </row>
    <row r="2" spans="3:5" x14ac:dyDescent="0.25">
      <c r="C2" t="s">
        <v>0</v>
      </c>
      <c r="D2" s="1">
        <v>410.37</v>
      </c>
      <c r="E2" s="2" t="s">
        <v>176</v>
      </c>
    </row>
    <row r="3" spans="3:5" x14ac:dyDescent="0.25">
      <c r="C3" t="s">
        <v>1</v>
      </c>
      <c r="D3" s="4">
        <v>7470</v>
      </c>
      <c r="E3" s="2" t="s">
        <v>176</v>
      </c>
    </row>
    <row r="4" spans="3:5" x14ac:dyDescent="0.25">
      <c r="C4" t="s">
        <v>2</v>
      </c>
      <c r="D4" s="4">
        <f>D3*D2</f>
        <v>3065463.9</v>
      </c>
      <c r="E4" s="2" t="s">
        <v>176</v>
      </c>
    </row>
    <row r="5" spans="3:5" x14ac:dyDescent="0.25">
      <c r="C5" t="s">
        <v>3</v>
      </c>
      <c r="D5" s="4">
        <v>94206</v>
      </c>
      <c r="E5" s="2" t="s">
        <v>176</v>
      </c>
    </row>
    <row r="6" spans="3:5" x14ac:dyDescent="0.25">
      <c r="C6" t="s">
        <v>4</v>
      </c>
      <c r="D6" s="4">
        <v>45117</v>
      </c>
      <c r="E6" s="2" t="s">
        <v>176</v>
      </c>
    </row>
    <row r="7" spans="3:5" x14ac:dyDescent="0.25">
      <c r="C7" t="s">
        <v>5</v>
      </c>
      <c r="D7" s="4">
        <f>D6+D4-D5</f>
        <v>3016374.9</v>
      </c>
      <c r="E7" s="2" t="s">
        <v>176</v>
      </c>
    </row>
    <row r="8" spans="3:5" x14ac:dyDescent="0.25">
      <c r="D8" s="4"/>
    </row>
    <row r="9" spans="3:5" x14ac:dyDescent="0.25">
      <c r="C9" t="s">
        <v>72</v>
      </c>
      <c r="D9">
        <v>1975</v>
      </c>
    </row>
    <row r="11" spans="3:5" x14ac:dyDescent="0.25">
      <c r="C11" t="s">
        <v>107</v>
      </c>
      <c r="D11" t="s">
        <v>110</v>
      </c>
    </row>
    <row r="12" spans="3:5" x14ac:dyDescent="0.25">
      <c r="C12" t="s">
        <v>108</v>
      </c>
      <c r="D12" t="s">
        <v>109</v>
      </c>
    </row>
    <row r="13" spans="3:5" x14ac:dyDescent="0.25">
      <c r="C13" t="s">
        <v>111</v>
      </c>
      <c r="D13" t="s">
        <v>112</v>
      </c>
    </row>
    <row r="14" spans="3:5" x14ac:dyDescent="0.25">
      <c r="C14" t="s">
        <v>113</v>
      </c>
      <c r="D14" t="s">
        <v>114</v>
      </c>
    </row>
    <row r="15" spans="3:5" x14ac:dyDescent="0.25">
      <c r="C15" t="s">
        <v>115</v>
      </c>
      <c r="D15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X124"/>
  <sheetViews>
    <sheetView tabSelected="1" zoomScale="80" zoomScaleNormal="80" workbookViewId="0">
      <pane xSplit="2" ySplit="3" topLeftCell="C91" activePane="bottomRight" state="frozen"/>
      <selection pane="topRight" activeCell="C1" sqref="C1"/>
      <selection pane="bottomLeft" activeCell="A4" sqref="A4"/>
      <selection pane="bottomRight" activeCell="I111" sqref="I111"/>
    </sheetView>
  </sheetViews>
  <sheetFormatPr defaultRowHeight="13.2" x14ac:dyDescent="0.25"/>
  <cols>
    <col min="1" max="1" width="5" bestFit="1" customWidth="1"/>
    <col min="2" max="2" width="19.6640625" customWidth="1"/>
    <col min="3" max="6" width="10" style="2" customWidth="1"/>
    <col min="7" max="14" width="9.88671875" style="2" customWidth="1"/>
    <col min="15" max="27" width="9.88671875" customWidth="1"/>
    <col min="30" max="33" width="0" hidden="1" customWidth="1"/>
    <col min="34" max="34" width="9.5546875" hidden="1" customWidth="1"/>
    <col min="35" max="55" width="0" hidden="1" customWidth="1"/>
    <col min="60" max="63" width="9.109375" style="2"/>
    <col min="73" max="73" width="10.6640625" customWidth="1"/>
  </cols>
  <sheetData>
    <row r="1" spans="1:70" x14ac:dyDescent="0.25">
      <c r="A1" s="14" t="s">
        <v>6</v>
      </c>
    </row>
    <row r="2" spans="1:70" s="15" customFormat="1" x14ac:dyDescent="0.25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D2" s="15">
        <v>33054</v>
      </c>
      <c r="AE2" s="15">
        <v>33419</v>
      </c>
      <c r="AF2" s="15">
        <v>33785</v>
      </c>
      <c r="AG2" s="15">
        <v>34150</v>
      </c>
      <c r="AH2" s="15">
        <v>34515</v>
      </c>
      <c r="AI2" s="15">
        <v>34880</v>
      </c>
      <c r="AJ2" s="15">
        <v>35246</v>
      </c>
      <c r="AK2" s="15">
        <v>35611</v>
      </c>
      <c r="AL2" s="15">
        <v>35976</v>
      </c>
      <c r="AM2" s="15">
        <v>36341</v>
      </c>
      <c r="AN2" s="15">
        <v>36707</v>
      </c>
      <c r="AO2" s="15">
        <v>37072</v>
      </c>
      <c r="AP2" s="15">
        <v>37437</v>
      </c>
      <c r="AQ2" s="15">
        <v>37802</v>
      </c>
      <c r="AR2" s="15">
        <v>38168</v>
      </c>
      <c r="AS2" s="15">
        <v>38533</v>
      </c>
      <c r="AT2" s="15">
        <v>38898</v>
      </c>
      <c r="AU2" s="15">
        <v>39263</v>
      </c>
      <c r="AV2" s="15">
        <v>39629</v>
      </c>
      <c r="AW2" s="15">
        <v>39994</v>
      </c>
      <c r="AX2" s="15">
        <v>40359</v>
      </c>
      <c r="AY2" s="15">
        <v>40724</v>
      </c>
      <c r="AZ2" s="15">
        <v>41090</v>
      </c>
      <c r="BA2" s="15">
        <v>41455</v>
      </c>
      <c r="BB2" s="15">
        <v>41820</v>
      </c>
      <c r="BC2" s="15">
        <v>42185</v>
      </c>
      <c r="BD2" s="15">
        <v>42551</v>
      </c>
      <c r="BE2" s="15">
        <v>42916</v>
      </c>
      <c r="BF2" s="15">
        <v>43281</v>
      </c>
      <c r="BG2" s="15">
        <v>43646</v>
      </c>
      <c r="BH2" s="16">
        <v>44012</v>
      </c>
      <c r="BI2" s="16">
        <f>+J2</f>
        <v>44377</v>
      </c>
      <c r="BJ2" s="16">
        <f>+N2</f>
        <v>44742</v>
      </c>
      <c r="BK2" s="16">
        <v>45107</v>
      </c>
      <c r="BL2" s="15">
        <f>+BK2+366</f>
        <v>45473</v>
      </c>
      <c r="BM2" s="15">
        <f>+BL2+365</f>
        <v>45838</v>
      </c>
      <c r="BN2" s="15">
        <f>+BM2+365</f>
        <v>46203</v>
      </c>
      <c r="BO2" s="15">
        <f>+BN2+365</f>
        <v>46568</v>
      </c>
      <c r="BP2" s="15">
        <f>+BO2+366</f>
        <v>46934</v>
      </c>
      <c r="BQ2" s="15">
        <f>+BP2+365</f>
        <v>47299</v>
      </c>
      <c r="BR2" s="15">
        <f>+BQ2+365</f>
        <v>47664</v>
      </c>
    </row>
    <row r="3" spans="1:70" x14ac:dyDescent="0.25">
      <c r="C3" s="2" t="s">
        <v>80</v>
      </c>
      <c r="D3" s="2" t="s">
        <v>79</v>
      </c>
      <c r="E3" s="2" t="s">
        <v>78</v>
      </c>
      <c r="F3" s="2" t="s">
        <v>77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82</v>
      </c>
      <c r="P3" s="2" t="s">
        <v>83</v>
      </c>
      <c r="Q3" s="2" t="s">
        <v>84</v>
      </c>
      <c r="R3" s="2" t="s">
        <v>85</v>
      </c>
      <c r="S3" s="2" t="s">
        <v>117</v>
      </c>
      <c r="T3" s="2" t="s">
        <v>118</v>
      </c>
      <c r="U3" s="2" t="s">
        <v>123</v>
      </c>
      <c r="V3" s="2" t="s">
        <v>124</v>
      </c>
      <c r="W3" s="2" t="s">
        <v>171</v>
      </c>
      <c r="X3" s="2" t="s">
        <v>172</v>
      </c>
      <c r="Y3" s="2" t="s">
        <v>173</v>
      </c>
      <c r="Z3" s="2" t="s">
        <v>174</v>
      </c>
      <c r="AA3" s="2"/>
      <c r="AC3" s="2"/>
      <c r="AD3" s="2" t="s">
        <v>152</v>
      </c>
      <c r="AE3" s="2" t="s">
        <v>153</v>
      </c>
      <c r="AF3" s="2" t="s">
        <v>154</v>
      </c>
      <c r="AG3" s="2" t="s">
        <v>155</v>
      </c>
      <c r="AH3" s="2" t="s">
        <v>149</v>
      </c>
      <c r="AI3" s="2" t="s">
        <v>150</v>
      </c>
      <c r="AJ3" s="2" t="s">
        <v>146</v>
      </c>
      <c r="AK3" s="2" t="s">
        <v>147</v>
      </c>
      <c r="AL3" s="2" t="s">
        <v>148</v>
      </c>
      <c r="AM3" s="2" t="s">
        <v>139</v>
      </c>
      <c r="AN3" s="2" t="s">
        <v>140</v>
      </c>
      <c r="AO3" s="2" t="s">
        <v>141</v>
      </c>
      <c r="AP3" s="2" t="s">
        <v>142</v>
      </c>
      <c r="AQ3" s="2" t="s">
        <v>143</v>
      </c>
      <c r="AR3" s="2" t="s">
        <v>144</v>
      </c>
      <c r="AS3" s="2" t="s">
        <v>145</v>
      </c>
      <c r="AT3" s="2" t="s">
        <v>135</v>
      </c>
      <c r="AU3" s="2" t="s">
        <v>136</v>
      </c>
      <c r="AV3" s="2" t="s">
        <v>137</v>
      </c>
      <c r="AW3" s="2" t="s">
        <v>138</v>
      </c>
      <c r="AX3" s="2" t="s">
        <v>129</v>
      </c>
      <c r="AY3" s="2" t="s">
        <v>130</v>
      </c>
      <c r="AZ3" s="2" t="s">
        <v>131</v>
      </c>
      <c r="BA3" s="2" t="s">
        <v>132</v>
      </c>
      <c r="BB3" s="2" t="s">
        <v>133</v>
      </c>
      <c r="BC3" s="2" t="s">
        <v>134</v>
      </c>
      <c r="BD3" s="2" t="s">
        <v>128</v>
      </c>
      <c r="BE3" s="2" t="s">
        <v>101</v>
      </c>
      <c r="BF3" s="2" t="s">
        <v>100</v>
      </c>
      <c r="BG3" s="2" t="s">
        <v>87</v>
      </c>
      <c r="BH3" s="2" t="s">
        <v>76</v>
      </c>
      <c r="BI3" s="2" t="s">
        <v>73</v>
      </c>
      <c r="BJ3" s="2" t="s">
        <v>74</v>
      </c>
      <c r="BK3" s="2" t="s">
        <v>75</v>
      </c>
      <c r="BL3" s="2" t="s">
        <v>89</v>
      </c>
      <c r="BM3" s="2" t="s">
        <v>90</v>
      </c>
      <c r="BN3" s="2" t="s">
        <v>91</v>
      </c>
      <c r="BO3" s="2" t="s">
        <v>92</v>
      </c>
      <c r="BP3" s="2" t="s">
        <v>93</v>
      </c>
      <c r="BQ3" s="2" t="s">
        <v>94</v>
      </c>
      <c r="BR3" s="2" t="s">
        <v>95</v>
      </c>
    </row>
    <row r="4" spans="1:70" x14ac:dyDescent="0.25">
      <c r="B4" t="s">
        <v>119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/>
      <c r="X4" s="2"/>
      <c r="Y4" s="2"/>
      <c r="Z4" s="2"/>
      <c r="AA4" s="2"/>
      <c r="AX4" s="2"/>
      <c r="AY4" s="2"/>
      <c r="AZ4" s="2"/>
      <c r="BA4" s="2"/>
      <c r="BB4" s="2"/>
      <c r="BC4" s="2"/>
      <c r="BD4" s="2"/>
      <c r="BE4" s="2"/>
      <c r="BF4" s="2"/>
      <c r="BG4" s="2"/>
      <c r="BL4" s="2"/>
      <c r="BM4" s="2"/>
      <c r="BN4" s="2"/>
      <c r="BO4" s="2"/>
      <c r="BP4" s="2"/>
      <c r="BQ4" s="2"/>
      <c r="BR4" s="2"/>
    </row>
    <row r="5" spans="1:70" s="18" customFormat="1" x14ac:dyDescent="0.25">
      <c r="B5" s="18" t="s">
        <v>120</v>
      </c>
      <c r="C5" s="19"/>
      <c r="D5" s="19"/>
      <c r="E5" s="19"/>
      <c r="F5" s="19"/>
      <c r="G5" s="19"/>
      <c r="H5" s="19"/>
      <c r="I5" s="19"/>
      <c r="J5" s="19"/>
      <c r="K5" s="19"/>
      <c r="L5" s="20">
        <v>0.37</v>
      </c>
      <c r="M5" s="20">
        <v>0.35</v>
      </c>
      <c r="N5" s="20">
        <v>0.35</v>
      </c>
      <c r="O5" s="20">
        <v>0.16</v>
      </c>
      <c r="P5" s="20">
        <f t="shared" ref="P5:V5" si="1">+P4/L4-1</f>
        <v>0.28571428571428581</v>
      </c>
      <c r="Q5" s="20">
        <f t="shared" si="1"/>
        <v>0.26451612903225796</v>
      </c>
      <c r="R5" s="20">
        <f t="shared" si="1"/>
        <v>0.18518518518518512</v>
      </c>
      <c r="S5" s="20">
        <f t="shared" si="1"/>
        <v>0.17777777777777781</v>
      </c>
      <c r="T5" s="20">
        <f t="shared" si="1"/>
        <v>0.17460317460317465</v>
      </c>
      <c r="U5" s="20">
        <f t="shared" si="1"/>
        <v>0.19897959183673475</v>
      </c>
      <c r="V5" s="20">
        <f t="shared" si="1"/>
        <v>0.20089285714285721</v>
      </c>
      <c r="W5" s="19"/>
      <c r="X5" s="19"/>
      <c r="Y5" s="19"/>
      <c r="Z5" s="19"/>
      <c r="AA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</row>
    <row r="6" spans="1:70" s="18" customFormat="1" x14ac:dyDescent="0.25"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0"/>
      <c r="O6" s="20"/>
      <c r="P6" s="20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</row>
    <row r="7" spans="1:70" s="18" customFormat="1" x14ac:dyDescent="0.25">
      <c r="B7" t="s">
        <v>121</v>
      </c>
      <c r="C7" s="7">
        <v>11600</v>
      </c>
      <c r="D7" s="19"/>
      <c r="E7" s="19"/>
      <c r="F7" s="19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25">
        <v>38900</v>
      </c>
      <c r="X7" s="24"/>
      <c r="Y7" s="24"/>
      <c r="Z7" s="24"/>
      <c r="AA7" s="24"/>
      <c r="AX7" s="19"/>
      <c r="AY7" s="19"/>
      <c r="AZ7" s="19"/>
      <c r="BA7" s="24"/>
      <c r="BB7" s="24"/>
      <c r="BC7" s="24"/>
      <c r="BD7" s="5">
        <v>9500</v>
      </c>
      <c r="BE7" s="5">
        <v>16200</v>
      </c>
      <c r="BF7" s="5">
        <v>26600</v>
      </c>
      <c r="BG7" s="5">
        <v>38100</v>
      </c>
      <c r="BH7" s="5">
        <v>51700</v>
      </c>
      <c r="BI7" s="5">
        <v>69100</v>
      </c>
      <c r="BJ7" s="5">
        <f>SUM(K7:N7)</f>
        <v>91300</v>
      </c>
      <c r="BK7" s="5">
        <f>SUM(O7:R7)</f>
        <v>111600</v>
      </c>
      <c r="BL7" s="19"/>
      <c r="BM7" s="19"/>
      <c r="BN7" s="19"/>
      <c r="BO7" s="19"/>
      <c r="BP7" s="19"/>
      <c r="BQ7" s="19"/>
      <c r="BR7" s="19"/>
    </row>
    <row r="8" spans="1:70" s="18" customFormat="1" x14ac:dyDescent="0.25">
      <c r="B8" t="s">
        <v>167</v>
      </c>
      <c r="C8" s="5">
        <v>9192</v>
      </c>
      <c r="D8" s="5">
        <v>10119</v>
      </c>
      <c r="E8" s="5">
        <v>10490</v>
      </c>
      <c r="F8" s="5">
        <f>+BH8-E8-D8-C8</f>
        <v>11578</v>
      </c>
      <c r="G8" s="5">
        <v>11195</v>
      </c>
      <c r="H8" s="5">
        <v>12729</v>
      </c>
      <c r="I8" s="5">
        <v>13204</v>
      </c>
      <c r="J8" s="5">
        <f>+BI8-I8-H8-G8</f>
        <v>15461</v>
      </c>
      <c r="K8" s="5">
        <v>15070</v>
      </c>
      <c r="L8" s="5">
        <v>16375</v>
      </c>
      <c r="M8" s="5">
        <v>17046</v>
      </c>
      <c r="N8" s="5">
        <f>+BJ8-M8-L8-K8</f>
        <v>18859</v>
      </c>
      <c r="O8" s="5">
        <v>18388</v>
      </c>
      <c r="P8" s="5">
        <v>19594</v>
      </c>
      <c r="Q8" s="5">
        <v>20025</v>
      </c>
      <c r="R8" s="5">
        <f>+BK8-Q8-P8-O8</f>
        <v>21963</v>
      </c>
      <c r="S8" s="5">
        <v>22308</v>
      </c>
      <c r="T8" s="5">
        <v>23953</v>
      </c>
      <c r="U8" s="19"/>
      <c r="V8" s="19"/>
      <c r="W8" s="24">
        <v>22155</v>
      </c>
      <c r="X8" s="24"/>
      <c r="Y8" s="24"/>
      <c r="Z8" s="24"/>
      <c r="AA8" s="24"/>
      <c r="AX8" s="19"/>
      <c r="AY8" s="19"/>
      <c r="AZ8" s="19"/>
      <c r="BA8" s="5">
        <v>15408</v>
      </c>
      <c r="BB8" s="5">
        <v>17055</v>
      </c>
      <c r="BC8" s="5">
        <v>18612</v>
      </c>
      <c r="BD8" s="5">
        <v>19062</v>
      </c>
      <c r="BE8" s="5">
        <v>21649</v>
      </c>
      <c r="BF8" s="5">
        <v>26129</v>
      </c>
      <c r="BG8" s="5">
        <v>32622</v>
      </c>
      <c r="BH8" s="5">
        <v>41379</v>
      </c>
      <c r="BI8" s="5">
        <v>52589</v>
      </c>
      <c r="BJ8" s="5">
        <v>67350</v>
      </c>
      <c r="BK8" s="5">
        <v>79970</v>
      </c>
      <c r="BL8" s="19"/>
      <c r="BM8" s="19"/>
      <c r="BN8" s="19"/>
      <c r="BO8" s="19"/>
      <c r="BP8" s="19"/>
      <c r="BQ8" s="19"/>
      <c r="BR8" s="19"/>
    </row>
    <row r="9" spans="1:70" s="18" customFormat="1" x14ac:dyDescent="0.25">
      <c r="B9" t="s">
        <v>168</v>
      </c>
      <c r="C9" s="5">
        <v>8466</v>
      </c>
      <c r="D9" s="5">
        <v>8983</v>
      </c>
      <c r="E9" s="5">
        <v>8920</v>
      </c>
      <c r="F9" s="5">
        <f t="shared" ref="F9:F17" si="2">+BH9-E9-D9-C9</f>
        <v>8947</v>
      </c>
      <c r="G9" s="5">
        <v>9278</v>
      </c>
      <c r="H9" s="5">
        <v>9881</v>
      </c>
      <c r="I9" s="5">
        <v>10016</v>
      </c>
      <c r="J9" s="5">
        <f t="shared" ref="J9:J17" si="3">+BI9-I9-H9-G9</f>
        <v>10697</v>
      </c>
      <c r="K9" s="5">
        <v>10808</v>
      </c>
      <c r="L9" s="5">
        <v>11251</v>
      </c>
      <c r="M9" s="5">
        <v>11164</v>
      </c>
      <c r="N9" s="5">
        <f t="shared" ref="N9:N17" si="4">+BJ9-M9-L9-K9</f>
        <v>11639</v>
      </c>
      <c r="O9" s="5">
        <v>11577</v>
      </c>
      <c r="P9" s="5">
        <v>11867</v>
      </c>
      <c r="Q9" s="5">
        <v>12438</v>
      </c>
      <c r="R9" s="5">
        <f t="shared" ref="R9:R17" si="5">+BK9-Q9-P9-O9</f>
        <v>12846</v>
      </c>
      <c r="S9" s="5">
        <v>13140</v>
      </c>
      <c r="T9" s="5">
        <v>13477</v>
      </c>
      <c r="U9" s="19"/>
      <c r="V9" s="19"/>
      <c r="W9" s="24">
        <v>20449</v>
      </c>
      <c r="X9" s="24"/>
      <c r="Y9" s="24"/>
      <c r="Z9" s="24"/>
      <c r="AA9" s="24"/>
      <c r="AX9" s="19"/>
      <c r="AY9" s="19"/>
      <c r="AZ9" s="19"/>
      <c r="BA9" s="5">
        <v>22995</v>
      </c>
      <c r="BB9" s="5">
        <v>24323</v>
      </c>
      <c r="BC9" s="5">
        <v>23538</v>
      </c>
      <c r="BD9" s="5">
        <v>23868</v>
      </c>
      <c r="BE9" s="5">
        <v>25573</v>
      </c>
      <c r="BF9" s="5">
        <v>28316</v>
      </c>
      <c r="BG9" s="5">
        <v>31769</v>
      </c>
      <c r="BH9" s="5">
        <v>35316</v>
      </c>
      <c r="BI9" s="5">
        <v>39872</v>
      </c>
      <c r="BJ9" s="5">
        <v>44862</v>
      </c>
      <c r="BK9" s="5">
        <v>48728</v>
      </c>
      <c r="BL9" s="19"/>
      <c r="BM9" s="19"/>
      <c r="BN9" s="19"/>
      <c r="BO9" s="19"/>
      <c r="BP9" s="19"/>
      <c r="BQ9" s="19"/>
      <c r="BR9" s="19"/>
    </row>
    <row r="10" spans="1:70" s="18" customFormat="1" x14ac:dyDescent="0.25">
      <c r="B10" t="s">
        <v>105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5567</v>
      </c>
      <c r="T10" s="5">
        <v>5262</v>
      </c>
      <c r="U10" s="19"/>
      <c r="V10" s="19"/>
      <c r="W10" s="24">
        <v>4329</v>
      </c>
      <c r="X10" s="24"/>
      <c r="Y10" s="24"/>
      <c r="Z10" s="24"/>
      <c r="AA10" s="24"/>
      <c r="AX10" s="19"/>
      <c r="AY10" s="19"/>
      <c r="AZ10" s="19"/>
      <c r="BA10" s="5">
        <v>17259</v>
      </c>
      <c r="BB10" s="5">
        <v>16856</v>
      </c>
      <c r="BC10" s="5">
        <v>14826</v>
      </c>
      <c r="BD10" s="5">
        <v>17548</v>
      </c>
      <c r="BE10" s="5">
        <v>18593</v>
      </c>
      <c r="BF10" s="5">
        <v>19518</v>
      </c>
      <c r="BG10" s="5">
        <v>20395</v>
      </c>
      <c r="BH10" s="5">
        <v>22294</v>
      </c>
      <c r="BI10" s="5">
        <v>22488</v>
      </c>
      <c r="BJ10" s="5">
        <v>24732</v>
      </c>
      <c r="BK10" s="5">
        <v>21507</v>
      </c>
      <c r="BL10" s="19"/>
      <c r="BM10" s="19"/>
      <c r="BN10" s="19"/>
      <c r="BO10" s="19"/>
      <c r="BP10" s="19"/>
      <c r="BQ10" s="19"/>
      <c r="BR10" s="19"/>
    </row>
    <row r="11" spans="1:70" s="18" customFormat="1" x14ac:dyDescent="0.25">
      <c r="B11" t="s">
        <v>159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19"/>
      <c r="V11" s="19"/>
      <c r="W11" s="24">
        <v>5621</v>
      </c>
      <c r="X11" s="24"/>
      <c r="Y11" s="24"/>
      <c r="Z11" s="24"/>
      <c r="AA11" s="24"/>
      <c r="AX11" s="19"/>
      <c r="AY11" s="19"/>
      <c r="AZ11" s="19"/>
      <c r="BA11" s="5">
        <v>6149</v>
      </c>
      <c r="BB11" s="5">
        <v>9093</v>
      </c>
      <c r="BC11" s="5">
        <v>10183</v>
      </c>
      <c r="BD11" s="5">
        <v>9202</v>
      </c>
      <c r="BE11" s="5">
        <v>9051</v>
      </c>
      <c r="BF11" s="5">
        <v>10353</v>
      </c>
      <c r="BG11" s="5">
        <v>11386</v>
      </c>
      <c r="BH11" s="5">
        <v>11575</v>
      </c>
      <c r="BI11" s="5">
        <v>15370</v>
      </c>
      <c r="BJ11" s="5">
        <v>16230</v>
      </c>
      <c r="BK11" s="5">
        <v>15466</v>
      </c>
      <c r="BL11" s="19"/>
      <c r="BM11" s="19"/>
      <c r="BN11" s="19"/>
      <c r="BO11" s="19"/>
      <c r="BP11" s="19"/>
      <c r="BQ11" s="19"/>
      <c r="BR11" s="19"/>
    </row>
    <row r="12" spans="1:70" s="18" customFormat="1" x14ac:dyDescent="0.25">
      <c r="B12" t="s">
        <v>86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3697</v>
      </c>
      <c r="R12" s="5">
        <f t="shared" si="5"/>
        <v>3987</v>
      </c>
      <c r="S12" s="5">
        <v>3913</v>
      </c>
      <c r="T12" s="5">
        <v>4195</v>
      </c>
      <c r="U12" s="19"/>
      <c r="V12" s="19"/>
      <c r="W12" s="24">
        <v>4292</v>
      </c>
      <c r="X12" s="24"/>
      <c r="Y12" s="24"/>
      <c r="Z12" s="24"/>
      <c r="AA12" s="24"/>
      <c r="AX12" s="19"/>
      <c r="AY12" s="19"/>
      <c r="AZ12" s="19"/>
      <c r="BA12" s="5">
        <v>0</v>
      </c>
      <c r="BB12" s="5">
        <v>0</v>
      </c>
      <c r="BC12" s="5">
        <v>0</v>
      </c>
      <c r="BD12" s="5">
        <v>0</v>
      </c>
      <c r="BE12" s="5">
        <v>2271</v>
      </c>
      <c r="BF12" s="5">
        <v>5259</v>
      </c>
      <c r="BG12" s="5">
        <v>6754</v>
      </c>
      <c r="BH12" s="5">
        <v>8077</v>
      </c>
      <c r="BI12" s="5">
        <v>10289</v>
      </c>
      <c r="BJ12" s="5">
        <v>13816</v>
      </c>
      <c r="BK12" s="5">
        <v>15145</v>
      </c>
      <c r="BL12" s="19"/>
      <c r="BM12" s="19"/>
      <c r="BN12" s="19"/>
      <c r="BO12" s="19"/>
      <c r="BP12" s="19"/>
      <c r="BQ12" s="19"/>
      <c r="BR12" s="19"/>
    </row>
    <row r="13" spans="1:70" s="18" customFormat="1" x14ac:dyDescent="0.25">
      <c r="B13" t="s">
        <v>164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3045</v>
      </c>
      <c r="R13" s="5">
        <f t="shared" si="5"/>
        <v>3041</v>
      </c>
      <c r="S13" s="5">
        <v>3053</v>
      </c>
      <c r="T13" s="5">
        <v>3220</v>
      </c>
      <c r="U13" s="19"/>
      <c r="V13" s="19"/>
      <c r="W13" s="24">
        <v>3225</v>
      </c>
      <c r="X13" s="24"/>
      <c r="Y13" s="24"/>
      <c r="Z13" s="24"/>
      <c r="AA13" s="24"/>
      <c r="AX13" s="19"/>
      <c r="AY13" s="19"/>
      <c r="AZ13" s="19"/>
      <c r="BA13" s="5">
        <v>3387</v>
      </c>
      <c r="BB13" s="24"/>
      <c r="BC13" s="24"/>
      <c r="BD13" s="5">
        <v>5428</v>
      </c>
      <c r="BE13" s="5">
        <v>6219</v>
      </c>
      <c r="BF13" s="5">
        <v>7012</v>
      </c>
      <c r="BG13" s="5">
        <v>7628</v>
      </c>
      <c r="BH13" s="5">
        <v>7740</v>
      </c>
      <c r="BI13" s="5">
        <v>9267</v>
      </c>
      <c r="BJ13" s="5">
        <v>11591</v>
      </c>
      <c r="BK13" s="5">
        <v>12208</v>
      </c>
      <c r="BL13" s="19"/>
      <c r="BM13" s="19"/>
      <c r="BN13" s="19"/>
      <c r="BO13" s="19"/>
      <c r="BP13" s="19"/>
      <c r="BQ13" s="19"/>
      <c r="BR13" s="19"/>
    </row>
    <row r="14" spans="1:70" s="18" customFormat="1" x14ac:dyDescent="0.25">
      <c r="B14" t="s">
        <v>165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2007</v>
      </c>
      <c r="R14" s="5">
        <f t="shared" si="5"/>
        <v>1879</v>
      </c>
      <c r="S14" s="5">
        <v>1944</v>
      </c>
      <c r="T14" s="5">
        <v>1917</v>
      </c>
      <c r="U14" s="19"/>
      <c r="V14" s="19"/>
      <c r="W14" s="24">
        <v>1928</v>
      </c>
      <c r="X14" s="24"/>
      <c r="Y14" s="24"/>
      <c r="Z14" s="24"/>
      <c r="AA14" s="24"/>
      <c r="AX14" s="19"/>
      <c r="AY14" s="19"/>
      <c r="AZ14" s="19"/>
      <c r="BA14" s="24"/>
      <c r="BB14" s="24"/>
      <c r="BC14" s="24"/>
      <c r="BD14" s="5">
        <v>5659</v>
      </c>
      <c r="BE14" s="5">
        <v>5542</v>
      </c>
      <c r="BF14" s="5">
        <v>5846</v>
      </c>
      <c r="BG14" s="5">
        <v>6124</v>
      </c>
      <c r="BH14" s="5">
        <v>6409</v>
      </c>
      <c r="BI14" s="5">
        <v>6943</v>
      </c>
      <c r="BJ14" s="5">
        <v>7407</v>
      </c>
      <c r="BK14" s="5">
        <v>7722</v>
      </c>
      <c r="BL14" s="19"/>
      <c r="BM14" s="19"/>
      <c r="BN14" s="19"/>
      <c r="BO14" s="19"/>
      <c r="BP14" s="19"/>
      <c r="BQ14" s="19"/>
      <c r="BR14" s="19"/>
    </row>
    <row r="15" spans="1:70" s="18" customFormat="1" x14ac:dyDescent="0.25">
      <c r="B15" t="s">
        <v>106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1428</v>
      </c>
      <c r="R15" s="5">
        <f t="shared" si="5"/>
        <v>1531</v>
      </c>
      <c r="S15" s="5">
        <v>1540</v>
      </c>
      <c r="T15" s="5">
        <v>1576</v>
      </c>
      <c r="U15" s="19"/>
      <c r="V15" s="19"/>
      <c r="W15" s="24">
        <v>1849</v>
      </c>
      <c r="X15" s="24"/>
      <c r="Y15" s="24"/>
      <c r="Z15" s="24"/>
      <c r="AA15" s="24"/>
      <c r="AX15" s="19"/>
      <c r="AY15" s="19"/>
      <c r="AZ15" s="19"/>
      <c r="BA15" s="24"/>
      <c r="BB15" s="24"/>
      <c r="BC15" s="24"/>
      <c r="BD15" s="24"/>
      <c r="BE15" s="24"/>
      <c r="BF15" s="24"/>
      <c r="BG15" s="5">
        <v>3070</v>
      </c>
      <c r="BH15" s="5">
        <v>3768</v>
      </c>
      <c r="BI15" s="5">
        <v>7143</v>
      </c>
      <c r="BJ15" s="5">
        <v>7306</v>
      </c>
      <c r="BK15" s="5">
        <v>5521</v>
      </c>
      <c r="BL15" s="19"/>
      <c r="BM15" s="19"/>
      <c r="BN15" s="19"/>
      <c r="BO15" s="19"/>
      <c r="BP15" s="19"/>
      <c r="BQ15" s="19"/>
      <c r="BR15" s="19"/>
    </row>
    <row r="16" spans="1:70" s="18" customFormat="1" x14ac:dyDescent="0.25">
      <c r="B16" t="s">
        <v>166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+BJ16-M16-L16-K16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>
        <v>1125</v>
      </c>
      <c r="T16" s="5">
        <v>1298</v>
      </c>
      <c r="U16" s="19"/>
      <c r="V16" s="19"/>
      <c r="W16" s="24">
        <v>1727</v>
      </c>
      <c r="X16" s="24"/>
      <c r="Y16" s="24"/>
      <c r="Z16" s="24"/>
      <c r="AA16" s="24"/>
      <c r="AX16" s="19"/>
      <c r="AY16" s="19"/>
      <c r="AZ16" s="19"/>
      <c r="BA16" s="5">
        <v>0</v>
      </c>
      <c r="BB16" s="5">
        <v>1982</v>
      </c>
      <c r="BC16" s="5">
        <v>7524</v>
      </c>
      <c r="BD16" s="5">
        <v>7888</v>
      </c>
      <c r="BE16" s="5">
        <v>5062</v>
      </c>
      <c r="BF16" s="5">
        <v>5134</v>
      </c>
      <c r="BG16" s="5">
        <v>6095</v>
      </c>
      <c r="BH16" s="5">
        <v>6457</v>
      </c>
      <c r="BI16" s="5">
        <v>3754</v>
      </c>
      <c r="BJ16" s="5">
        <v>4687</v>
      </c>
      <c r="BK16" s="5">
        <v>5437</v>
      </c>
      <c r="BL16" s="19"/>
      <c r="BM16" s="19"/>
      <c r="BN16" s="19"/>
      <c r="BO16" s="19"/>
      <c r="BP16" s="19"/>
      <c r="BQ16" s="19"/>
      <c r="BR16" s="19"/>
    </row>
    <row r="17" spans="2:70" s="18" customFormat="1" x14ac:dyDescent="0.25">
      <c r="B17" t="s">
        <v>27</v>
      </c>
      <c r="C17" s="5">
        <v>0</v>
      </c>
      <c r="D17" s="5">
        <v>0</v>
      </c>
      <c r="E17" s="5">
        <v>0</v>
      </c>
      <c r="F17" s="5">
        <f t="shared" si="2"/>
        <v>0</v>
      </c>
      <c r="G17" s="5">
        <v>0</v>
      </c>
      <c r="H17" s="5">
        <v>0</v>
      </c>
      <c r="I17" s="5">
        <v>0</v>
      </c>
      <c r="J17" s="5">
        <f t="shared" si="3"/>
        <v>373</v>
      </c>
      <c r="K17" s="5">
        <v>0</v>
      </c>
      <c r="L17" s="5">
        <v>0</v>
      </c>
      <c r="M17" s="5">
        <v>0</v>
      </c>
      <c r="N17" s="5">
        <f t="shared" si="4"/>
        <v>289</v>
      </c>
      <c r="O17" s="5">
        <v>56</v>
      </c>
      <c r="P17" s="5">
        <v>39</v>
      </c>
      <c r="Q17" s="5">
        <v>0</v>
      </c>
      <c r="R17" s="5">
        <f t="shared" si="5"/>
        <v>116</v>
      </c>
      <c r="S17" s="5">
        <v>8</v>
      </c>
      <c r="T17" s="5">
        <v>11</v>
      </c>
      <c r="U17" s="19"/>
      <c r="V17" s="19"/>
      <c r="W17" s="24">
        <v>10</v>
      </c>
      <c r="X17" s="24"/>
      <c r="Y17" s="24"/>
      <c r="Z17" s="24"/>
      <c r="AA17" s="24"/>
      <c r="AX17" s="19"/>
      <c r="AY17" s="19"/>
      <c r="AZ17" s="19"/>
      <c r="BA17" s="24"/>
      <c r="BB17" s="24"/>
      <c r="BC17" s="24"/>
      <c r="BD17" s="24"/>
      <c r="BE17" s="24"/>
      <c r="BF17" s="24"/>
      <c r="BG17" s="5">
        <v>0</v>
      </c>
      <c r="BH17" s="5">
        <v>0</v>
      </c>
      <c r="BI17" s="5">
        <v>373</v>
      </c>
      <c r="BJ17" s="5">
        <v>289</v>
      </c>
      <c r="BK17" s="5">
        <v>211</v>
      </c>
      <c r="BL17" s="19"/>
      <c r="BM17" s="19"/>
      <c r="BN17" s="19"/>
      <c r="BO17" s="19"/>
      <c r="BP17" s="19"/>
      <c r="BQ17" s="19"/>
      <c r="BR17" s="19"/>
    </row>
    <row r="18" spans="2:70" s="18" customFormat="1" x14ac:dyDescent="0.25">
      <c r="B18"/>
      <c r="C18" s="19"/>
      <c r="D18" s="19"/>
      <c r="E18" s="19"/>
      <c r="F18" s="19"/>
      <c r="G18" s="19"/>
      <c r="H18" s="19"/>
      <c r="I18" s="19"/>
      <c r="J18" s="19"/>
      <c r="K18" s="19"/>
      <c r="L18" s="20"/>
      <c r="M18" s="20"/>
      <c r="N18" s="20"/>
      <c r="O18" s="5"/>
      <c r="P18" s="5"/>
      <c r="Q18" s="5"/>
      <c r="R18" s="20"/>
      <c r="S18" s="5"/>
      <c r="T18" s="5"/>
      <c r="U18" s="19"/>
      <c r="V18" s="19"/>
      <c r="W18" s="19"/>
      <c r="X18" s="19"/>
      <c r="Y18" s="19"/>
      <c r="Z18" s="19"/>
      <c r="AA18" s="19"/>
      <c r="AX18" s="19"/>
      <c r="AY18" s="19"/>
      <c r="AZ18" s="19"/>
      <c r="BA18" s="24"/>
      <c r="BB18" s="24"/>
      <c r="BC18" s="24"/>
      <c r="BD18" s="24"/>
      <c r="BE18" s="24"/>
      <c r="BF18" s="24"/>
      <c r="BG18" s="24"/>
      <c r="BH18" s="24"/>
      <c r="BI18" s="5"/>
      <c r="BJ18" s="5"/>
      <c r="BK18" s="5"/>
      <c r="BL18" s="19"/>
      <c r="BM18" s="19"/>
      <c r="BN18" s="19"/>
      <c r="BO18" s="19"/>
      <c r="BP18" s="19"/>
      <c r="BQ18" s="19"/>
      <c r="BR18" s="19"/>
    </row>
    <row r="19" spans="2:70" s="18" customFormat="1" x14ac:dyDescent="0.25">
      <c r="B19" t="s">
        <v>175</v>
      </c>
      <c r="C19" s="19"/>
      <c r="D19" s="19"/>
      <c r="E19" s="19"/>
      <c r="F19" s="19"/>
      <c r="G19" s="19"/>
      <c r="H19" s="19"/>
      <c r="I19" s="19"/>
      <c r="J19" s="19"/>
      <c r="K19" s="19"/>
      <c r="L19" s="20"/>
      <c r="M19" s="20"/>
      <c r="N19" s="20"/>
      <c r="O19" s="20"/>
      <c r="P19" s="20">
        <f t="shared" ref="P19:W19" si="6">P7/L7-1</f>
        <v>0.2262443438914028</v>
      </c>
      <c r="Q19" s="20">
        <f t="shared" si="6"/>
        <v>0.21794871794871784</v>
      </c>
      <c r="R19" s="20">
        <f t="shared" si="6"/>
        <v>0.20717131474103589</v>
      </c>
      <c r="S19" s="20">
        <f t="shared" si="6"/>
        <v>0.23735408560311289</v>
      </c>
      <c r="T19" s="20">
        <f t="shared" si="6"/>
        <v>0.24354243542435428</v>
      </c>
      <c r="U19" s="20">
        <f t="shared" si="6"/>
        <v>0.23157894736842111</v>
      </c>
      <c r="V19" s="20">
        <f t="shared" si="6"/>
        <v>0.21452145214521456</v>
      </c>
      <c r="W19" s="20">
        <f t="shared" si="6"/>
        <v>0.22327044025157239</v>
      </c>
      <c r="X19" s="19"/>
      <c r="Y19" s="19"/>
      <c r="Z19" s="19"/>
      <c r="AA19" s="19"/>
      <c r="AX19" s="19"/>
      <c r="AY19" s="19"/>
      <c r="AZ19" s="19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19"/>
      <c r="BM19" s="19"/>
      <c r="BN19" s="19"/>
      <c r="BO19" s="19"/>
      <c r="BP19" s="19"/>
      <c r="BQ19" s="19"/>
      <c r="BR19" s="19"/>
    </row>
    <row r="20" spans="2:70" x14ac:dyDescent="0.25">
      <c r="B20" t="s">
        <v>86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W20" s="2"/>
      <c r="X20" s="2"/>
      <c r="Y20" s="2"/>
      <c r="Z20" s="2"/>
      <c r="AA20" s="2"/>
      <c r="BK20" s="20">
        <v>0.27</v>
      </c>
    </row>
    <row r="21" spans="2:70" x14ac:dyDescent="0.25">
      <c r="B21" s="18" t="s">
        <v>122</v>
      </c>
      <c r="G21" s="2">
        <v>45.3</v>
      </c>
      <c r="H21" s="2">
        <v>47.5</v>
      </c>
      <c r="I21" s="2">
        <v>50.2</v>
      </c>
      <c r="J21" s="2">
        <v>51.9</v>
      </c>
      <c r="K21" s="23">
        <v>54.1</v>
      </c>
      <c r="L21" s="23">
        <v>56.4</v>
      </c>
      <c r="M21" s="23">
        <v>58.4</v>
      </c>
      <c r="N21" s="23">
        <v>59.7</v>
      </c>
      <c r="O21" s="23">
        <v>61.3</v>
      </c>
      <c r="P21" s="23">
        <v>63.2</v>
      </c>
      <c r="Q21" s="23">
        <v>65.400000000000006</v>
      </c>
      <c r="R21" s="23">
        <v>67</v>
      </c>
      <c r="S21" s="23">
        <v>76.7</v>
      </c>
      <c r="T21" s="23">
        <v>78.400000000000006</v>
      </c>
      <c r="U21" s="2">
        <v>80.8</v>
      </c>
      <c r="V21" s="2">
        <v>82.5</v>
      </c>
      <c r="W21" s="2"/>
      <c r="X21" s="2"/>
      <c r="Y21" s="2"/>
      <c r="Z21" s="2"/>
      <c r="AA21" s="2"/>
    </row>
    <row r="22" spans="2:70" x14ac:dyDescent="0.2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70" x14ac:dyDescent="0.25">
      <c r="B23" s="18" t="s">
        <v>159</v>
      </c>
      <c r="O23" s="2"/>
      <c r="P23" s="2"/>
      <c r="Q23" s="2"/>
      <c r="R23" s="9">
        <v>0.02</v>
      </c>
      <c r="S23" s="2"/>
      <c r="T23" s="2"/>
      <c r="U23" s="2"/>
      <c r="V23" s="2"/>
      <c r="W23" s="2"/>
      <c r="X23" s="2"/>
      <c r="Y23" s="2"/>
      <c r="Z23" s="2"/>
      <c r="AA23" s="2"/>
    </row>
    <row r="24" spans="2:70" x14ac:dyDescent="0.25"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70" s="4" customFormat="1" x14ac:dyDescent="0.25">
      <c r="B25" s="4" t="s">
        <v>68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U25" s="4">
        <v>19570</v>
      </c>
      <c r="V25" s="4">
        <v>20317</v>
      </c>
      <c r="W25" s="4">
        <v>20450</v>
      </c>
      <c r="AF25" s="4">
        <v>1401</v>
      </c>
      <c r="AG25" s="4">
        <v>2253</v>
      </c>
      <c r="AH25" s="4">
        <v>2927</v>
      </c>
      <c r="BH25" s="5"/>
      <c r="BI25" s="5">
        <f>SUM(G25:J25)</f>
        <v>53915</v>
      </c>
      <c r="BJ25" s="5">
        <f>SUM(K25:N25)</f>
        <v>63364</v>
      </c>
      <c r="BK25" s="5">
        <f>SUM(O25:R25)</f>
        <v>69274</v>
      </c>
    </row>
    <row r="26" spans="2:70" s="4" customFormat="1" x14ac:dyDescent="0.25">
      <c r="B26" s="4" t="s">
        <v>67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U26" s="4">
        <v>26708</v>
      </c>
      <c r="V26" s="4">
        <v>28515</v>
      </c>
      <c r="W26" s="4">
        <v>28750</v>
      </c>
      <c r="BH26" s="5"/>
      <c r="BI26" s="5">
        <f>SUM(G26:J26)</f>
        <v>60080</v>
      </c>
      <c r="BJ26" s="5">
        <f t="shared" ref="BJ26:BJ33" si="7">SUM(K26:N26)</f>
        <v>75030</v>
      </c>
      <c r="BK26" s="5">
        <f>SUM(O26:R26)</f>
        <v>87907</v>
      </c>
    </row>
    <row r="27" spans="2:70" s="4" customFormat="1" x14ac:dyDescent="0.25">
      <c r="B27" s="4" t="s">
        <v>69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U27" s="4">
        <v>15580</v>
      </c>
      <c r="V27" s="4">
        <v>15895</v>
      </c>
      <c r="W27" s="4">
        <v>15100</v>
      </c>
      <c r="AF27" s="4">
        <v>1104</v>
      </c>
      <c r="AG27" s="4">
        <v>1267</v>
      </c>
      <c r="AH27" s="4">
        <v>1519</v>
      </c>
      <c r="BH27" s="5"/>
      <c r="BI27" s="5">
        <f>SUM(G27:J27)</f>
        <v>54093</v>
      </c>
      <c r="BJ27" s="5">
        <f t="shared" si="7"/>
        <v>59876</v>
      </c>
      <c r="BK27" s="5">
        <f>SUM(O27:R27)</f>
        <v>54734</v>
      </c>
    </row>
    <row r="29" spans="2:70" s="4" customFormat="1" x14ac:dyDescent="0.25">
      <c r="B29" s="4" t="s">
        <v>16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v>17080</v>
      </c>
      <c r="V29" s="4">
        <v>13217</v>
      </c>
      <c r="W29" s="4">
        <v>15272</v>
      </c>
      <c r="X29" s="7">
        <f>(X48+1)*T29</f>
        <v>21980.032291169027</v>
      </c>
      <c r="Y29" s="7">
        <f>(Y48+1)*U29</f>
        <v>19820.439867650442</v>
      </c>
      <c r="Z29" s="7">
        <f>(Z48+1)*V29</f>
        <v>15337.631951448237</v>
      </c>
      <c r="BD29" s="4">
        <v>61502</v>
      </c>
      <c r="BE29" s="4">
        <v>63811</v>
      </c>
      <c r="BF29" s="4">
        <v>64497</v>
      </c>
      <c r="BG29" s="4">
        <v>66069</v>
      </c>
      <c r="BH29" s="5">
        <v>68041</v>
      </c>
      <c r="BI29" s="5">
        <f>SUM(G29:J29)</f>
        <v>71074</v>
      </c>
      <c r="BJ29" s="5">
        <f t="shared" si="7"/>
        <v>72732</v>
      </c>
      <c r="BK29" s="5">
        <f>SUM(O29:R29)</f>
        <v>64699</v>
      </c>
      <c r="BL29" s="5">
        <f>SUM(S29:V29)</f>
        <v>64773</v>
      </c>
      <c r="BM29" s="5">
        <f>SUM(W29:Z29)</f>
        <v>72410.104110267712</v>
      </c>
      <c r="BN29" s="5">
        <f>+BM29*1.04</f>
        <v>75306.508274678417</v>
      </c>
      <c r="BO29" s="5">
        <f>+BN29*1.04</f>
        <v>78318.768605665551</v>
      </c>
      <c r="BP29" s="5">
        <f>+BO29*1.04</f>
        <v>81451.519349892173</v>
      </c>
      <c r="BQ29" s="5">
        <f>+BP29*1.04</f>
        <v>84709.580123887863</v>
      </c>
      <c r="BR29" s="5">
        <f>+BQ29*1.04</f>
        <v>88097.963328843383</v>
      </c>
    </row>
    <row r="30" spans="2:70" s="4" customFormat="1" x14ac:dyDescent="0.25">
      <c r="B30" s="4" t="s">
        <v>17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v>44778</v>
      </c>
      <c r="V30" s="4">
        <v>51510</v>
      </c>
      <c r="W30" s="4">
        <v>50313</v>
      </c>
      <c r="X30" s="7">
        <f>(X48+1)*T30</f>
        <v>49990.909195463311</v>
      </c>
      <c r="Y30" s="7">
        <f>(Y48+1)*U30</f>
        <v>51962.509156536973</v>
      </c>
      <c r="Z30" s="7">
        <f>(Z48+1)*V30</f>
        <v>59774.64037369287</v>
      </c>
      <c r="BD30" s="4">
        <v>23818</v>
      </c>
      <c r="BE30" s="4">
        <v>32760</v>
      </c>
      <c r="BF30" s="4">
        <v>45863</v>
      </c>
      <c r="BG30" s="4">
        <v>59774</v>
      </c>
      <c r="BH30" s="5">
        <v>74974</v>
      </c>
      <c r="BI30" s="5">
        <f>SUM(G30:J30)</f>
        <v>97014</v>
      </c>
      <c r="BJ30" s="5">
        <f t="shared" si="7"/>
        <v>125538</v>
      </c>
      <c r="BK30" s="5">
        <f>SUM(O30:R30)</f>
        <v>147216</v>
      </c>
      <c r="BL30" s="5">
        <f>SUM(S30:V30)</f>
        <v>180349</v>
      </c>
      <c r="BM30" s="5">
        <f>SUM(W30:Z30)</f>
        <v>212041.05872569318</v>
      </c>
      <c r="BN30" s="5">
        <f>+BM30*1.15</f>
        <v>243847.21753454715</v>
      </c>
      <c r="BO30" s="5">
        <f>+BN30*1.15</f>
        <v>280424.30016472918</v>
      </c>
      <c r="BP30" s="5">
        <f>+BO30*1.15</f>
        <v>322487.94518943853</v>
      </c>
      <c r="BQ30" s="5">
        <f>+BP30*1.15</f>
        <v>370861.13696785428</v>
      </c>
      <c r="BR30" s="5">
        <f>+BQ30*1.15</f>
        <v>426490.3075130324</v>
      </c>
    </row>
    <row r="31" spans="2:70" s="6" customFormat="1" x14ac:dyDescent="0.25">
      <c r="B31" s="6" t="s">
        <v>7</v>
      </c>
      <c r="C31" s="7">
        <f t="shared" ref="C31:D31" si="8">C29+C30</f>
        <v>33055</v>
      </c>
      <c r="D31" s="7">
        <f t="shared" si="8"/>
        <v>36906</v>
      </c>
      <c r="E31" s="7">
        <f t="shared" ref="E31" si="9">E29+E30</f>
        <v>35021</v>
      </c>
      <c r="F31" s="7">
        <f t="shared" ref="F31:G31" si="10">F29+F30</f>
        <v>38033</v>
      </c>
      <c r="G31" s="7">
        <f t="shared" si="10"/>
        <v>37154</v>
      </c>
      <c r="H31" s="7">
        <f t="shared" ref="H31:L31" si="11">H29+H30</f>
        <v>43076</v>
      </c>
      <c r="I31" s="7">
        <f t="shared" si="11"/>
        <v>41706</v>
      </c>
      <c r="J31" s="7">
        <f t="shared" si="11"/>
        <v>46152</v>
      </c>
      <c r="K31" s="7">
        <f t="shared" si="11"/>
        <v>45317</v>
      </c>
      <c r="L31" s="7">
        <f t="shared" si="11"/>
        <v>51728</v>
      </c>
      <c r="M31" s="7">
        <f>M29+M30</f>
        <v>49360</v>
      </c>
      <c r="N31" s="7">
        <f t="shared" ref="N31:W31" si="12">N29+N30</f>
        <v>51865</v>
      </c>
      <c r="O31" s="7">
        <f t="shared" si="12"/>
        <v>50122</v>
      </c>
      <c r="P31" s="7">
        <f>P29+P30</f>
        <v>52747</v>
      </c>
      <c r="Q31" s="7">
        <f>Q29+Q30</f>
        <v>52857</v>
      </c>
      <c r="R31" s="7">
        <f t="shared" si="12"/>
        <v>56189</v>
      </c>
      <c r="S31" s="7">
        <f t="shared" si="12"/>
        <v>56517</v>
      </c>
      <c r="T31" s="7">
        <f>T29+T30</f>
        <v>62020</v>
      </c>
      <c r="U31" s="7">
        <f t="shared" si="12"/>
        <v>61858</v>
      </c>
      <c r="V31" s="7">
        <f t="shared" si="12"/>
        <v>64727</v>
      </c>
      <c r="W31" s="7">
        <f t="shared" si="12"/>
        <v>65585</v>
      </c>
      <c r="X31" s="7">
        <f>(X48+1)*T31</f>
        <v>71970.941486632335</v>
      </c>
      <c r="Y31" s="7">
        <f>(Y48+1)*U31</f>
        <v>71782.949024187415</v>
      </c>
      <c r="Z31" s="7">
        <f>(Z48+1)*V31</f>
        <v>75112.272325141108</v>
      </c>
      <c r="AA31" s="7"/>
      <c r="AD31" s="6">
        <v>1183</v>
      </c>
      <c r="AE31" s="6">
        <v>1843</v>
      </c>
      <c r="AF31" s="6">
        <v>2759</v>
      </c>
      <c r="AG31" s="6">
        <v>3753</v>
      </c>
      <c r="AH31" s="6">
        <v>4649</v>
      </c>
      <c r="AI31" s="6">
        <v>5937</v>
      </c>
      <c r="AJ31" s="6">
        <v>8671</v>
      </c>
      <c r="AK31" s="6">
        <v>11358</v>
      </c>
      <c r="AL31" s="6">
        <v>14484</v>
      </c>
      <c r="AM31" s="6">
        <v>19747</v>
      </c>
      <c r="AN31" s="6">
        <v>22956</v>
      </c>
      <c r="AO31" s="6">
        <v>25296</v>
      </c>
      <c r="AP31" s="6">
        <v>28365</v>
      </c>
      <c r="AQ31" s="6">
        <v>32187</v>
      </c>
      <c r="AR31" s="6">
        <v>36835</v>
      </c>
      <c r="AS31" s="6">
        <v>39788</v>
      </c>
      <c r="AT31" s="6">
        <v>44282</v>
      </c>
      <c r="AU31" s="6">
        <v>51122</v>
      </c>
      <c r="AV31" s="6">
        <v>60420</v>
      </c>
      <c r="AW31" s="6">
        <v>58437</v>
      </c>
      <c r="AX31" s="7">
        <v>62484</v>
      </c>
      <c r="AY31" s="7">
        <v>69943</v>
      </c>
      <c r="AZ31" s="7">
        <v>73723</v>
      </c>
      <c r="BA31" s="7">
        <v>77849</v>
      </c>
      <c r="BB31" s="7">
        <v>86833</v>
      </c>
      <c r="BC31" s="7">
        <v>93580</v>
      </c>
      <c r="BD31" s="7">
        <f>BD29+BD30</f>
        <v>85320</v>
      </c>
      <c r="BE31" s="7">
        <f t="shared" ref="BE31:BK31" si="13">+BE30+BE29</f>
        <v>96571</v>
      </c>
      <c r="BF31" s="7">
        <f t="shared" si="13"/>
        <v>110360</v>
      </c>
      <c r="BG31" s="7">
        <f t="shared" si="13"/>
        <v>125843</v>
      </c>
      <c r="BH31" s="7">
        <f t="shared" si="13"/>
        <v>143015</v>
      </c>
      <c r="BI31" s="7">
        <f t="shared" si="13"/>
        <v>168088</v>
      </c>
      <c r="BJ31" s="7">
        <f t="shared" si="13"/>
        <v>198270</v>
      </c>
      <c r="BK31" s="7">
        <f t="shared" si="13"/>
        <v>211915</v>
      </c>
      <c r="BL31" s="7">
        <f>+BL30+BL29</f>
        <v>245122</v>
      </c>
      <c r="BM31" s="7">
        <f t="shared" ref="BM31:BR31" si="14">+BM30+BM29</f>
        <v>284451.16283596086</v>
      </c>
      <c r="BN31" s="7">
        <f t="shared" si="14"/>
        <v>319153.72580922558</v>
      </c>
      <c r="BO31" s="7">
        <f t="shared" si="14"/>
        <v>358743.06877039472</v>
      </c>
      <c r="BP31" s="7">
        <f t="shared" si="14"/>
        <v>403939.46453933069</v>
      </c>
      <c r="BQ31" s="7">
        <f t="shared" si="14"/>
        <v>455570.71709174215</v>
      </c>
      <c r="BR31" s="7">
        <f t="shared" si="14"/>
        <v>514588.27084187581</v>
      </c>
    </row>
    <row r="32" spans="2:70" s="4" customFormat="1" x14ac:dyDescent="0.25">
      <c r="B32" s="4" t="s">
        <v>18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v>4339</v>
      </c>
      <c r="V32" s="4">
        <v>1438</v>
      </c>
      <c r="W32" s="4">
        <v>3294</v>
      </c>
      <c r="BD32" s="4">
        <v>17880</v>
      </c>
      <c r="BE32" s="4">
        <v>15175</v>
      </c>
      <c r="BF32" s="4">
        <v>15420</v>
      </c>
      <c r="BG32" s="4">
        <v>16273</v>
      </c>
      <c r="BH32" s="5">
        <v>16017</v>
      </c>
      <c r="BI32" s="5">
        <f>SUM(G32:J32)</f>
        <v>18219</v>
      </c>
      <c r="BJ32" s="5">
        <f t="shared" si="7"/>
        <v>19064</v>
      </c>
      <c r="BK32" s="5">
        <f>SUM(O32:R32)</f>
        <v>17804</v>
      </c>
      <c r="BL32" s="5">
        <f>SUM(S32:V32)</f>
        <v>15272</v>
      </c>
      <c r="BM32" s="5"/>
      <c r="BN32" s="5"/>
      <c r="BO32" s="5"/>
      <c r="BP32" s="5"/>
      <c r="BQ32" s="5"/>
      <c r="BR32" s="5"/>
    </row>
    <row r="33" spans="2:128" s="4" customFormat="1" x14ac:dyDescent="0.25">
      <c r="B33" s="4" t="s">
        <v>19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v>14166</v>
      </c>
      <c r="V33" s="4">
        <v>18246</v>
      </c>
      <c r="W33" s="4">
        <v>16805</v>
      </c>
      <c r="BD33" s="4">
        <v>14900</v>
      </c>
      <c r="BE33" s="4">
        <v>19086</v>
      </c>
      <c r="BF33" s="4">
        <v>22933</v>
      </c>
      <c r="BG33" s="4">
        <v>26637</v>
      </c>
      <c r="BH33" s="5">
        <v>30061</v>
      </c>
      <c r="BI33" s="5">
        <f>SUM(G33:J33)</f>
        <v>34013</v>
      </c>
      <c r="BJ33" s="5">
        <f t="shared" si="7"/>
        <v>43586</v>
      </c>
      <c r="BK33" s="5">
        <f>SUM(O33:R33)</f>
        <v>48059</v>
      </c>
      <c r="BL33" s="5">
        <f>SUM(S33:V33)</f>
        <v>58842</v>
      </c>
      <c r="BM33" s="5"/>
      <c r="BN33" s="5"/>
      <c r="BO33" s="5"/>
      <c r="BP33" s="5"/>
      <c r="BQ33" s="5"/>
      <c r="BR33" s="5"/>
    </row>
    <row r="34" spans="2:128" s="4" customFormat="1" x14ac:dyDescent="0.25">
      <c r="B34" s="4" t="s">
        <v>20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15">F32+F33</f>
        <v>12339</v>
      </c>
      <c r="G34" s="5">
        <f t="shared" ref="G34:H34" si="16">G32+G33</f>
        <v>11002</v>
      </c>
      <c r="H34" s="5">
        <f t="shared" si="16"/>
        <v>14194</v>
      </c>
      <c r="I34" s="5">
        <f>I32+I33</f>
        <v>13045</v>
      </c>
      <c r="J34" s="5">
        <f t="shared" ref="J34:M34" si="17">J32+J33</f>
        <v>13991</v>
      </c>
      <c r="K34" s="5">
        <f t="shared" si="17"/>
        <v>13646</v>
      </c>
      <c r="L34" s="5">
        <f t="shared" si="17"/>
        <v>16960</v>
      </c>
      <c r="M34" s="5">
        <f t="shared" si="17"/>
        <v>15615</v>
      </c>
      <c r="N34" s="5">
        <f t="shared" ref="N34" si="18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>+U32+U33</f>
        <v>18505</v>
      </c>
      <c r="V34" s="4">
        <f>+V32+V33</f>
        <v>19684</v>
      </c>
      <c r="W34" s="4">
        <f>+W32+W33</f>
        <v>20099</v>
      </c>
      <c r="AD34" s="4">
        <v>253</v>
      </c>
      <c r="AE34" s="4">
        <v>362</v>
      </c>
      <c r="AF34" s="4">
        <v>467</v>
      </c>
      <c r="AG34" s="4">
        <v>633</v>
      </c>
      <c r="AH34" s="4">
        <v>763</v>
      </c>
      <c r="AI34" s="4">
        <v>877</v>
      </c>
      <c r="AJ34" s="4">
        <v>1188</v>
      </c>
      <c r="AK34" s="4">
        <v>1085</v>
      </c>
      <c r="AL34" s="4">
        <v>1197</v>
      </c>
      <c r="AM34" s="4">
        <v>2814</v>
      </c>
      <c r="AN34" s="4">
        <v>3002</v>
      </c>
      <c r="AO34" s="4">
        <v>3455</v>
      </c>
      <c r="AP34" s="4">
        <v>5191</v>
      </c>
      <c r="AQ34" s="4">
        <v>5686</v>
      </c>
      <c r="AR34" s="4">
        <v>6716</v>
      </c>
      <c r="AS34" s="4">
        <v>6200</v>
      </c>
      <c r="AT34" s="4">
        <v>7650</v>
      </c>
      <c r="AU34" s="4">
        <v>10693</v>
      </c>
      <c r="AV34" s="4">
        <v>11598</v>
      </c>
      <c r="AW34" s="4">
        <v>12155</v>
      </c>
      <c r="AX34" s="5">
        <v>12395</v>
      </c>
      <c r="AY34" s="5">
        <v>15577</v>
      </c>
      <c r="AZ34" s="5">
        <v>17530</v>
      </c>
      <c r="BA34" s="5">
        <v>20249</v>
      </c>
      <c r="BB34" s="5">
        <v>26934</v>
      </c>
      <c r="BC34" s="5">
        <v>33038</v>
      </c>
      <c r="BD34" s="5">
        <f t="shared" ref="BD34" si="19">BD32+BD33</f>
        <v>32780</v>
      </c>
      <c r="BE34" s="5">
        <f t="shared" ref="BE34:BF34" si="20">BE32+BE33</f>
        <v>34261</v>
      </c>
      <c r="BF34" s="5">
        <f t="shared" si="20"/>
        <v>38353</v>
      </c>
      <c r="BG34" s="5">
        <f t="shared" ref="BG34:BH34" si="21">BG32+BG33</f>
        <v>42910</v>
      </c>
      <c r="BH34" s="5">
        <f t="shared" si="21"/>
        <v>46078</v>
      </c>
      <c r="BI34" s="5">
        <f t="shared" ref="BI34:BJ34" si="22">BI32+BI33</f>
        <v>52232</v>
      </c>
      <c r="BJ34" s="5">
        <f t="shared" si="22"/>
        <v>62650</v>
      </c>
      <c r="BK34" s="5">
        <f>BK32+BK33</f>
        <v>65863</v>
      </c>
      <c r="BL34" s="5">
        <f>BL32+BL33</f>
        <v>74114</v>
      </c>
      <c r="BM34" s="5"/>
      <c r="BN34" s="5"/>
      <c r="BO34" s="5"/>
      <c r="BP34" s="5"/>
      <c r="BQ34" s="5"/>
      <c r="BR34" s="5"/>
    </row>
    <row r="35" spans="2:128" s="4" customFormat="1" x14ac:dyDescent="0.25">
      <c r="B35" s="4" t="s">
        <v>21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23">F31-F34</f>
        <v>25694</v>
      </c>
      <c r="G35" s="5">
        <f t="shared" ref="G35:H35" si="24">G31-G34</f>
        <v>26152</v>
      </c>
      <c r="H35" s="5">
        <f t="shared" si="24"/>
        <v>28882</v>
      </c>
      <c r="I35" s="5">
        <f>I31-I34</f>
        <v>28661</v>
      </c>
      <c r="J35" s="5">
        <f t="shared" ref="J35:M35" si="25">J31-J34</f>
        <v>32161</v>
      </c>
      <c r="K35" s="5">
        <f t="shared" si="25"/>
        <v>31671</v>
      </c>
      <c r="L35" s="5">
        <f t="shared" si="25"/>
        <v>34768</v>
      </c>
      <c r="M35" s="5">
        <f t="shared" si="25"/>
        <v>33745</v>
      </c>
      <c r="N35" s="5">
        <f t="shared" ref="N35" si="26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>+U31-U34</f>
        <v>43353</v>
      </c>
      <c r="V35" s="4">
        <f>+V31-V34</f>
        <v>45043</v>
      </c>
      <c r="W35" s="4">
        <f>+W31-W34</f>
        <v>45486</v>
      </c>
      <c r="AD35" s="4">
        <f t="shared" ref="AD35:AJ35" si="27">AD31-AD34</f>
        <v>930</v>
      </c>
      <c r="AE35" s="4">
        <f t="shared" si="27"/>
        <v>1481</v>
      </c>
      <c r="AF35" s="4">
        <f t="shared" si="27"/>
        <v>2292</v>
      </c>
      <c r="AG35" s="4">
        <f t="shared" si="27"/>
        <v>3120</v>
      </c>
      <c r="AH35" s="4">
        <f t="shared" si="27"/>
        <v>3886</v>
      </c>
      <c r="AI35" s="4">
        <f t="shared" si="27"/>
        <v>5060</v>
      </c>
      <c r="AJ35" s="4">
        <f t="shared" si="27"/>
        <v>7483</v>
      </c>
      <c r="AK35" s="4">
        <f t="shared" ref="AK35" si="28">AK31-AK34</f>
        <v>10273</v>
      </c>
      <c r="AL35" s="4">
        <f t="shared" ref="AL35:BC35" si="29">AL31-AL34</f>
        <v>13287</v>
      </c>
      <c r="AM35" s="4">
        <f t="shared" si="29"/>
        <v>16933</v>
      </c>
      <c r="AN35" s="4">
        <f t="shared" si="29"/>
        <v>19954</v>
      </c>
      <c r="AO35" s="4">
        <f t="shared" si="29"/>
        <v>21841</v>
      </c>
      <c r="AP35" s="4">
        <f t="shared" si="29"/>
        <v>23174</v>
      </c>
      <c r="AQ35" s="4">
        <f t="shared" si="29"/>
        <v>26501</v>
      </c>
      <c r="AR35" s="4">
        <f t="shared" si="29"/>
        <v>30119</v>
      </c>
      <c r="AS35" s="4">
        <f t="shared" si="29"/>
        <v>33588</v>
      </c>
      <c r="AT35" s="4">
        <f t="shared" si="29"/>
        <v>36632</v>
      </c>
      <c r="AU35" s="4">
        <f t="shared" si="29"/>
        <v>40429</v>
      </c>
      <c r="AV35" s="4">
        <f t="shared" si="29"/>
        <v>48822</v>
      </c>
      <c r="AW35" s="4">
        <f t="shared" si="29"/>
        <v>46282</v>
      </c>
      <c r="AX35" s="4">
        <f t="shared" si="29"/>
        <v>50089</v>
      </c>
      <c r="AY35" s="4">
        <f t="shared" si="29"/>
        <v>54366</v>
      </c>
      <c r="AZ35" s="4">
        <f t="shared" si="29"/>
        <v>56193</v>
      </c>
      <c r="BA35" s="4">
        <f t="shared" si="29"/>
        <v>57600</v>
      </c>
      <c r="BB35" s="4">
        <f t="shared" si="29"/>
        <v>59899</v>
      </c>
      <c r="BC35" s="4">
        <f t="shared" si="29"/>
        <v>60542</v>
      </c>
      <c r="BD35" s="5">
        <f t="shared" ref="BD35" si="30">BD31-BD34</f>
        <v>52540</v>
      </c>
      <c r="BE35" s="5">
        <f t="shared" ref="BE35:BF35" si="31">BE31-BE34</f>
        <v>62310</v>
      </c>
      <c r="BF35" s="5">
        <f t="shared" si="31"/>
        <v>72007</v>
      </c>
      <c r="BG35" s="5">
        <f t="shared" ref="BG35:BH35" si="32">BG31-BG34</f>
        <v>82933</v>
      </c>
      <c r="BH35" s="5">
        <f t="shared" si="32"/>
        <v>96937</v>
      </c>
      <c r="BI35" s="5">
        <f t="shared" ref="BI35:BJ35" si="33">BI31-BI34</f>
        <v>115856</v>
      </c>
      <c r="BJ35" s="5">
        <f t="shared" si="33"/>
        <v>135620</v>
      </c>
      <c r="BK35" s="5">
        <f>BK31-BK34</f>
        <v>146052</v>
      </c>
      <c r="BL35" s="5">
        <f>BL31-BL34</f>
        <v>171008</v>
      </c>
      <c r="BM35" s="5"/>
      <c r="BN35" s="5"/>
      <c r="BO35" s="5"/>
      <c r="BP35" s="5"/>
      <c r="BQ35" s="5"/>
      <c r="BR35" s="5"/>
    </row>
    <row r="36" spans="2:128" s="4" customFormat="1" x14ac:dyDescent="0.25">
      <c r="B36" s="4" t="s">
        <v>24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v>7653</v>
      </c>
      <c r="V36" s="4">
        <v>8056</v>
      </c>
      <c r="W36" s="4">
        <v>7544</v>
      </c>
      <c r="AD36" s="4">
        <v>181</v>
      </c>
      <c r="AE36" s="4">
        <v>235</v>
      </c>
      <c r="AF36" s="4">
        <v>352</v>
      </c>
      <c r="AG36" s="4">
        <v>470</v>
      </c>
      <c r="AH36" s="4">
        <v>610</v>
      </c>
      <c r="AI36" s="4">
        <v>860</v>
      </c>
      <c r="AJ36" s="4">
        <v>1432</v>
      </c>
      <c r="AK36" s="4">
        <v>1925</v>
      </c>
      <c r="AL36" s="4">
        <v>2502</v>
      </c>
      <c r="AM36" s="4">
        <v>2970</v>
      </c>
      <c r="AN36" s="4">
        <v>3775</v>
      </c>
      <c r="AO36" s="4">
        <v>4379</v>
      </c>
      <c r="AP36" s="4">
        <v>4307</v>
      </c>
      <c r="AQ36" s="4">
        <v>4659</v>
      </c>
      <c r="AR36" s="4">
        <v>7779</v>
      </c>
      <c r="AS36" s="4">
        <v>6184</v>
      </c>
      <c r="AT36" s="4">
        <v>6584</v>
      </c>
      <c r="AU36" s="4">
        <v>7121</v>
      </c>
      <c r="AV36" s="4">
        <v>8164</v>
      </c>
      <c r="AW36" s="4">
        <v>9010</v>
      </c>
      <c r="AX36" s="4">
        <v>8714</v>
      </c>
      <c r="AY36" s="4">
        <v>9043</v>
      </c>
      <c r="AZ36" s="4">
        <v>9811</v>
      </c>
      <c r="BA36" s="4">
        <v>10411</v>
      </c>
      <c r="BB36" s="4">
        <v>11381</v>
      </c>
      <c r="BC36" s="4">
        <v>12046</v>
      </c>
      <c r="BD36" s="4">
        <v>11988</v>
      </c>
      <c r="BE36" s="4">
        <v>13037</v>
      </c>
      <c r="BF36" s="4">
        <v>14726</v>
      </c>
      <c r="BG36" s="4">
        <v>16876</v>
      </c>
      <c r="BH36" s="5">
        <v>19269</v>
      </c>
      <c r="BI36" s="5">
        <f>SUM(G36:J36)</f>
        <v>20716</v>
      </c>
      <c r="BJ36" s="5">
        <f t="shared" ref="BJ36:BJ38" si="34">SUM(K36:N36)</f>
        <v>24512</v>
      </c>
      <c r="BK36" s="5">
        <f t="shared" ref="BK36:BK38" si="35">SUM(O36:R36)</f>
        <v>27195</v>
      </c>
      <c r="BL36" s="5">
        <f>SUM(S36:V36)</f>
        <v>29510</v>
      </c>
      <c r="BM36" s="5"/>
      <c r="BN36" s="5"/>
      <c r="BO36" s="5"/>
      <c r="BP36" s="5"/>
      <c r="BQ36" s="5"/>
      <c r="BR36" s="5"/>
    </row>
    <row r="37" spans="2:128" s="4" customFormat="1" x14ac:dyDescent="0.25">
      <c r="B37" s="4" t="s">
        <v>25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v>6207</v>
      </c>
      <c r="V37" s="4">
        <v>6816</v>
      </c>
      <c r="W37" s="4">
        <v>5717</v>
      </c>
      <c r="AD37" s="4">
        <v>317</v>
      </c>
      <c r="AE37" s="4">
        <v>534</v>
      </c>
      <c r="AF37" s="4">
        <v>854</v>
      </c>
      <c r="AG37" s="4">
        <v>1205</v>
      </c>
      <c r="AH37" s="4">
        <v>1384</v>
      </c>
      <c r="AI37" s="4">
        <v>1895</v>
      </c>
      <c r="AJ37" s="4">
        <v>2657</v>
      </c>
      <c r="AK37" s="4">
        <v>2856</v>
      </c>
      <c r="AL37" s="4">
        <v>3412</v>
      </c>
      <c r="AM37" s="4">
        <v>3231</v>
      </c>
      <c r="AN37" s="4">
        <v>4141</v>
      </c>
      <c r="AO37" s="4">
        <v>4885</v>
      </c>
      <c r="AP37" s="4">
        <v>5407</v>
      </c>
      <c r="AQ37" s="4">
        <v>6521</v>
      </c>
      <c r="AR37" s="4">
        <v>8309</v>
      </c>
      <c r="AS37" s="4">
        <v>8677</v>
      </c>
      <c r="AT37" s="4">
        <v>9818</v>
      </c>
      <c r="AU37" s="4">
        <v>11455</v>
      </c>
      <c r="AV37" s="4">
        <v>13039</v>
      </c>
      <c r="AW37" s="4">
        <v>12879</v>
      </c>
      <c r="AX37" s="4">
        <v>13214</v>
      </c>
      <c r="AY37" s="4">
        <v>13940</v>
      </c>
      <c r="AZ37" s="4">
        <v>13857</v>
      </c>
      <c r="BA37" s="4">
        <v>15276</v>
      </c>
      <c r="BB37" s="4">
        <v>15811</v>
      </c>
      <c r="BC37" s="4">
        <v>15713</v>
      </c>
      <c r="BD37" s="4">
        <v>14697</v>
      </c>
      <c r="BE37" s="4">
        <v>15461</v>
      </c>
      <c r="BF37" s="4">
        <v>17469</v>
      </c>
      <c r="BG37" s="4">
        <v>18213</v>
      </c>
      <c r="BH37" s="5">
        <v>19598</v>
      </c>
      <c r="BI37" s="5">
        <f>SUM(G37:J37)</f>
        <v>20117</v>
      </c>
      <c r="BJ37" s="5">
        <f t="shared" si="34"/>
        <v>21825</v>
      </c>
      <c r="BK37" s="5">
        <f t="shared" si="35"/>
        <v>22759</v>
      </c>
      <c r="BL37" s="5">
        <f>SUM(S37:V37)</f>
        <v>24456</v>
      </c>
      <c r="BM37" s="5"/>
      <c r="BN37" s="5"/>
      <c r="BO37" s="5"/>
      <c r="BP37" s="5"/>
      <c r="BQ37" s="5"/>
      <c r="BR37" s="5"/>
    </row>
    <row r="38" spans="2:128" s="4" customFormat="1" x14ac:dyDescent="0.25">
      <c r="B38" s="4" t="s">
        <v>26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v>1912</v>
      </c>
      <c r="V38" s="4">
        <v>2246</v>
      </c>
      <c r="W38" s="4">
        <v>1673</v>
      </c>
      <c r="AD38" s="4">
        <v>39</v>
      </c>
      <c r="AE38" s="4">
        <v>62</v>
      </c>
      <c r="AF38" s="4">
        <v>90</v>
      </c>
      <c r="AG38" s="4">
        <v>119</v>
      </c>
      <c r="AH38" s="4">
        <v>166</v>
      </c>
      <c r="AI38" s="4">
        <v>267</v>
      </c>
      <c r="AJ38" s="4">
        <v>316</v>
      </c>
      <c r="AK38" s="4">
        <v>362</v>
      </c>
      <c r="AL38" s="4">
        <v>433</v>
      </c>
      <c r="AM38" s="4">
        <v>689</v>
      </c>
      <c r="AN38" s="4">
        <v>1009</v>
      </c>
      <c r="AO38" s="4">
        <v>857</v>
      </c>
      <c r="AP38" s="4">
        <v>1550</v>
      </c>
      <c r="AQ38" s="4">
        <v>2104</v>
      </c>
      <c r="AR38" s="4">
        <v>4997</v>
      </c>
      <c r="AS38" s="4">
        <v>4166</v>
      </c>
      <c r="AT38" s="4">
        <v>3758</v>
      </c>
      <c r="AU38" s="4">
        <v>3329</v>
      </c>
      <c r="AV38" s="4">
        <v>5127</v>
      </c>
      <c r="AW38" s="4">
        <v>3700</v>
      </c>
      <c r="AX38" s="4">
        <v>4004</v>
      </c>
      <c r="AY38" s="4">
        <v>4222</v>
      </c>
      <c r="AZ38" s="4">
        <v>4569</v>
      </c>
      <c r="BA38" s="4">
        <v>5149</v>
      </c>
      <c r="BB38" s="4">
        <v>4821</v>
      </c>
      <c r="BC38" s="4">
        <v>4611</v>
      </c>
      <c r="BD38" s="4">
        <v>4563</v>
      </c>
      <c r="BE38" s="4">
        <v>4481</v>
      </c>
      <c r="BF38" s="4">
        <v>4754</v>
      </c>
      <c r="BG38" s="4">
        <v>4885</v>
      </c>
      <c r="BH38" s="5">
        <v>5111</v>
      </c>
      <c r="BI38" s="5">
        <f>SUM(G38:J38)</f>
        <v>5107</v>
      </c>
      <c r="BJ38" s="5">
        <f t="shared" si="34"/>
        <v>5900</v>
      </c>
      <c r="BK38" s="5">
        <f t="shared" si="35"/>
        <v>7575</v>
      </c>
      <c r="BL38" s="5">
        <f>SUM(S38:V38)</f>
        <v>7609</v>
      </c>
      <c r="BM38" s="5"/>
      <c r="BN38" s="5"/>
      <c r="BO38" s="5"/>
      <c r="BP38" s="5"/>
      <c r="BQ38" s="5"/>
      <c r="BR38" s="5"/>
    </row>
    <row r="39" spans="2:128" s="4" customFormat="1" x14ac:dyDescent="0.25">
      <c r="B39" s="4" t="s">
        <v>22</v>
      </c>
      <c r="C39" s="5">
        <f t="shared" ref="C39:D39" si="36">SUM(C36:C38)</f>
        <v>9963</v>
      </c>
      <c r="D39" s="5">
        <f t="shared" si="36"/>
        <v>10657</v>
      </c>
      <c r="E39" s="5">
        <f t="shared" ref="E39:F39" si="37">SUM(E36:E38)</f>
        <v>11071</v>
      </c>
      <c r="F39" s="5">
        <f t="shared" si="37"/>
        <v>12287</v>
      </c>
      <c r="G39" s="5">
        <f t="shared" ref="G39:L39" si="38">SUM(G36:G38)</f>
        <v>10276</v>
      </c>
      <c r="H39" s="5">
        <f t="shared" si="38"/>
        <v>10985</v>
      </c>
      <c r="I39" s="5">
        <f t="shared" si="38"/>
        <v>11613</v>
      </c>
      <c r="J39" s="5">
        <f t="shared" si="38"/>
        <v>13066</v>
      </c>
      <c r="K39" s="5">
        <f t="shared" si="38"/>
        <v>11433</v>
      </c>
      <c r="L39" s="5">
        <f t="shared" si="38"/>
        <v>12521</v>
      </c>
      <c r="M39" s="5">
        <f>SUM(M36:M38)</f>
        <v>13381</v>
      </c>
      <c r="N39" s="5">
        <f t="shared" ref="N39:O39" si="39">SUM(N36:N38)</f>
        <v>14902</v>
      </c>
      <c r="O39" s="5">
        <f t="shared" si="39"/>
        <v>13152</v>
      </c>
      <c r="P39" s="5">
        <f>SUM(P36:P38)</f>
        <v>14860</v>
      </c>
      <c r="Q39" s="5">
        <f t="shared" ref="Q39:R39" si="40">SUM(Q36:Q38)</f>
        <v>14377</v>
      </c>
      <c r="R39" s="5">
        <f t="shared" si="40"/>
        <v>15140</v>
      </c>
      <c r="S39" s="5">
        <f t="shared" ref="S39:U39" si="41">SUM(S36:S38)</f>
        <v>13320</v>
      </c>
      <c r="T39" s="5">
        <f t="shared" si="41"/>
        <v>15365</v>
      </c>
      <c r="U39" s="5">
        <f t="shared" si="41"/>
        <v>15772</v>
      </c>
      <c r="V39" s="5">
        <f>SUM(V36:V38)</f>
        <v>17118</v>
      </c>
      <c r="W39" s="5">
        <f>SUM(W36:W38)</f>
        <v>14934</v>
      </c>
      <c r="X39" s="5"/>
      <c r="Y39" s="5"/>
      <c r="Z39" s="5"/>
      <c r="AA39" s="5"/>
      <c r="AB39" s="5"/>
      <c r="AC39" s="5"/>
      <c r="AD39" s="5">
        <f t="shared" ref="AD39:AE39" si="42">AD36+AD37+AD38</f>
        <v>537</v>
      </c>
      <c r="AE39" s="5">
        <f t="shared" si="42"/>
        <v>831</v>
      </c>
      <c r="AF39" s="5">
        <f>AF36+AF37+AF38</f>
        <v>1296</v>
      </c>
      <c r="AG39" s="5">
        <f>AG36+AG37+AG38</f>
        <v>1794</v>
      </c>
      <c r="AH39" s="5">
        <f>AH36+AH37+AH38</f>
        <v>2160</v>
      </c>
      <c r="AI39" s="5">
        <f>AI36+AI37+AI38</f>
        <v>3022</v>
      </c>
      <c r="AJ39" s="5">
        <f>AJ36+AJ37+AJ38</f>
        <v>4405</v>
      </c>
      <c r="AK39" s="5">
        <f t="shared" ref="AK39" si="43">AK36+AK37+AK38</f>
        <v>5143</v>
      </c>
      <c r="AL39" s="5">
        <f t="shared" ref="AL39:BC39" si="44">AL36+AL37+AL38</f>
        <v>6347</v>
      </c>
      <c r="AM39" s="5">
        <f t="shared" si="44"/>
        <v>6890</v>
      </c>
      <c r="AN39" s="5">
        <f t="shared" si="44"/>
        <v>8925</v>
      </c>
      <c r="AO39" s="5">
        <f t="shared" si="44"/>
        <v>10121</v>
      </c>
      <c r="AP39" s="5">
        <f t="shared" si="44"/>
        <v>11264</v>
      </c>
      <c r="AQ39" s="5">
        <f t="shared" si="44"/>
        <v>13284</v>
      </c>
      <c r="AR39" s="5">
        <f t="shared" si="44"/>
        <v>21085</v>
      </c>
      <c r="AS39" s="5">
        <f t="shared" si="44"/>
        <v>19027</v>
      </c>
      <c r="AT39" s="5">
        <f t="shared" si="44"/>
        <v>20160</v>
      </c>
      <c r="AU39" s="5">
        <f t="shared" si="44"/>
        <v>21905</v>
      </c>
      <c r="AV39" s="5">
        <f t="shared" si="44"/>
        <v>26330</v>
      </c>
      <c r="AW39" s="5">
        <f t="shared" si="44"/>
        <v>25589</v>
      </c>
      <c r="AX39" s="5">
        <f t="shared" si="44"/>
        <v>25932</v>
      </c>
      <c r="AY39" s="5">
        <f t="shared" si="44"/>
        <v>27205</v>
      </c>
      <c r="AZ39" s="5">
        <f t="shared" si="44"/>
        <v>28237</v>
      </c>
      <c r="BA39" s="5">
        <f t="shared" si="44"/>
        <v>30836</v>
      </c>
      <c r="BB39" s="5">
        <f t="shared" si="44"/>
        <v>32013</v>
      </c>
      <c r="BC39" s="5">
        <f t="shared" si="44"/>
        <v>32370</v>
      </c>
      <c r="BD39" s="5">
        <f t="shared" ref="BD39:BE39" si="45">SUM(BD36:BD38)</f>
        <v>31248</v>
      </c>
      <c r="BE39" s="5">
        <f t="shared" si="45"/>
        <v>32979</v>
      </c>
      <c r="BF39" s="5">
        <f t="shared" ref="BF39:BG39" si="46">SUM(BF36:BF38)</f>
        <v>36949</v>
      </c>
      <c r="BG39" s="5">
        <f t="shared" si="46"/>
        <v>39974</v>
      </c>
      <c r="BH39" s="5">
        <f t="shared" ref="BH39" si="47">SUM(BH36:BH38)</f>
        <v>43978</v>
      </c>
      <c r="BI39" s="5">
        <f t="shared" ref="BI39:BK39" si="48">SUM(BI36:BI38)</f>
        <v>45940</v>
      </c>
      <c r="BJ39" s="5">
        <f t="shared" si="48"/>
        <v>52237</v>
      </c>
      <c r="BK39" s="5">
        <f t="shared" si="48"/>
        <v>57529</v>
      </c>
      <c r="BL39" s="5">
        <f>SUM(BL36:BL38)</f>
        <v>61575</v>
      </c>
      <c r="BM39" s="5"/>
      <c r="BN39" s="5"/>
      <c r="BO39" s="5"/>
      <c r="BP39" s="5"/>
      <c r="BQ39" s="5"/>
      <c r="BR39" s="5"/>
    </row>
    <row r="40" spans="2:128" s="4" customFormat="1" x14ac:dyDescent="0.25">
      <c r="B40" s="4" t="s">
        <v>23</v>
      </c>
      <c r="C40" s="5">
        <f t="shared" ref="C40:D40" si="49">C35-C39</f>
        <v>12686</v>
      </c>
      <c r="D40" s="5">
        <f t="shared" si="49"/>
        <v>13891</v>
      </c>
      <c r="E40" s="5">
        <f t="shared" ref="E40:F40" si="50">E35-E39</f>
        <v>12975</v>
      </c>
      <c r="F40" s="5">
        <f t="shared" si="50"/>
        <v>13407</v>
      </c>
      <c r="G40" s="5">
        <f t="shared" ref="G40:L40" si="51">G35-G39</f>
        <v>15876</v>
      </c>
      <c r="H40" s="5">
        <f t="shared" si="51"/>
        <v>17897</v>
      </c>
      <c r="I40" s="5">
        <f t="shared" si="51"/>
        <v>17048</v>
      </c>
      <c r="J40" s="5">
        <f t="shared" si="51"/>
        <v>19095</v>
      </c>
      <c r="K40" s="5">
        <f t="shared" si="51"/>
        <v>20238</v>
      </c>
      <c r="L40" s="5">
        <f t="shared" si="51"/>
        <v>22247</v>
      </c>
      <c r="M40" s="5">
        <f>M35-M39</f>
        <v>20364</v>
      </c>
      <c r="N40" s="5">
        <f t="shared" ref="N40:O40" si="52">N35-N39</f>
        <v>20534</v>
      </c>
      <c r="O40" s="5">
        <f t="shared" si="52"/>
        <v>21518</v>
      </c>
      <c r="P40" s="5">
        <f>P35-P39</f>
        <v>20399</v>
      </c>
      <c r="Q40" s="5">
        <f>Q35-Q39</f>
        <v>22352</v>
      </c>
      <c r="R40" s="5">
        <f t="shared" ref="R40:U40" si="53">R35-R39</f>
        <v>24254</v>
      </c>
      <c r="S40" s="5">
        <f t="shared" si="53"/>
        <v>26895</v>
      </c>
      <c r="T40" s="5">
        <f t="shared" si="53"/>
        <v>27032</v>
      </c>
      <c r="U40" s="5">
        <f t="shared" si="53"/>
        <v>27581</v>
      </c>
      <c r="V40" s="5">
        <f>V35-V39</f>
        <v>27925</v>
      </c>
      <c r="W40" s="5">
        <f>W35-W39</f>
        <v>30552</v>
      </c>
      <c r="X40" s="5">
        <f>X31*X55</f>
        <v>32090.118289353137</v>
      </c>
      <c r="Y40" s="5">
        <f>Y31*Y55</f>
        <v>32006.296954898527</v>
      </c>
      <c r="Z40" s="5">
        <f>Z31*Z55</f>
        <v>33490.76243977686</v>
      </c>
      <c r="AA40" s="5"/>
      <c r="AB40" s="5"/>
      <c r="AC40" s="5"/>
      <c r="AD40" s="5">
        <f t="shared" ref="AD40:AE40" si="54">AD35-AD39</f>
        <v>393</v>
      </c>
      <c r="AE40" s="5">
        <f t="shared" si="54"/>
        <v>650</v>
      </c>
      <c r="AF40" s="5">
        <f>AF35-AF39</f>
        <v>996</v>
      </c>
      <c r="AG40" s="5">
        <f>AG35-AG39</f>
        <v>1326</v>
      </c>
      <c r="AH40" s="5">
        <f>AH35-AH39</f>
        <v>1726</v>
      </c>
      <c r="AI40" s="5">
        <f>AI35-AI39</f>
        <v>2038</v>
      </c>
      <c r="AJ40" s="5">
        <f>AJ35-AJ39</f>
        <v>3078</v>
      </c>
      <c r="AK40" s="5">
        <f t="shared" ref="AK40" si="55">AK35-AK39</f>
        <v>5130</v>
      </c>
      <c r="AL40" s="5">
        <f t="shared" ref="AL40:BC40" si="56">AL35-AL39</f>
        <v>6940</v>
      </c>
      <c r="AM40" s="5">
        <f t="shared" si="56"/>
        <v>10043</v>
      </c>
      <c r="AN40" s="5">
        <f t="shared" si="56"/>
        <v>11029</v>
      </c>
      <c r="AO40" s="5">
        <f t="shared" si="56"/>
        <v>11720</v>
      </c>
      <c r="AP40" s="5">
        <f t="shared" si="56"/>
        <v>11910</v>
      </c>
      <c r="AQ40" s="5">
        <f t="shared" si="56"/>
        <v>13217</v>
      </c>
      <c r="AR40" s="5">
        <f t="shared" si="56"/>
        <v>9034</v>
      </c>
      <c r="AS40" s="5">
        <f t="shared" si="56"/>
        <v>14561</v>
      </c>
      <c r="AT40" s="5">
        <f t="shared" si="56"/>
        <v>16472</v>
      </c>
      <c r="AU40" s="5">
        <f t="shared" si="56"/>
        <v>18524</v>
      </c>
      <c r="AV40" s="5">
        <f t="shared" si="56"/>
        <v>22492</v>
      </c>
      <c r="AW40" s="5">
        <f t="shared" si="56"/>
        <v>20693</v>
      </c>
      <c r="AX40" s="5">
        <f t="shared" si="56"/>
        <v>24157</v>
      </c>
      <c r="AY40" s="5">
        <f t="shared" si="56"/>
        <v>27161</v>
      </c>
      <c r="AZ40" s="5">
        <f t="shared" si="56"/>
        <v>27956</v>
      </c>
      <c r="BA40" s="5">
        <f t="shared" si="56"/>
        <v>26764</v>
      </c>
      <c r="BB40" s="5">
        <f t="shared" si="56"/>
        <v>27886</v>
      </c>
      <c r="BC40" s="5">
        <f t="shared" si="56"/>
        <v>28172</v>
      </c>
      <c r="BD40" s="5">
        <f t="shared" ref="BD40:BE40" si="57">BD35-BD39</f>
        <v>21292</v>
      </c>
      <c r="BE40" s="5">
        <f t="shared" si="57"/>
        <v>29331</v>
      </c>
      <c r="BF40" s="5">
        <f>BF35-BF39</f>
        <v>35058</v>
      </c>
      <c r="BG40" s="5">
        <f t="shared" ref="BG40" si="58">BG35-BG39</f>
        <v>42959</v>
      </c>
      <c r="BH40" s="5">
        <f t="shared" ref="BH40" si="59">BH35-BH39</f>
        <v>52959</v>
      </c>
      <c r="BI40" s="5">
        <f t="shared" ref="BI40:BK40" si="60">BI35-BI39</f>
        <v>69916</v>
      </c>
      <c r="BJ40" s="5">
        <f t="shared" si="60"/>
        <v>83383</v>
      </c>
      <c r="BK40" s="5">
        <f t="shared" si="60"/>
        <v>88523</v>
      </c>
      <c r="BL40" s="5">
        <f>BL35-BL39</f>
        <v>109433</v>
      </c>
      <c r="BM40" s="5">
        <f>SUM(W40:Z40)</f>
        <v>128139.17768402852</v>
      </c>
      <c r="BN40" s="5">
        <f>BN31*BN55</f>
        <v>142483.94544953527</v>
      </c>
      <c r="BO40" s="5">
        <f>BO31*BO55</f>
        <v>160158.33032021037</v>
      </c>
      <c r="BP40" s="5">
        <f>BP31*BP55</f>
        <v>180335.94464361653</v>
      </c>
      <c r="BQ40" s="5">
        <f>BQ31*BQ55</f>
        <v>203386.35570654864</v>
      </c>
      <c r="BR40" s="5">
        <f>BR31*BR55</f>
        <v>229734.32920357617</v>
      </c>
    </row>
    <row r="41" spans="2:128" x14ac:dyDescent="0.25">
      <c r="B41" s="4" t="s">
        <v>27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v>-854</v>
      </c>
      <c r="V41" s="4">
        <v>-675</v>
      </c>
      <c r="W41" s="4">
        <v>-283</v>
      </c>
      <c r="X41" s="4">
        <v>300</v>
      </c>
      <c r="Y41" s="4">
        <v>300</v>
      </c>
      <c r="Z41" s="4">
        <v>300</v>
      </c>
      <c r="AA41" s="4"/>
      <c r="AB41" s="4"/>
      <c r="AD41">
        <f>31-14</f>
        <v>17</v>
      </c>
      <c r="AE41">
        <f>37-16</f>
        <v>21</v>
      </c>
      <c r="AF41">
        <f>56-11</f>
        <v>45</v>
      </c>
      <c r="AG41">
        <f>82-7</f>
        <v>75</v>
      </c>
      <c r="AH41">
        <f>102-16</f>
        <v>86</v>
      </c>
      <c r="AI41">
        <f>191-16</f>
        <v>175</v>
      </c>
      <c r="AJ41">
        <f>320-19</f>
        <v>301</v>
      </c>
      <c r="AK41">
        <f>443-259</f>
        <v>184</v>
      </c>
      <c r="AL41">
        <f>703-230</f>
        <v>473</v>
      </c>
      <c r="AM41" s="4">
        <f>1803-115</f>
        <v>1688</v>
      </c>
      <c r="AN41" s="4">
        <f>3182-92</f>
        <v>3090</v>
      </c>
      <c r="AO41" s="4">
        <v>-36</v>
      </c>
      <c r="AP41" s="4">
        <v>-305</v>
      </c>
      <c r="AQ41" s="4">
        <v>1577</v>
      </c>
      <c r="AR41" s="4">
        <v>3187</v>
      </c>
      <c r="AS41" s="4">
        <v>2067</v>
      </c>
      <c r="AT41" s="4">
        <v>1790</v>
      </c>
      <c r="AU41" s="4">
        <v>1577</v>
      </c>
      <c r="AV41" s="4">
        <v>1322</v>
      </c>
      <c r="AW41" s="4">
        <v>-542</v>
      </c>
      <c r="AX41" s="4">
        <v>915</v>
      </c>
      <c r="AY41" s="4">
        <v>910</v>
      </c>
      <c r="AZ41" s="4">
        <v>504</v>
      </c>
      <c r="BA41" s="4">
        <v>288</v>
      </c>
      <c r="BB41" s="4">
        <v>61</v>
      </c>
      <c r="BC41" s="4">
        <v>346</v>
      </c>
      <c r="BD41" s="4">
        <v>-431</v>
      </c>
      <c r="BE41" s="4">
        <v>876</v>
      </c>
      <c r="BF41" s="4">
        <v>1416</v>
      </c>
      <c r="BG41" s="4">
        <v>729</v>
      </c>
      <c r="BH41" s="2">
        <v>77</v>
      </c>
      <c r="BI41" s="5">
        <f>SUM(G41:J41)</f>
        <v>1186</v>
      </c>
      <c r="BJ41" s="5">
        <f t="shared" ref="BJ41" si="61">SUM(K41:N41)</f>
        <v>333</v>
      </c>
      <c r="BK41" s="5">
        <f t="shared" ref="BK41:BR41" si="62">+BJ61*$BU$49</f>
        <v>1237.3399999999999</v>
      </c>
      <c r="BL41" s="5">
        <f>SUM(S41:V41)</f>
        <v>-1646</v>
      </c>
      <c r="BM41" s="5">
        <f>SUM(W41:Z41)</f>
        <v>617</v>
      </c>
      <c r="BN41" s="5">
        <f t="shared" si="62"/>
        <v>6639.4248492632178</v>
      </c>
      <c r="BO41" s="5">
        <f t="shared" si="62"/>
        <v>9174.5221443427927</v>
      </c>
      <c r="BP41" s="5">
        <f t="shared" si="62"/>
        <v>12053.180636240197</v>
      </c>
      <c r="BQ41" s="5">
        <f t="shared" si="62"/>
        <v>15323.795765997764</v>
      </c>
      <c r="BR41" s="5">
        <f t="shared" si="62"/>
        <v>19041.868341031051</v>
      </c>
    </row>
    <row r="42" spans="2:128" x14ac:dyDescent="0.25">
      <c r="B42" s="4" t="s">
        <v>28</v>
      </c>
      <c r="C42" s="5">
        <f t="shared" ref="C42:D42" si="63">C40+C41</f>
        <v>12686</v>
      </c>
      <c r="D42" s="5">
        <f t="shared" si="63"/>
        <v>14085</v>
      </c>
      <c r="E42" s="5">
        <f t="shared" ref="E42:F42" si="64">E40+E41</f>
        <v>12843</v>
      </c>
      <c r="F42" s="5">
        <f t="shared" si="64"/>
        <v>13422</v>
      </c>
      <c r="G42" s="5">
        <f>G40+G41</f>
        <v>16124</v>
      </c>
      <c r="H42" s="5">
        <f t="shared" ref="H42:W42" si="65">H40+H41</f>
        <v>18337</v>
      </c>
      <c r="I42" s="5">
        <f t="shared" si="65"/>
        <v>17236</v>
      </c>
      <c r="J42" s="5">
        <f t="shared" si="65"/>
        <v>19405</v>
      </c>
      <c r="K42" s="5">
        <f t="shared" si="65"/>
        <v>20524</v>
      </c>
      <c r="L42" s="5">
        <f t="shared" si="65"/>
        <v>22515</v>
      </c>
      <c r="M42" s="5">
        <f t="shared" si="65"/>
        <v>20190</v>
      </c>
      <c r="N42" s="5">
        <f t="shared" si="65"/>
        <v>20487</v>
      </c>
      <c r="O42" s="5">
        <f t="shared" si="65"/>
        <v>21572</v>
      </c>
      <c r="P42" s="5">
        <f t="shared" si="65"/>
        <v>20339</v>
      </c>
      <c r="Q42" s="5">
        <f t="shared" si="65"/>
        <v>22673</v>
      </c>
      <c r="R42" s="5">
        <f t="shared" si="65"/>
        <v>24727</v>
      </c>
      <c r="S42" s="5">
        <f t="shared" si="65"/>
        <v>27284</v>
      </c>
      <c r="T42" s="5">
        <f t="shared" si="65"/>
        <v>26526</v>
      </c>
      <c r="U42" s="5">
        <f t="shared" si="65"/>
        <v>26727</v>
      </c>
      <c r="V42" s="5">
        <f t="shared" si="65"/>
        <v>27250</v>
      </c>
      <c r="W42" s="5">
        <f t="shared" si="65"/>
        <v>30269</v>
      </c>
      <c r="X42" s="5"/>
      <c r="Y42" s="5"/>
      <c r="Z42" s="5"/>
      <c r="AA42" s="5"/>
      <c r="AB42" s="4"/>
      <c r="AD42" s="4">
        <f t="shared" ref="AD42:AE42" si="66">AD41+AD40</f>
        <v>410</v>
      </c>
      <c r="AE42" s="4">
        <f t="shared" si="66"/>
        <v>671</v>
      </c>
      <c r="AF42" s="4">
        <f>AF41+AF40</f>
        <v>1041</v>
      </c>
      <c r="AG42" s="4">
        <f>AG41+AG40</f>
        <v>1401</v>
      </c>
      <c r="AH42" s="4">
        <f>AH41+AH40</f>
        <v>1812</v>
      </c>
      <c r="AI42" s="4">
        <f>AI41+AI40</f>
        <v>2213</v>
      </c>
      <c r="AJ42" s="4">
        <f>AJ41+AJ40</f>
        <v>3379</v>
      </c>
      <c r="AK42" s="4">
        <f t="shared" ref="AK42" si="67">AK41+AK40</f>
        <v>5314</v>
      </c>
      <c r="AL42" s="4">
        <f t="shared" ref="AL42:BC42" si="68">AL41+AL40</f>
        <v>7413</v>
      </c>
      <c r="AM42" s="4">
        <f t="shared" si="68"/>
        <v>11731</v>
      </c>
      <c r="AN42" s="4">
        <f t="shared" si="68"/>
        <v>14119</v>
      </c>
      <c r="AO42" s="4">
        <f t="shared" si="68"/>
        <v>11684</v>
      </c>
      <c r="AP42" s="4">
        <f t="shared" si="68"/>
        <v>11605</v>
      </c>
      <c r="AQ42" s="4">
        <f t="shared" si="68"/>
        <v>14794</v>
      </c>
      <c r="AR42" s="4">
        <f t="shared" si="68"/>
        <v>12221</v>
      </c>
      <c r="AS42" s="4">
        <f t="shared" si="68"/>
        <v>16628</v>
      </c>
      <c r="AT42" s="4">
        <f t="shared" si="68"/>
        <v>18262</v>
      </c>
      <c r="AU42" s="4">
        <f t="shared" si="68"/>
        <v>20101</v>
      </c>
      <c r="AV42" s="4">
        <f t="shared" si="68"/>
        <v>23814</v>
      </c>
      <c r="AW42" s="4">
        <f t="shared" si="68"/>
        <v>20151</v>
      </c>
      <c r="AX42" s="4">
        <f t="shared" si="68"/>
        <v>25072</v>
      </c>
      <c r="AY42" s="4">
        <f t="shared" si="68"/>
        <v>28071</v>
      </c>
      <c r="AZ42" s="4">
        <f t="shared" si="68"/>
        <v>28460</v>
      </c>
      <c r="BA42" s="4">
        <f t="shared" si="68"/>
        <v>27052</v>
      </c>
      <c r="BB42" s="4">
        <f t="shared" si="68"/>
        <v>27947</v>
      </c>
      <c r="BC42" s="4">
        <f t="shared" si="68"/>
        <v>28518</v>
      </c>
      <c r="BD42" s="4">
        <f>+BD40+BD41</f>
        <v>20861</v>
      </c>
      <c r="BE42" s="4">
        <f>+BE40+BE41</f>
        <v>30207</v>
      </c>
      <c r="BF42" s="4">
        <f>+BF40+BF41</f>
        <v>36474</v>
      </c>
      <c r="BG42" s="4">
        <f>+BG40+BG41</f>
        <v>43688</v>
      </c>
      <c r="BH42" s="5">
        <f>+BH40+BH41</f>
        <v>53036</v>
      </c>
      <c r="BI42" s="5">
        <f t="shared" ref="BI42:BK42" si="69">+BI40+BI41</f>
        <v>71102</v>
      </c>
      <c r="BJ42" s="5">
        <f t="shared" si="69"/>
        <v>83716</v>
      </c>
      <c r="BK42" s="5">
        <f t="shared" si="69"/>
        <v>89760.34</v>
      </c>
      <c r="BL42" s="5">
        <f t="shared" ref="BL42" si="70">+BL40+BL41</f>
        <v>107787</v>
      </c>
      <c r="BM42" s="5">
        <f>+BM40+BM41</f>
        <v>128756.17768402852</v>
      </c>
      <c r="BN42" s="5">
        <f t="shared" ref="BN42" si="71">+BN40+BN41</f>
        <v>149123.37029879849</v>
      </c>
      <c r="BO42" s="5">
        <f t="shared" ref="BO42" si="72">+BO40+BO41</f>
        <v>169332.85246455317</v>
      </c>
      <c r="BP42" s="5">
        <f t="shared" ref="BP42" si="73">+BP40+BP41</f>
        <v>192389.12527985673</v>
      </c>
      <c r="BQ42" s="5">
        <f t="shared" ref="BQ42" si="74">+BQ40+BQ41</f>
        <v>218710.15147254639</v>
      </c>
      <c r="BR42" s="5">
        <f t="shared" ref="BR42" si="75">+BR40+BR41</f>
        <v>248776.19754460722</v>
      </c>
    </row>
    <row r="43" spans="2:128" s="4" customFormat="1" x14ac:dyDescent="0.25">
      <c r="B43" s="4" t="s">
        <v>29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v>4788</v>
      </c>
      <c r="V43" s="4">
        <v>5214</v>
      </c>
      <c r="W43" s="4">
        <v>5602</v>
      </c>
      <c r="X43" s="4">
        <f>X40*X56</f>
        <v>5748.7741373675617</v>
      </c>
      <c r="Y43" s="4">
        <f>Y40*Y56</f>
        <v>5733.7579907978507</v>
      </c>
      <c r="Z43" s="4">
        <f>Z40*Z56</f>
        <v>5999.6920927021965</v>
      </c>
      <c r="AD43" s="4">
        <v>131</v>
      </c>
      <c r="AE43" s="4">
        <v>208</v>
      </c>
      <c r="AF43" s="4">
        <v>333</v>
      </c>
      <c r="AG43" s="4">
        <v>448</v>
      </c>
      <c r="AH43" s="4">
        <v>576</v>
      </c>
      <c r="AI43" s="4">
        <v>714</v>
      </c>
      <c r="AJ43" s="4">
        <v>1184</v>
      </c>
      <c r="AK43" s="4">
        <v>1860</v>
      </c>
      <c r="AL43" s="4">
        <f>2627+28</f>
        <v>2655</v>
      </c>
      <c r="AM43" s="4">
        <v>4106</v>
      </c>
      <c r="AN43" s="4">
        <v>4854</v>
      </c>
      <c r="AO43" s="4">
        <v>3804</v>
      </c>
      <c r="AP43" s="4">
        <v>3684</v>
      </c>
      <c r="AQ43" s="4">
        <v>4733</v>
      </c>
      <c r="AR43" s="4">
        <v>4028</v>
      </c>
      <c r="AS43" s="4">
        <v>4374</v>
      </c>
      <c r="AT43" s="4">
        <v>5663</v>
      </c>
      <c r="AU43" s="4">
        <v>6036</v>
      </c>
      <c r="AV43" s="4">
        <v>6133</v>
      </c>
      <c r="AW43" s="4">
        <v>5252</v>
      </c>
      <c r="AX43" s="4">
        <v>6253</v>
      </c>
      <c r="AY43" s="4">
        <v>4921</v>
      </c>
      <c r="AZ43" s="4">
        <v>5289</v>
      </c>
      <c r="BA43" s="4">
        <v>5189</v>
      </c>
      <c r="BB43" s="4">
        <v>5746</v>
      </c>
      <c r="BC43" s="4">
        <v>6314</v>
      </c>
      <c r="BD43" s="4">
        <v>2953</v>
      </c>
      <c r="BE43" s="4">
        <v>4412</v>
      </c>
      <c r="BF43" s="4">
        <v>19903</v>
      </c>
      <c r="BG43" s="4">
        <v>4448</v>
      </c>
      <c r="BH43" s="5">
        <v>8755</v>
      </c>
      <c r="BI43" s="5">
        <f>SUM(G43:J43)</f>
        <v>9831</v>
      </c>
      <c r="BJ43" s="5">
        <f t="shared" ref="BJ43" si="76">SUM(K43:N43)</f>
        <v>10978</v>
      </c>
      <c r="BK43" s="5">
        <f>+BK42*0.15</f>
        <v>13464.050999999999</v>
      </c>
      <c r="BL43" s="5">
        <f>SUM(S43:V43)</f>
        <v>19651</v>
      </c>
      <c r="BM43" s="5">
        <f>SUM(W43:Z43)</f>
        <v>23084.224220867607</v>
      </c>
      <c r="BN43" s="5">
        <f t="shared" ref="BN43:BR43" si="77">+BN42*0.15</f>
        <v>22368.505544819771</v>
      </c>
      <c r="BO43" s="5">
        <f t="shared" si="77"/>
        <v>25399.927869682975</v>
      </c>
      <c r="BP43" s="5">
        <f t="shared" si="77"/>
        <v>28858.368791978508</v>
      </c>
      <c r="BQ43" s="5">
        <f t="shared" si="77"/>
        <v>32806.522720881956</v>
      </c>
      <c r="BR43" s="5">
        <f t="shared" si="77"/>
        <v>37316.429631691084</v>
      </c>
    </row>
    <row r="44" spans="2:128" s="4" customFormat="1" x14ac:dyDescent="0.25">
      <c r="B44" s="4" t="s">
        <v>30</v>
      </c>
      <c r="C44" s="5">
        <f t="shared" ref="C44:D44" si="78">C42-C43</f>
        <v>10678</v>
      </c>
      <c r="D44" s="5">
        <f t="shared" si="78"/>
        <v>11649</v>
      </c>
      <c r="E44" s="5">
        <f t="shared" ref="E44:F44" si="79">E42-E43</f>
        <v>10752</v>
      </c>
      <c r="F44" s="5">
        <f t="shared" si="79"/>
        <v>11202</v>
      </c>
      <c r="G44" s="5">
        <f>G42-G43</f>
        <v>13893</v>
      </c>
      <c r="H44" s="5">
        <f t="shared" ref="H44:V44" si="80">H42-H43</f>
        <v>15463</v>
      </c>
      <c r="I44" s="5">
        <f t="shared" si="80"/>
        <v>15457</v>
      </c>
      <c r="J44" s="5">
        <f t="shared" si="80"/>
        <v>16458</v>
      </c>
      <c r="K44" s="5">
        <f t="shared" si="80"/>
        <v>20505</v>
      </c>
      <c r="L44" s="5">
        <f t="shared" si="80"/>
        <v>18765</v>
      </c>
      <c r="M44" s="5">
        <f t="shared" si="80"/>
        <v>16728</v>
      </c>
      <c r="N44" s="5">
        <f t="shared" si="80"/>
        <v>16740</v>
      </c>
      <c r="O44" s="5">
        <f t="shared" si="80"/>
        <v>17556</v>
      </c>
      <c r="P44" s="5">
        <f t="shared" si="80"/>
        <v>16425</v>
      </c>
      <c r="Q44" s="5">
        <f>Q42-Q43</f>
        <v>18299</v>
      </c>
      <c r="R44" s="5">
        <f t="shared" si="80"/>
        <v>20081</v>
      </c>
      <c r="S44" s="5">
        <f t="shared" si="80"/>
        <v>22291</v>
      </c>
      <c r="T44" s="5">
        <f t="shared" si="80"/>
        <v>21870</v>
      </c>
      <c r="U44" s="5">
        <f t="shared" si="80"/>
        <v>21939</v>
      </c>
      <c r="V44" s="5">
        <f t="shared" si="80"/>
        <v>22036</v>
      </c>
      <c r="W44" s="5">
        <f>W42-W43</f>
        <v>24667</v>
      </c>
      <c r="X44" s="5">
        <f>X40-X43</f>
        <v>26341.344151985577</v>
      </c>
      <c r="Y44" s="5">
        <f>Y40-Y43</f>
        <v>26272.538964100677</v>
      </c>
      <c r="Z44" s="5">
        <f>Z40-Z43</f>
        <v>27491.070347074663</v>
      </c>
      <c r="AA44" s="5"/>
      <c r="AD44" s="4">
        <f t="shared" ref="AD44:AE44" si="81">AD42-AD43</f>
        <v>279</v>
      </c>
      <c r="AE44" s="4">
        <f t="shared" si="81"/>
        <v>463</v>
      </c>
      <c r="AF44" s="4">
        <f>AF42-AF43</f>
        <v>708</v>
      </c>
      <c r="AG44" s="4">
        <f>AG42-AG43</f>
        <v>953</v>
      </c>
      <c r="AH44" s="4">
        <f>AH42-AH43</f>
        <v>1236</v>
      </c>
      <c r="AI44" s="4">
        <f>AI42-AI43</f>
        <v>1499</v>
      </c>
      <c r="AJ44" s="4">
        <f>AJ42-AJ43</f>
        <v>2195</v>
      </c>
      <c r="AK44" s="4">
        <f t="shared" ref="AK44" si="82">AK42-AK43</f>
        <v>3454</v>
      </c>
      <c r="AL44" s="4">
        <f t="shared" ref="AL44:BC44" si="83">AL42-AL43</f>
        <v>4758</v>
      </c>
      <c r="AM44" s="4">
        <f t="shared" si="83"/>
        <v>7625</v>
      </c>
      <c r="AN44" s="4">
        <f t="shared" si="83"/>
        <v>9265</v>
      </c>
      <c r="AO44" s="4">
        <f t="shared" si="83"/>
        <v>7880</v>
      </c>
      <c r="AP44" s="4">
        <f t="shared" si="83"/>
        <v>7921</v>
      </c>
      <c r="AQ44" s="4">
        <f t="shared" si="83"/>
        <v>10061</v>
      </c>
      <c r="AR44" s="4">
        <f t="shared" si="83"/>
        <v>8193</v>
      </c>
      <c r="AS44" s="4">
        <f t="shared" si="83"/>
        <v>12254</v>
      </c>
      <c r="AT44" s="4">
        <f t="shared" si="83"/>
        <v>12599</v>
      </c>
      <c r="AU44" s="4">
        <f t="shared" si="83"/>
        <v>14065</v>
      </c>
      <c r="AV44" s="4">
        <f t="shared" si="83"/>
        <v>17681</v>
      </c>
      <c r="AW44" s="4">
        <f t="shared" si="83"/>
        <v>14899</v>
      </c>
      <c r="AX44" s="4">
        <f t="shared" si="83"/>
        <v>18819</v>
      </c>
      <c r="AY44" s="4">
        <f t="shared" si="83"/>
        <v>23150</v>
      </c>
      <c r="AZ44" s="4">
        <f t="shared" si="83"/>
        <v>23171</v>
      </c>
      <c r="BA44" s="4">
        <f t="shared" si="83"/>
        <v>21863</v>
      </c>
      <c r="BB44" s="4">
        <f t="shared" si="83"/>
        <v>22201</v>
      </c>
      <c r="BC44" s="4">
        <f t="shared" si="83"/>
        <v>22204</v>
      </c>
      <c r="BD44" s="4">
        <f>+BD42-BD43</f>
        <v>17908</v>
      </c>
      <c r="BE44" s="4">
        <f>+BE42-BE43</f>
        <v>25795</v>
      </c>
      <c r="BF44" s="4">
        <f>+BF42-BF43</f>
        <v>16571</v>
      </c>
      <c r="BG44" s="4">
        <f>+BG42-BG43</f>
        <v>39240</v>
      </c>
      <c r="BH44" s="4">
        <f>+BH42-BH43</f>
        <v>44281</v>
      </c>
      <c r="BI44" s="4">
        <f t="shared" ref="BI44:BK44" si="84">+BI42-BI43</f>
        <v>61271</v>
      </c>
      <c r="BJ44" s="4">
        <f t="shared" si="84"/>
        <v>72738</v>
      </c>
      <c r="BK44" s="4">
        <f t="shared" si="84"/>
        <v>76296.28899999999</v>
      </c>
      <c r="BL44" s="4">
        <f t="shared" ref="BL44" si="85">+BL42-BL43</f>
        <v>88136</v>
      </c>
      <c r="BM44" s="4">
        <f>+BM42-BM43</f>
        <v>105671.95346316091</v>
      </c>
      <c r="BN44" s="4">
        <f t="shared" ref="BN44" si="86">+BN42-BN43</f>
        <v>126754.86475397872</v>
      </c>
      <c r="BO44" s="4">
        <f t="shared" ref="BO44" si="87">+BO42-BO43</f>
        <v>143932.92459487019</v>
      </c>
      <c r="BP44" s="4">
        <f t="shared" ref="BP44" si="88">+BP42-BP43</f>
        <v>163530.75648787821</v>
      </c>
      <c r="BQ44" s="4">
        <f t="shared" ref="BQ44" si="89">+BQ42-BQ43</f>
        <v>185903.62875166442</v>
      </c>
      <c r="BR44" s="4">
        <f>+BR42-BR43</f>
        <v>211459.76791291614</v>
      </c>
      <c r="BS44" s="4">
        <f>+BR44*(1+$BU$47)</f>
        <v>209345.17023378698</v>
      </c>
      <c r="BT44" s="4">
        <f>+BS44*(1+$BU$47)</f>
        <v>207251.71853144912</v>
      </c>
      <c r="BU44" s="4">
        <f t="shared" ref="BU44:DX44" si="90">+BT44*(1+$BU$47)</f>
        <v>205179.20134613462</v>
      </c>
      <c r="BV44" s="4">
        <f t="shared" si="90"/>
        <v>203127.40933267327</v>
      </c>
      <c r="BW44" s="4">
        <f t="shared" si="90"/>
        <v>201096.13523934653</v>
      </c>
      <c r="BX44" s="4">
        <f t="shared" si="90"/>
        <v>199085.17388695307</v>
      </c>
      <c r="BY44" s="4">
        <f t="shared" si="90"/>
        <v>197094.32214808353</v>
      </c>
      <c r="BZ44" s="4">
        <f t="shared" si="90"/>
        <v>195123.37892660269</v>
      </c>
      <c r="CA44" s="4">
        <f t="shared" si="90"/>
        <v>193172.14513733666</v>
      </c>
      <c r="CB44" s="4">
        <f t="shared" si="90"/>
        <v>191240.42368596329</v>
      </c>
      <c r="CC44" s="4">
        <f t="shared" si="90"/>
        <v>189328.01944910365</v>
      </c>
      <c r="CD44" s="4">
        <f t="shared" si="90"/>
        <v>187434.73925461262</v>
      </c>
      <c r="CE44" s="4">
        <f t="shared" si="90"/>
        <v>185560.39186206649</v>
      </c>
      <c r="CF44" s="4">
        <f t="shared" si="90"/>
        <v>183704.78794344582</v>
      </c>
      <c r="CG44" s="4">
        <f t="shared" si="90"/>
        <v>181867.74006401136</v>
      </c>
      <c r="CH44" s="4">
        <f t="shared" si="90"/>
        <v>180049.06266337124</v>
      </c>
      <c r="CI44" s="4">
        <f t="shared" si="90"/>
        <v>178248.57203673752</v>
      </c>
      <c r="CJ44" s="4">
        <f t="shared" si="90"/>
        <v>176466.08631637014</v>
      </c>
      <c r="CK44" s="4">
        <f t="shared" si="90"/>
        <v>174701.42545320644</v>
      </c>
      <c r="CL44" s="4">
        <f t="shared" si="90"/>
        <v>172954.41119867438</v>
      </c>
      <c r="CM44" s="4">
        <f t="shared" si="90"/>
        <v>171224.86708668765</v>
      </c>
      <c r="CN44" s="4">
        <f t="shared" si="90"/>
        <v>169512.61841582076</v>
      </c>
      <c r="CO44" s="4">
        <f t="shared" si="90"/>
        <v>167817.49223166256</v>
      </c>
      <c r="CP44" s="4">
        <f t="shared" si="90"/>
        <v>166139.31730934593</v>
      </c>
      <c r="CQ44" s="4">
        <f t="shared" si="90"/>
        <v>164477.92413625246</v>
      </c>
      <c r="CR44" s="4">
        <f t="shared" si="90"/>
        <v>162833.14489488993</v>
      </c>
      <c r="CS44" s="4">
        <f t="shared" si="90"/>
        <v>161204.81344594102</v>
      </c>
      <c r="CT44" s="4">
        <f t="shared" si="90"/>
        <v>159592.76531148161</v>
      </c>
      <c r="CU44" s="4">
        <f t="shared" si="90"/>
        <v>157996.8376583668</v>
      </c>
      <c r="CV44" s="4">
        <f t="shared" si="90"/>
        <v>156416.86928178312</v>
      </c>
      <c r="CW44" s="4">
        <f t="shared" si="90"/>
        <v>154852.70058896529</v>
      </c>
      <c r="CX44" s="4">
        <f t="shared" si="90"/>
        <v>153304.17358307564</v>
      </c>
      <c r="CY44" s="4">
        <f t="shared" si="90"/>
        <v>151771.13184724489</v>
      </c>
      <c r="CZ44" s="4">
        <f t="shared" si="90"/>
        <v>150253.42052877243</v>
      </c>
      <c r="DA44" s="4">
        <f t="shared" si="90"/>
        <v>148750.88632348471</v>
      </c>
      <c r="DB44" s="4">
        <f t="shared" si="90"/>
        <v>147263.37746024987</v>
      </c>
      <c r="DC44" s="4">
        <f t="shared" si="90"/>
        <v>145790.74368564738</v>
      </c>
      <c r="DD44" s="4">
        <f t="shared" si="90"/>
        <v>144332.8362487909</v>
      </c>
      <c r="DE44" s="4">
        <f t="shared" si="90"/>
        <v>142889.50788630301</v>
      </c>
      <c r="DF44" s="4">
        <f t="shared" si="90"/>
        <v>141460.61280743999</v>
      </c>
      <c r="DG44" s="4">
        <f t="shared" si="90"/>
        <v>140046.00667936559</v>
      </c>
      <c r="DH44" s="4">
        <f t="shared" si="90"/>
        <v>138645.54661257192</v>
      </c>
      <c r="DI44" s="4">
        <f t="shared" si="90"/>
        <v>137259.09114644621</v>
      </c>
      <c r="DJ44" s="4">
        <f t="shared" si="90"/>
        <v>135886.50023498174</v>
      </c>
      <c r="DK44" s="4">
        <f t="shared" si="90"/>
        <v>134527.63523263193</v>
      </c>
      <c r="DL44" s="4">
        <f t="shared" si="90"/>
        <v>133182.3588803056</v>
      </c>
      <c r="DM44" s="4">
        <f t="shared" si="90"/>
        <v>131850.53529150254</v>
      </c>
      <c r="DN44" s="4">
        <f t="shared" si="90"/>
        <v>130532.02993858751</v>
      </c>
      <c r="DO44" s="4">
        <f t="shared" si="90"/>
        <v>129226.70963920164</v>
      </c>
      <c r="DP44" s="4">
        <f t="shared" si="90"/>
        <v>127934.44254280961</v>
      </c>
      <c r="DQ44" s="4">
        <f t="shared" si="90"/>
        <v>126655.09811738152</v>
      </c>
      <c r="DR44" s="4">
        <f t="shared" si="90"/>
        <v>125388.54713620771</v>
      </c>
      <c r="DS44" s="4">
        <f t="shared" si="90"/>
        <v>124134.66166484563</v>
      </c>
      <c r="DT44" s="4">
        <f t="shared" si="90"/>
        <v>122893.31504819717</v>
      </c>
      <c r="DU44" s="4">
        <f t="shared" si="90"/>
        <v>121664.3818977152</v>
      </c>
      <c r="DV44" s="4">
        <f t="shared" si="90"/>
        <v>120447.73807873804</v>
      </c>
      <c r="DW44" s="4">
        <f t="shared" si="90"/>
        <v>119243.26069795065</v>
      </c>
      <c r="DX44" s="4">
        <f t="shared" si="90"/>
        <v>118050.82809097115</v>
      </c>
    </row>
    <row r="45" spans="2:128" s="3" customFormat="1" x14ac:dyDescent="0.25">
      <c r="B45" s="6" t="s">
        <v>32</v>
      </c>
      <c r="C45" s="8">
        <f t="shared" ref="C45:D45" si="91">C44/C46</f>
        <v>1.3849546044098573</v>
      </c>
      <c r="D45" s="8">
        <f t="shared" si="91"/>
        <v>1.5146274866727343</v>
      </c>
      <c r="E45" s="8">
        <f t="shared" ref="E45:F45" si="92">E44/E46</f>
        <v>1.4009120521172638</v>
      </c>
      <c r="F45" s="8">
        <f t="shared" si="92"/>
        <v>1.4643137254901961</v>
      </c>
      <c r="G45" s="8">
        <f t="shared" ref="G45:L45" si="93">G44/G46</f>
        <v>1.8191698310855047</v>
      </c>
      <c r="H45" s="8">
        <f t="shared" si="93"/>
        <v>2.0303308823529411</v>
      </c>
      <c r="I45" s="8">
        <f t="shared" si="93"/>
        <v>2.0346189285244174</v>
      </c>
      <c r="J45" s="8">
        <f t="shared" si="93"/>
        <v>2.1709537000395724</v>
      </c>
      <c r="K45" s="8">
        <f t="shared" si="93"/>
        <v>2.7097925201532971</v>
      </c>
      <c r="L45" s="8">
        <f t="shared" si="93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W45" si="94">P44/P46</f>
        <v>2.1979124849458049</v>
      </c>
      <c r="Q45" s="8">
        <f>Q44/Q46</f>
        <v>2.4516345123258305</v>
      </c>
      <c r="R45" s="8">
        <f t="shared" si="94"/>
        <v>2.6892995848399623</v>
      </c>
      <c r="S45" s="8">
        <f t="shared" si="94"/>
        <v>2.9872688287322435</v>
      </c>
      <c r="T45" s="8">
        <f t="shared" si="94"/>
        <v>2.9284949116229244</v>
      </c>
      <c r="U45" s="8">
        <f t="shared" si="94"/>
        <v>2.936161670235546</v>
      </c>
      <c r="V45" s="8">
        <f t="shared" si="94"/>
        <v>2.9503280224929709</v>
      </c>
      <c r="W45" s="7">
        <f t="shared" si="94"/>
        <v>3.3021419009370816</v>
      </c>
      <c r="X45" s="7"/>
      <c r="Y45" s="7"/>
      <c r="Z45" s="7"/>
      <c r="AA45" s="7"/>
      <c r="AB45" s="6"/>
      <c r="AD45" s="11">
        <f t="shared" ref="AD45:AE45" si="95">AD44/AD46</f>
        <v>0.51955307262569828</v>
      </c>
      <c r="AE45" s="11">
        <f t="shared" si="95"/>
        <v>0.82238010657193605</v>
      </c>
      <c r="AF45" s="11">
        <f>AF44/AF46</f>
        <v>1.2040816326530612</v>
      </c>
      <c r="AG45" s="11">
        <f>AG44/AG46</f>
        <v>1.5726072607260726</v>
      </c>
      <c r="AH45" s="11">
        <f>AH44/AH46</f>
        <v>2.0262295081967214</v>
      </c>
      <c r="AI45" s="11">
        <f>AI44/AI46</f>
        <v>2.3907496012759171</v>
      </c>
      <c r="AJ45" s="11">
        <f>AJ44/AJ46</f>
        <v>3.4296875</v>
      </c>
      <c r="AK45" s="11">
        <f t="shared" ref="AK45" si="96">AK44/AK46</f>
        <v>2.6326219512195124</v>
      </c>
      <c r="AL45" s="11">
        <f t="shared" ref="AL45:BC45" si="97">AL44/AL46</f>
        <v>1.7747109287579261</v>
      </c>
      <c r="AM45" s="11">
        <f t="shared" si="97"/>
        <v>1.4924642787238207</v>
      </c>
      <c r="AN45" s="11">
        <f t="shared" si="97"/>
        <v>1.7537384062085937</v>
      </c>
      <c r="AO45" s="11">
        <f t="shared" si="97"/>
        <v>1.4137064944384643</v>
      </c>
      <c r="AP45" s="11">
        <f t="shared" si="97"/>
        <v>1.4264361606338916</v>
      </c>
      <c r="AQ45" s="11">
        <f t="shared" si="97"/>
        <v>0.92455430986950926</v>
      </c>
      <c r="AR45" s="11">
        <f t="shared" si="97"/>
        <v>0.75206535707729028</v>
      </c>
      <c r="AS45" s="11">
        <f t="shared" si="97"/>
        <v>1.123601687144691</v>
      </c>
      <c r="AT45" s="11">
        <f t="shared" si="97"/>
        <v>1.1963726141866868</v>
      </c>
      <c r="AU45" s="11">
        <f t="shared" si="97"/>
        <v>1.4227189965607931</v>
      </c>
      <c r="AV45" s="11">
        <f t="shared" si="97"/>
        <v>1.867053854276663</v>
      </c>
      <c r="AW45" s="11">
        <f t="shared" si="97"/>
        <v>1.6561805246776344</v>
      </c>
      <c r="AX45" s="11">
        <f t="shared" si="97"/>
        <v>2.1080990254284755</v>
      </c>
      <c r="AY45" s="11">
        <f t="shared" si="97"/>
        <v>2.6940532991970207</v>
      </c>
      <c r="AZ45" s="11">
        <f t="shared" si="97"/>
        <v>2.724077122031507</v>
      </c>
      <c r="BA45" s="11">
        <f t="shared" si="97"/>
        <v>2.581227863046045</v>
      </c>
      <c r="BB45" s="11">
        <f t="shared" si="97"/>
        <v>2.6432908679604714</v>
      </c>
      <c r="BC45" s="11">
        <f t="shared" si="97"/>
        <v>2.6900896535013326</v>
      </c>
      <c r="BD45" s="11">
        <f>+BD44/BD46</f>
        <v>2.2348683389492074</v>
      </c>
      <c r="BE45" s="11">
        <f>+BE44/BE46</f>
        <v>3.2935393258426968</v>
      </c>
      <c r="BF45" s="11">
        <f>+BF44/BF46</f>
        <v>2.126122658455222</v>
      </c>
      <c r="BG45" s="11">
        <f>+BG44/BG46</f>
        <v>5.0612666064749128</v>
      </c>
      <c r="BH45" s="11">
        <f>+BH44/BH46</f>
        <v>5.7635038396459715</v>
      </c>
      <c r="BI45" s="11">
        <f t="shared" ref="BI45:BK45" si="98">+BI44/BI46</f>
        <v>8.0537609674345241</v>
      </c>
      <c r="BJ45" s="11">
        <f t="shared" si="98"/>
        <v>9.6463099263974534</v>
      </c>
      <c r="BK45" s="11">
        <f t="shared" si="98"/>
        <v>10.210617819264611</v>
      </c>
      <c r="BL45" s="11">
        <f t="shared" ref="BL45" si="99">+BL44/BL46</f>
        <v>11.802216196310804</v>
      </c>
      <c r="BM45" s="11">
        <f t="shared" ref="BM45" si="100">+BM44/BM46</f>
        <v>14.15044069005536</v>
      </c>
      <c r="BN45" s="11">
        <f t="shared" ref="BN45" si="101">+BN44/BN46</f>
        <v>16.973635265505504</v>
      </c>
      <c r="BO45" s="11">
        <f t="shared" ref="BO45" si="102">+BO44/BO46</f>
        <v>19.273934531133232</v>
      </c>
      <c r="BP45" s="11">
        <f t="shared" ref="BP45" si="103">+BP44/BP46</f>
        <v>21.898263397660369</v>
      </c>
      <c r="BQ45" s="11">
        <f t="shared" ref="BQ45" si="104">+BQ44/BQ46</f>
        <v>24.894195541048433</v>
      </c>
      <c r="BR45" s="11">
        <f t="shared" ref="BR45" si="105">+BR44/BR46</f>
        <v>28.316396225491765</v>
      </c>
    </row>
    <row r="46" spans="2:128" s="4" customFormat="1" x14ac:dyDescent="0.25">
      <c r="B46" s="4" t="s">
        <v>31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v>7472</v>
      </c>
      <c r="V46" s="4">
        <v>7469</v>
      </c>
      <c r="W46" s="4">
        <v>7470</v>
      </c>
      <c r="AD46" s="4">
        <v>537</v>
      </c>
      <c r="AE46" s="4">
        <v>563</v>
      </c>
      <c r="AF46" s="4">
        <v>588</v>
      </c>
      <c r="AG46" s="4">
        <v>606</v>
      </c>
      <c r="AH46" s="4">
        <v>610</v>
      </c>
      <c r="AI46" s="4">
        <v>627</v>
      </c>
      <c r="AJ46" s="4">
        <v>640</v>
      </c>
      <c r="AK46" s="4">
        <v>1312</v>
      </c>
      <c r="AL46" s="4">
        <v>2681</v>
      </c>
      <c r="AM46" s="4">
        <v>5109</v>
      </c>
      <c r="AN46" s="4">
        <v>5283</v>
      </c>
      <c r="AO46" s="4">
        <v>5574</v>
      </c>
      <c r="AP46" s="4">
        <v>5553</v>
      </c>
      <c r="AQ46" s="4">
        <v>10882</v>
      </c>
      <c r="AR46" s="4">
        <v>10894</v>
      </c>
      <c r="AS46" s="4">
        <v>10906</v>
      </c>
      <c r="AT46" s="4">
        <v>10531</v>
      </c>
      <c r="AU46" s="4">
        <v>9886</v>
      </c>
      <c r="AV46" s="4">
        <v>9470</v>
      </c>
      <c r="AW46" s="4">
        <v>8996</v>
      </c>
      <c r="AX46" s="4">
        <v>8927</v>
      </c>
      <c r="AY46" s="4">
        <v>8593</v>
      </c>
      <c r="AZ46" s="4">
        <v>8506</v>
      </c>
      <c r="BA46" s="4">
        <v>8470</v>
      </c>
      <c r="BB46" s="4">
        <v>8399</v>
      </c>
      <c r="BC46" s="4">
        <v>8254</v>
      </c>
      <c r="BD46" s="4">
        <v>8013</v>
      </c>
      <c r="BE46" s="4">
        <v>7832</v>
      </c>
      <c r="BF46" s="4">
        <v>7794</v>
      </c>
      <c r="BG46" s="4">
        <v>7753</v>
      </c>
      <c r="BH46" s="5">
        <v>7683</v>
      </c>
      <c r="BI46" s="5">
        <f>AVERAGE(G46:J46)</f>
        <v>7607.75</v>
      </c>
      <c r="BJ46" s="5">
        <f>AVERAGE(K46:N46)</f>
        <v>7540.5</v>
      </c>
      <c r="BK46" s="5">
        <f>AVERAGE(O46:R46)</f>
        <v>7472.25</v>
      </c>
      <c r="BL46" s="5">
        <f>AVERAGE(S46:V46)</f>
        <v>7467.75</v>
      </c>
      <c r="BM46" s="5">
        <f t="shared" ref="BM46:BR46" si="106">+BL46</f>
        <v>7467.75</v>
      </c>
      <c r="BN46" s="5">
        <f t="shared" si="106"/>
        <v>7467.75</v>
      </c>
      <c r="BO46" s="5">
        <f t="shared" si="106"/>
        <v>7467.75</v>
      </c>
      <c r="BP46" s="5">
        <f t="shared" si="106"/>
        <v>7467.75</v>
      </c>
      <c r="BQ46" s="5">
        <f t="shared" si="106"/>
        <v>7467.75</v>
      </c>
      <c r="BR46" s="5">
        <f t="shared" si="106"/>
        <v>7467.75</v>
      </c>
    </row>
    <row r="47" spans="2:128" x14ac:dyDescent="0.25">
      <c r="O47" s="2"/>
      <c r="BL47" s="2"/>
      <c r="BM47" s="2"/>
      <c r="BN47" s="2"/>
      <c r="BO47" s="2"/>
      <c r="BP47" s="2"/>
      <c r="BQ47" s="2"/>
      <c r="BR47" s="2"/>
      <c r="BT47" t="s">
        <v>97</v>
      </c>
      <c r="BU47" s="12">
        <v>-0.01</v>
      </c>
    </row>
    <row r="48" spans="2:128" s="3" customFormat="1" x14ac:dyDescent="0.25">
      <c r="B48" s="6" t="s">
        <v>33</v>
      </c>
      <c r="C48" s="10"/>
      <c r="D48" s="10"/>
      <c r="E48" s="10"/>
      <c r="F48" s="10"/>
      <c r="G48" s="10">
        <f t="shared" ref="G48:K48" si="107">G31/C31-1</f>
        <v>0.12400544546967174</v>
      </c>
      <c r="H48" s="10">
        <f t="shared" si="107"/>
        <v>0.16718148810491518</v>
      </c>
      <c r="I48" s="10">
        <f t="shared" si="107"/>
        <v>0.19088546871876866</v>
      </c>
      <c r="J48" s="10">
        <f t="shared" si="107"/>
        <v>0.21347251071437956</v>
      </c>
      <c r="K48" s="10">
        <f t="shared" si="107"/>
        <v>0.21970716477364483</v>
      </c>
      <c r="L48" s="10">
        <f t="shared" ref="L48" si="108">L31/H31-1</f>
        <v>0.2008543040208004</v>
      </c>
      <c r="M48" s="10">
        <f>M31/I31-1</f>
        <v>0.18352275451973332</v>
      </c>
      <c r="N48" s="10">
        <f t="shared" ref="N48:O48" si="109">N31/J31-1</f>
        <v>0.12378661813139202</v>
      </c>
      <c r="O48" s="10">
        <f t="shared" si="109"/>
        <v>0.1060308493501334</v>
      </c>
      <c r="P48" s="10">
        <f t="shared" ref="P48" si="110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W48" si="111">S31/O31-1</f>
        <v>0.12758868361198683</v>
      </c>
      <c r="T48" s="10">
        <f t="shared" si="111"/>
        <v>0.17580146738203117</v>
      </c>
      <c r="U48" s="10">
        <f t="shared" si="111"/>
        <v>0.17028964943148495</v>
      </c>
      <c r="V48" s="10">
        <f t="shared" si="111"/>
        <v>0.15195144957198026</v>
      </c>
      <c r="W48" s="10">
        <f t="shared" si="111"/>
        <v>0.16044729904276589</v>
      </c>
      <c r="X48" s="10">
        <v>0.16044729904276589</v>
      </c>
      <c r="Y48" s="10">
        <v>0.16044729904276589</v>
      </c>
      <c r="Z48" s="10">
        <v>0.16044729904276589</v>
      </c>
      <c r="AA48" s="10"/>
      <c r="AE48" s="17">
        <f t="shared" ref="AE48:BE48" si="112">AE31/AD31-1</f>
        <v>0.55790363482671168</v>
      </c>
      <c r="AF48" s="17">
        <f t="shared" si="112"/>
        <v>0.49701573521432452</v>
      </c>
      <c r="AG48" s="17">
        <f t="shared" si="112"/>
        <v>0.36027546212395789</v>
      </c>
      <c r="AH48" s="17">
        <f t="shared" si="112"/>
        <v>0.23874233946176382</v>
      </c>
      <c r="AI48" s="17">
        <f t="shared" si="112"/>
        <v>0.27704882770488282</v>
      </c>
      <c r="AJ48" s="17">
        <f t="shared" si="112"/>
        <v>0.46050193700522146</v>
      </c>
      <c r="AK48" s="17">
        <f t="shared" si="112"/>
        <v>0.30988351977857231</v>
      </c>
      <c r="AL48" s="17">
        <f t="shared" si="112"/>
        <v>0.27522451135763348</v>
      </c>
      <c r="AM48" s="17">
        <f t="shared" si="112"/>
        <v>0.36336647334990335</v>
      </c>
      <c r="AN48" s="17">
        <f t="shared" si="112"/>
        <v>0.16250569706790907</v>
      </c>
      <c r="AO48" s="17">
        <f t="shared" si="112"/>
        <v>0.10193413486670155</v>
      </c>
      <c r="AP48" s="17">
        <f t="shared" si="112"/>
        <v>0.12132352941176472</v>
      </c>
      <c r="AQ48" s="17">
        <f t="shared" si="112"/>
        <v>0.13474352194606021</v>
      </c>
      <c r="AR48" s="17">
        <f t="shared" si="112"/>
        <v>0.14440612669711372</v>
      </c>
      <c r="AS48" s="17">
        <f t="shared" si="112"/>
        <v>8.0168318175648068E-2</v>
      </c>
      <c r="AT48" s="17">
        <f t="shared" si="112"/>
        <v>0.11294862772695291</v>
      </c>
      <c r="AU48" s="17">
        <f t="shared" si="112"/>
        <v>0.15446456799602548</v>
      </c>
      <c r="AV48" s="17">
        <f t="shared" si="112"/>
        <v>0.18187864324556946</v>
      </c>
      <c r="AW48" s="17">
        <f t="shared" si="112"/>
        <v>-3.2820258192651441E-2</v>
      </c>
      <c r="AX48" s="17">
        <f t="shared" si="112"/>
        <v>6.9254068484008391E-2</v>
      </c>
      <c r="AY48" s="17">
        <f t="shared" si="112"/>
        <v>0.11937455988733126</v>
      </c>
      <c r="AZ48" s="17">
        <f t="shared" si="112"/>
        <v>5.4044007263057026E-2</v>
      </c>
      <c r="BA48" s="17">
        <f t="shared" si="112"/>
        <v>5.5966252051598442E-2</v>
      </c>
      <c r="BB48" s="17">
        <f t="shared" si="112"/>
        <v>0.11540289534868786</v>
      </c>
      <c r="BC48" s="17">
        <f t="shared" si="112"/>
        <v>7.7700874091647165E-2</v>
      </c>
      <c r="BD48" s="17">
        <f t="shared" si="112"/>
        <v>-8.8266723658901425E-2</v>
      </c>
      <c r="BE48" s="17">
        <f t="shared" si="112"/>
        <v>0.1318682606657291</v>
      </c>
      <c r="BF48" s="10">
        <f t="shared" ref="BF48:BJ48" si="113">+BF31/BE31-1</f>
        <v>0.14278613662486661</v>
      </c>
      <c r="BG48" s="10">
        <f t="shared" si="113"/>
        <v>0.14029539688292858</v>
      </c>
      <c r="BH48" s="10">
        <f t="shared" si="113"/>
        <v>0.13645574247276371</v>
      </c>
      <c r="BI48" s="10">
        <f t="shared" si="113"/>
        <v>0.17531727441177503</v>
      </c>
      <c r="BJ48" s="10">
        <f t="shared" si="113"/>
        <v>0.17956070629670173</v>
      </c>
      <c r="BK48" s="10">
        <f>+BK31/BJ31-1</f>
        <v>6.8820295556564215E-2</v>
      </c>
      <c r="BL48" s="10">
        <f t="shared" ref="BL48:BR48" si="114">+BL31/BK31-1</f>
        <v>0.1566996201307127</v>
      </c>
      <c r="BM48" s="10">
        <f t="shared" si="114"/>
        <v>0.16044729904276589</v>
      </c>
      <c r="BN48" s="10">
        <f t="shared" si="114"/>
        <v>0.12199831643253711</v>
      </c>
      <c r="BO48" s="10">
        <f t="shared" si="114"/>
        <v>0.12404474633905327</v>
      </c>
      <c r="BP48" s="10">
        <f t="shared" si="114"/>
        <v>0.12598541882313796</v>
      </c>
      <c r="BQ48" s="10">
        <f t="shared" si="114"/>
        <v>0.12781928255337438</v>
      </c>
      <c r="BR48" s="10">
        <f t="shared" si="114"/>
        <v>0.12954641625539076</v>
      </c>
      <c r="BT48" s="3" t="s">
        <v>96</v>
      </c>
      <c r="BU48" s="13">
        <v>0.05</v>
      </c>
    </row>
    <row r="49" spans="2:73" s="3" customFormat="1" x14ac:dyDescent="0.25">
      <c r="B49" s="6" t="s">
        <v>103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7">
        <v>7.0000000000000007E-2</v>
      </c>
      <c r="Q49" s="17">
        <v>0.1</v>
      </c>
      <c r="R49" s="17">
        <v>0.1</v>
      </c>
      <c r="U49" s="10">
        <v>0.17</v>
      </c>
      <c r="V49" s="10">
        <v>0.16</v>
      </c>
      <c r="W49" s="10">
        <v>0.16</v>
      </c>
      <c r="BF49" s="10"/>
      <c r="BG49" s="10"/>
      <c r="BH49" s="10"/>
      <c r="BI49" s="10"/>
      <c r="BJ49" s="10"/>
      <c r="BK49" s="10">
        <v>0.11</v>
      </c>
      <c r="BL49" s="10"/>
      <c r="BM49" s="10"/>
      <c r="BN49" s="10"/>
      <c r="BO49" s="10"/>
      <c r="BP49" s="10"/>
      <c r="BQ49" s="10"/>
      <c r="BR49" s="10"/>
      <c r="BT49" t="s">
        <v>98</v>
      </c>
      <c r="BU49" s="12">
        <v>0.02</v>
      </c>
    </row>
    <row r="50" spans="2:73" s="3" customFormat="1" x14ac:dyDescent="0.25">
      <c r="B50" s="6" t="s">
        <v>127</v>
      </c>
      <c r="C50" s="10"/>
      <c r="D50" s="10"/>
      <c r="E50" s="10"/>
      <c r="F50" s="10"/>
      <c r="G50" s="10"/>
      <c r="H50" s="10"/>
      <c r="I50" s="10"/>
      <c r="J50" s="17"/>
      <c r="K50" s="17"/>
      <c r="L50" s="17"/>
      <c r="M50" s="17">
        <f t="shared" ref="M50" si="115">M76/I76-1</f>
        <v>0.12477838234395056</v>
      </c>
      <c r="N50" s="17">
        <f t="shared" ref="N50" si="116">N76/J76-1</f>
        <v>9.666749733807567E-2</v>
      </c>
      <c r="O50" s="17">
        <f t="shared" ref="O50:P50" si="117">O76/K76-1</f>
        <v>7.5508960136535519E-2</v>
      </c>
      <c r="P50" s="17">
        <f t="shared" si="117"/>
        <v>7.7701324485300205E-2</v>
      </c>
      <c r="Q50" s="17">
        <f t="shared" ref="Q50:W50" si="118">Q76/M76-1</f>
        <v>7.6231112077399743E-2</v>
      </c>
      <c r="R50" s="17">
        <f t="shared" si="118"/>
        <v>0.11165509833085441</v>
      </c>
      <c r="S50" s="17">
        <f t="shared" si="118"/>
        <v>0.11507072905331883</v>
      </c>
      <c r="T50" s="17">
        <f t="shared" si="118"/>
        <v>0.16171200726795543</v>
      </c>
      <c r="U50" s="17">
        <f t="shared" si="118"/>
        <v>0.13211787581121692</v>
      </c>
      <c r="V50" s="17">
        <f t="shared" si="118"/>
        <v>0.11839146674595358</v>
      </c>
      <c r="W50" s="17">
        <f t="shared" si="118"/>
        <v>0.13216638204440101</v>
      </c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T50"/>
      <c r="BU50" s="12"/>
    </row>
    <row r="51" spans="2:73" s="3" customFormat="1" x14ac:dyDescent="0.25">
      <c r="B51" s="6" t="s">
        <v>162</v>
      </c>
      <c r="C51" s="10"/>
      <c r="D51" s="10"/>
      <c r="E51" s="10"/>
      <c r="F51" s="10"/>
      <c r="G51" s="12">
        <f t="shared" ref="G51:J53" si="119">G25/C25-1</f>
        <v>0.11212422135957389</v>
      </c>
      <c r="H51" s="12">
        <f t="shared" si="119"/>
        <v>0.12912227295788936</v>
      </c>
      <c r="I51" s="12">
        <f t="shared" si="119"/>
        <v>0.15404922081239891</v>
      </c>
      <c r="J51" s="12">
        <f t="shared" si="119"/>
        <v>0.25008509189925121</v>
      </c>
      <c r="K51" s="12">
        <f t="shared" ref="K51:K53" si="120">K25/G25-1</f>
        <v>0.22079714262521311</v>
      </c>
      <c r="L51" s="12">
        <f t="shared" ref="L51:L53" si="121">L25/H25-1</f>
        <v>0.19343967647719618</v>
      </c>
      <c r="M51" s="12">
        <f t="shared" ref="M51:M53" si="122">M25/I25-1</f>
        <v>0.16506788665879579</v>
      </c>
      <c r="N51" s="12">
        <f t="shared" ref="N51" si="123">N25/J25-1</f>
        <v>0.12994350282485878</v>
      </c>
      <c r="O51" s="12">
        <f t="shared" ref="O51" si="124">O25/K25-1</f>
        <v>9.4820134317441296E-2</v>
      </c>
      <c r="P51" s="12">
        <f t="shared" ref="P51" si="125">P25/L25-1</f>
        <v>6.6892570281124497E-2</v>
      </c>
      <c r="Q51" s="12">
        <f t="shared" ref="Q51:W51" si="126">Q25/M25-1</f>
        <v>0.10937994806510853</v>
      </c>
      <c r="R51" s="12">
        <f t="shared" si="126"/>
        <v>0.10186746987951811</v>
      </c>
      <c r="S51" s="12">
        <f t="shared" si="126"/>
        <v>0.12918311569996965</v>
      </c>
      <c r="T51" s="12">
        <f t="shared" si="126"/>
        <v>0.13216092224444176</v>
      </c>
      <c r="U51" s="12">
        <f t="shared" si="126"/>
        <v>0.11726421557433198</v>
      </c>
      <c r="V51" s="12">
        <f t="shared" si="126"/>
        <v>0.1107648570335138</v>
      </c>
      <c r="W51" s="12">
        <f t="shared" si="126"/>
        <v>9.9935456110154863E-2</v>
      </c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T51"/>
      <c r="BU51" s="12"/>
    </row>
    <row r="52" spans="2:73" s="3" customFormat="1" x14ac:dyDescent="0.25">
      <c r="B52" s="6" t="s">
        <v>160</v>
      </c>
      <c r="C52" s="10"/>
      <c r="D52" s="10"/>
      <c r="E52" s="10"/>
      <c r="F52" s="10"/>
      <c r="G52" s="12">
        <f t="shared" si="119"/>
        <v>0.19741816505301979</v>
      </c>
      <c r="H52" s="12">
        <f t="shared" si="119"/>
        <v>0.23017945909512183</v>
      </c>
      <c r="I52" s="12">
        <f t="shared" si="119"/>
        <v>0.23100724696685937</v>
      </c>
      <c r="J52" s="12">
        <f t="shared" si="119"/>
        <v>0.29945404233041661</v>
      </c>
      <c r="K52" s="12">
        <f t="shared" si="120"/>
        <v>0.30232558139534893</v>
      </c>
      <c r="L52" s="12">
        <f t="shared" si="121"/>
        <v>0.25518800082186144</v>
      </c>
      <c r="M52" s="12">
        <f t="shared" si="122"/>
        <v>0.25592009525069459</v>
      </c>
      <c r="N52" s="12">
        <f t="shared" ref="N52:Q52" si="127">N26/J26-1</f>
        <v>0.19735251798561149</v>
      </c>
      <c r="O52" s="12">
        <f t="shared" si="127"/>
        <v>0.20180936613055822</v>
      </c>
      <c r="P52" s="12">
        <f t="shared" si="127"/>
        <v>0.17356905112675292</v>
      </c>
      <c r="Q52" s="12">
        <f t="shared" si="127"/>
        <v>0.16295359983146374</v>
      </c>
      <c r="R52" s="12">
        <f t="shared" ref="R52:W53" si="128">R26/N26-1</f>
        <v>0.15328782926360307</v>
      </c>
      <c r="S52" s="12">
        <f t="shared" si="128"/>
        <v>0.19355473554735547</v>
      </c>
      <c r="T52" s="12">
        <f t="shared" si="128"/>
        <v>0.20327320066951837</v>
      </c>
      <c r="U52" s="12">
        <f t="shared" si="128"/>
        <v>0.20954666908201625</v>
      </c>
      <c r="V52" s="12">
        <f t="shared" si="128"/>
        <v>0.1884716375609552</v>
      </c>
      <c r="W52" s="12">
        <f t="shared" si="128"/>
        <v>0.18512716929799256</v>
      </c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T52"/>
      <c r="BU52" s="12"/>
    </row>
    <row r="53" spans="2:73" s="3" customFormat="1" x14ac:dyDescent="0.25">
      <c r="B53" s="6" t="s">
        <v>161</v>
      </c>
      <c r="C53" s="10"/>
      <c r="D53" s="10"/>
      <c r="E53" s="10"/>
      <c r="F53" s="10"/>
      <c r="G53" s="12">
        <f t="shared" si="119"/>
        <v>6.4313302793496785E-2</v>
      </c>
      <c r="H53" s="12">
        <f t="shared" si="119"/>
        <v>0.14465218378623868</v>
      </c>
      <c r="I53" s="12">
        <f t="shared" si="119"/>
        <v>0.18541420387378382</v>
      </c>
      <c r="J53" s="12">
        <f t="shared" si="119"/>
        <v>9.1092176607281194E-2</v>
      </c>
      <c r="K53" s="12">
        <f t="shared" si="120"/>
        <v>0.12802768166089962</v>
      </c>
      <c r="L53" s="12">
        <f t="shared" si="121"/>
        <v>0.15493982277476515</v>
      </c>
      <c r="M53" s="12">
        <f t="shared" si="122"/>
        <v>0.11874808223381406</v>
      </c>
      <c r="N53" s="12">
        <f t="shared" ref="N53:Q53" si="129">N27/J27-1</f>
        <v>2.6622178049126699E-2</v>
      </c>
      <c r="O53" s="12">
        <f t="shared" si="129"/>
        <v>-2.5437677689660321E-3</v>
      </c>
      <c r="P53" s="12">
        <f t="shared" si="129"/>
        <v>-0.18482679645004296</v>
      </c>
      <c r="Q53" s="12">
        <f t="shared" si="129"/>
        <v>-9.0784421283598427E-2</v>
      </c>
      <c r="R53" s="12">
        <f t="shared" si="128"/>
        <v>-3.8448240094046016E-2</v>
      </c>
      <c r="S53" s="12">
        <f t="shared" si="128"/>
        <v>2.5052505250525048E-2</v>
      </c>
      <c r="T53" s="12">
        <f t="shared" si="128"/>
        <v>0.1864156774601391</v>
      </c>
      <c r="U53" s="12">
        <f t="shared" si="128"/>
        <v>0.17496229260935148</v>
      </c>
      <c r="V53" s="12">
        <f t="shared" si="128"/>
        <v>0.14311398777418205</v>
      </c>
      <c r="W53" s="12">
        <f t="shared" si="128"/>
        <v>0.10493194789989757</v>
      </c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T53"/>
      <c r="BU53" s="12"/>
    </row>
    <row r="54" spans="2:73" x14ac:dyDescent="0.25">
      <c r="B54" s="4" t="s">
        <v>21</v>
      </c>
      <c r="C54" s="9">
        <f t="shared" ref="C54:D54" si="130">C35/C31</f>
        <v>0.6851913477537438</v>
      </c>
      <c r="D54" s="9">
        <f t="shared" si="130"/>
        <v>0.66514929821709212</v>
      </c>
      <c r="E54" s="9">
        <f t="shared" ref="E54:F54" si="131">E35/E31</f>
        <v>0.68661660146769077</v>
      </c>
      <c r="F54" s="9">
        <f t="shared" si="131"/>
        <v>0.67557121447164303</v>
      </c>
      <c r="G54" s="9">
        <f t="shared" ref="G54:H54" si="132">G35/G31</f>
        <v>0.70388114334930285</v>
      </c>
      <c r="H54" s="9">
        <f t="shared" si="132"/>
        <v>0.67048936762930633</v>
      </c>
      <c r="I54" s="9">
        <f>I35/I31</f>
        <v>0.68721526878626582</v>
      </c>
      <c r="J54" s="9">
        <f t="shared" ref="J54:M54" si="133">J35/J31</f>
        <v>0.69684954064829263</v>
      </c>
      <c r="K54" s="9">
        <f t="shared" si="133"/>
        <v>0.6988768012004325</v>
      </c>
      <c r="L54" s="9">
        <f t="shared" si="133"/>
        <v>0.67213114754098358</v>
      </c>
      <c r="M54" s="9">
        <f t="shared" si="133"/>
        <v>0.68365072933549431</v>
      </c>
      <c r="N54" s="9">
        <f t="shared" ref="N54:O54" si="134">N35/N31</f>
        <v>0.68323532247180174</v>
      </c>
      <c r="O54" s="9">
        <f t="shared" si="134"/>
        <v>0.69171222217788597</v>
      </c>
      <c r="P54" s="9">
        <f>P35/P31</f>
        <v>0.66845507801391546</v>
      </c>
      <c r="Q54" s="9">
        <f t="shared" ref="Q54:R54" si="135">Q35/Q31</f>
        <v>0.69487485101311086</v>
      </c>
      <c r="R54" s="9">
        <f t="shared" si="135"/>
        <v>0.70109807969531401</v>
      </c>
      <c r="S54" s="9">
        <f t="shared" ref="S54:V54" si="136">S35/S31</f>
        <v>0.71155581506449384</v>
      </c>
      <c r="T54" s="9">
        <f t="shared" si="136"/>
        <v>0.68360206385037081</v>
      </c>
      <c r="U54" s="9">
        <f t="shared" si="136"/>
        <v>0.70084710142584628</v>
      </c>
      <c r="V54" s="9">
        <f t="shared" si="136"/>
        <v>0.69589197707293715</v>
      </c>
      <c r="W54" s="9">
        <f t="shared" ref="W54" si="137">W35/W31</f>
        <v>0.69354273080734929</v>
      </c>
      <c r="X54" s="9"/>
      <c r="Y54" s="9"/>
      <c r="Z54" s="9"/>
      <c r="AA54" s="9"/>
      <c r="AB54" s="9"/>
      <c r="AC54" s="9"/>
      <c r="AD54" s="9">
        <f t="shared" ref="AD54:AI54" si="138">AD35/AD31</f>
        <v>0.78613693998309386</v>
      </c>
      <c r="AE54" s="9">
        <f t="shared" si="138"/>
        <v>0.8035811177428106</v>
      </c>
      <c r="AF54" s="9">
        <f t="shared" si="138"/>
        <v>0.8307357738310982</v>
      </c>
      <c r="AG54" s="9">
        <f t="shared" si="138"/>
        <v>0.83133493205435649</v>
      </c>
      <c r="AH54" s="9">
        <f t="shared" si="138"/>
        <v>0.83587868358786832</v>
      </c>
      <c r="AI54" s="9">
        <f t="shared" si="138"/>
        <v>0.85228229745662798</v>
      </c>
      <c r="AJ54" s="9">
        <f t="shared" ref="AJ54:AR54" si="139">AJ35/AJ31</f>
        <v>0.86299158113251062</v>
      </c>
      <c r="AK54" s="9">
        <f t="shared" si="139"/>
        <v>0.90447261841873572</v>
      </c>
      <c r="AL54" s="9">
        <f t="shared" si="139"/>
        <v>0.91735708367854185</v>
      </c>
      <c r="AM54" s="9">
        <f t="shared" si="139"/>
        <v>0.85749734136830913</v>
      </c>
      <c r="AN54" s="9">
        <f t="shared" si="139"/>
        <v>0.86922808851716327</v>
      </c>
      <c r="AO54" s="9">
        <f t="shared" si="139"/>
        <v>0.86341714104996836</v>
      </c>
      <c r="AP54" s="9">
        <f t="shared" si="139"/>
        <v>0.8169927727833598</v>
      </c>
      <c r="AQ54" s="9">
        <f t="shared" si="139"/>
        <v>0.82334482865753256</v>
      </c>
      <c r="AR54" s="9">
        <f t="shared" si="139"/>
        <v>0.81767340844305691</v>
      </c>
      <c r="AS54" s="9">
        <f t="shared" ref="AS54:BB54" si="140">AS35/AS31</f>
        <v>0.84417412285111093</v>
      </c>
      <c r="AT54" s="9">
        <f t="shared" si="140"/>
        <v>0.82724357526760306</v>
      </c>
      <c r="AU54" s="9">
        <f t="shared" si="140"/>
        <v>0.79083369195258402</v>
      </c>
      <c r="AV54" s="9">
        <f t="shared" si="140"/>
        <v>0.80804369414101296</v>
      </c>
      <c r="AW54" s="9">
        <f t="shared" si="140"/>
        <v>0.79199822030562828</v>
      </c>
      <c r="AX54" s="9">
        <f t="shared" si="140"/>
        <v>0.80162921707957235</v>
      </c>
      <c r="AY54" s="9">
        <f t="shared" si="140"/>
        <v>0.77729007906438097</v>
      </c>
      <c r="AZ54" s="9">
        <f t="shared" si="140"/>
        <v>0.76221803236439101</v>
      </c>
      <c r="BA54" s="9">
        <f t="shared" si="140"/>
        <v>0.7398938971598864</v>
      </c>
      <c r="BB54" s="9">
        <f t="shared" si="140"/>
        <v>0.68981838701876019</v>
      </c>
      <c r="BC54" s="9">
        <f t="shared" ref="BC54:BD54" si="141">BC35/BC31</f>
        <v>0.64695447745244705</v>
      </c>
      <c r="BD54" s="9">
        <f t="shared" si="141"/>
        <v>0.61579934364744493</v>
      </c>
      <c r="BE54" s="9">
        <f t="shared" ref="BE54:BF54" si="142">BE35/BE31</f>
        <v>0.64522475691460168</v>
      </c>
      <c r="BF54" s="9">
        <f t="shared" si="142"/>
        <v>0.65247372236317502</v>
      </c>
      <c r="BG54" s="9">
        <f t="shared" ref="BG54:BK54" si="143">BG35/BG31</f>
        <v>0.65901957200638894</v>
      </c>
      <c r="BH54" s="9">
        <f t="shared" si="143"/>
        <v>0.67781001992797962</v>
      </c>
      <c r="BI54" s="9">
        <f t="shared" si="143"/>
        <v>0.68925800771024703</v>
      </c>
      <c r="BJ54" s="9">
        <f t="shared" si="143"/>
        <v>0.68401674484289099</v>
      </c>
      <c r="BK54" s="9">
        <f t="shared" si="143"/>
        <v>0.68920085883491022</v>
      </c>
      <c r="BL54" s="9">
        <f t="shared" ref="BL54:BR54" si="144">BL35/BL31</f>
        <v>0.69764443827971379</v>
      </c>
      <c r="BM54" s="9">
        <f t="shared" si="144"/>
        <v>0</v>
      </c>
      <c r="BN54" s="9">
        <f t="shared" si="144"/>
        <v>0</v>
      </c>
      <c r="BO54" s="9">
        <f t="shared" si="144"/>
        <v>0</v>
      </c>
      <c r="BP54" s="9">
        <f t="shared" si="144"/>
        <v>0</v>
      </c>
      <c r="BQ54" s="9">
        <f t="shared" si="144"/>
        <v>0</v>
      </c>
      <c r="BR54" s="9">
        <f t="shared" si="144"/>
        <v>0</v>
      </c>
      <c r="BT54" t="s">
        <v>99</v>
      </c>
      <c r="BU54" s="4">
        <f>NPV(BU48,BK44:DX44)+Main!D5-Main!D6</f>
        <v>3191042.5319278021</v>
      </c>
    </row>
    <row r="55" spans="2:73" x14ac:dyDescent="0.25">
      <c r="B55" s="4" t="s">
        <v>163</v>
      </c>
      <c r="C55" s="9">
        <f t="shared" ref="C55" si="145">+C40/C31</f>
        <v>0.38378460142187265</v>
      </c>
      <c r="D55" s="9">
        <f t="shared" ref="D55:E55" si="146">+D40/D31</f>
        <v>0.37638866309001245</v>
      </c>
      <c r="E55" s="9">
        <f t="shared" si="146"/>
        <v>0.37049199051997372</v>
      </c>
      <c r="F55" s="9">
        <f t="shared" ref="F55:I55" si="147">+F40/F31</f>
        <v>0.35250966266137301</v>
      </c>
      <c r="G55" s="9">
        <f t="shared" si="147"/>
        <v>0.42730257845723207</v>
      </c>
      <c r="H55" s="9">
        <f t="shared" si="147"/>
        <v>0.41547497446373849</v>
      </c>
      <c r="I55" s="9">
        <f t="shared" si="147"/>
        <v>0.40876612477820939</v>
      </c>
      <c r="J55" s="9">
        <f t="shared" ref="J55:Q55" si="148">+J40/J31</f>
        <v>0.41374154966198645</v>
      </c>
      <c r="K55" s="9">
        <f t="shared" si="148"/>
        <v>0.44658737339188381</v>
      </c>
      <c r="L55" s="9">
        <f t="shared" si="148"/>
        <v>0.43007655428394681</v>
      </c>
      <c r="M55" s="9">
        <f t="shared" si="148"/>
        <v>0.41256077795786061</v>
      </c>
      <c r="N55" s="9">
        <f t="shared" si="148"/>
        <v>0.3959124650535043</v>
      </c>
      <c r="O55" s="9">
        <f t="shared" si="148"/>
        <v>0.42931247755476637</v>
      </c>
      <c r="P55" s="9">
        <f t="shared" si="148"/>
        <v>0.3867328947617874</v>
      </c>
      <c r="Q55" s="9">
        <f t="shared" si="148"/>
        <v>0.42287681858599618</v>
      </c>
      <c r="R55" s="9">
        <f>+R40/R31</f>
        <v>0.4316503230169606</v>
      </c>
      <c r="S55" s="9">
        <f t="shared" ref="S55:V55" si="149">+S40/S31</f>
        <v>0.47587451563246458</v>
      </c>
      <c r="T55" s="9">
        <f t="shared" si="149"/>
        <v>0.43585940019348596</v>
      </c>
      <c r="U55" s="9">
        <f t="shared" si="149"/>
        <v>0.44587603866921011</v>
      </c>
      <c r="V55" s="9">
        <f t="shared" si="149"/>
        <v>0.43142737960974553</v>
      </c>
      <c r="W55" s="9">
        <f t="shared" ref="W55" si="150">+W40/W31</f>
        <v>0.46583822520393381</v>
      </c>
      <c r="X55" s="9">
        <v>0.44587603866921011</v>
      </c>
      <c r="Y55" s="9">
        <v>0.44587603866921011</v>
      </c>
      <c r="Z55" s="9">
        <v>0.44587603866921011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>
        <f t="shared" ref="AW55:AY55" si="151">AW40/AW31</f>
        <v>0.35410784263394768</v>
      </c>
      <c r="AX55" s="9">
        <f t="shared" si="151"/>
        <v>0.38661097240893672</v>
      </c>
      <c r="AY55" s="9">
        <f t="shared" si="151"/>
        <v>0.38833049769097694</v>
      </c>
      <c r="AZ55" s="9">
        <f t="shared" ref="AZ55:BJ55" si="152">AZ40/AZ31</f>
        <v>0.37920323372624554</v>
      </c>
      <c r="BA55" s="9">
        <f t="shared" si="152"/>
        <v>0.34379375457616668</v>
      </c>
      <c r="BB55" s="9">
        <f t="shared" si="152"/>
        <v>0.32114518673776099</v>
      </c>
      <c r="BC55" s="9">
        <f t="shared" si="152"/>
        <v>0.30104723231459712</v>
      </c>
      <c r="BD55" s="9">
        <f t="shared" si="152"/>
        <v>0.24955461790904829</v>
      </c>
      <c r="BE55" s="9">
        <f t="shared" si="152"/>
        <v>0.30372472067183731</v>
      </c>
      <c r="BF55" s="9">
        <f t="shared" si="152"/>
        <v>0.31766944545125048</v>
      </c>
      <c r="BG55" s="9">
        <f t="shared" si="152"/>
        <v>0.3413698020549415</v>
      </c>
      <c r="BH55" s="9">
        <f t="shared" si="152"/>
        <v>0.37030381428521486</v>
      </c>
      <c r="BI55" s="9">
        <f t="shared" si="152"/>
        <v>0.41594878872971303</v>
      </c>
      <c r="BJ55" s="9">
        <f t="shared" si="152"/>
        <v>0.4205527815604983</v>
      </c>
      <c r="BK55" s="9">
        <f>BK40/BK31</f>
        <v>0.41772880636104098</v>
      </c>
      <c r="BL55" s="9">
        <f t="shared" ref="BL55:BM55" si="153">BL40/BL31</f>
        <v>0.44644299573273716</v>
      </c>
      <c r="BM55" s="9">
        <f t="shared" si="153"/>
        <v>0.45047865653453012</v>
      </c>
      <c r="BN55" s="9">
        <v>0.44644299573273716</v>
      </c>
      <c r="BO55" s="9">
        <v>0.44644299573273716</v>
      </c>
      <c r="BP55" s="9">
        <v>0.44644299573273716</v>
      </c>
      <c r="BQ55" s="9">
        <v>0.44644299573273716</v>
      </c>
      <c r="BR55" s="9">
        <v>0.44644299573273716</v>
      </c>
      <c r="BU55" s="4"/>
    </row>
    <row r="56" spans="2:73" x14ac:dyDescent="0.25">
      <c r="B56" s="4" t="s">
        <v>88</v>
      </c>
      <c r="C56" s="9">
        <f t="shared" ref="C56:D56" si="154">+C43/C42</f>
        <v>0.15828472331704241</v>
      </c>
      <c r="D56" s="9">
        <f t="shared" si="154"/>
        <v>0.17294994675186368</v>
      </c>
      <c r="E56" s="9">
        <f t="shared" ref="E56:F56" si="155">+E43/E42</f>
        <v>0.16281242700303666</v>
      </c>
      <c r="F56" s="9">
        <f t="shared" si="155"/>
        <v>0.16540008940545373</v>
      </c>
      <c r="G56" s="9">
        <f>+G43/G42</f>
        <v>0.13836516993301909</v>
      </c>
      <c r="H56" s="9">
        <f t="shared" ref="H56:O56" si="156">+H43/H42</f>
        <v>0.15673228990565524</v>
      </c>
      <c r="I56" s="9">
        <f t="shared" si="156"/>
        <v>0.10321420283128337</v>
      </c>
      <c r="J56" s="9">
        <f t="shared" si="156"/>
        <v>0.15186807523834064</v>
      </c>
      <c r="K56" s="9">
        <f t="shared" si="156"/>
        <v>9.2574546871954783E-4</v>
      </c>
      <c r="L56" s="9">
        <f t="shared" si="156"/>
        <v>0.16655562958027981</v>
      </c>
      <c r="M56" s="9">
        <f t="shared" si="156"/>
        <v>0.17147102526002972</v>
      </c>
      <c r="N56" s="9">
        <f t="shared" si="156"/>
        <v>0.18289647093278666</v>
      </c>
      <c r="O56" s="9">
        <f t="shared" si="156"/>
        <v>0.18616725384758021</v>
      </c>
      <c r="P56" s="9">
        <f>+P43/P42</f>
        <v>0.19243817296818919</v>
      </c>
      <c r="Q56" s="9">
        <f t="shared" ref="Q56:R56" si="157">+Q43/Q42</f>
        <v>0.19291668504388479</v>
      </c>
      <c r="R56" s="9">
        <f t="shared" si="157"/>
        <v>0.18789177821814212</v>
      </c>
      <c r="S56" s="9">
        <f t="shared" ref="S56:V56" si="158">+S43/S42</f>
        <v>0.18300102624248643</v>
      </c>
      <c r="T56" s="9">
        <f t="shared" si="158"/>
        <v>0.17552589911784663</v>
      </c>
      <c r="U56" s="9">
        <f t="shared" si="158"/>
        <v>0.17914468514984846</v>
      </c>
      <c r="V56" s="9">
        <f t="shared" si="158"/>
        <v>0.1913394495412844</v>
      </c>
      <c r="W56" s="9">
        <f t="shared" ref="W56" si="159">+W43/W42</f>
        <v>0.18507383791998414</v>
      </c>
      <c r="X56" s="9">
        <v>0.17914468514984846</v>
      </c>
      <c r="Y56" s="9">
        <v>0.17914468514984846</v>
      </c>
      <c r="Z56" s="9">
        <v>0.17914468514984846</v>
      </c>
      <c r="AA56" s="9"/>
      <c r="AB56" s="9"/>
      <c r="AC56" s="9"/>
      <c r="AD56" s="9">
        <f t="shared" ref="AD56:AI56" si="160">+AD43/AD42</f>
        <v>0.31951219512195123</v>
      </c>
      <c r="AE56" s="9">
        <f t="shared" si="160"/>
        <v>0.30998509687034276</v>
      </c>
      <c r="AF56" s="9">
        <f t="shared" si="160"/>
        <v>0.31988472622478387</v>
      </c>
      <c r="AG56" s="9">
        <f t="shared" si="160"/>
        <v>0.31977159172019987</v>
      </c>
      <c r="AH56" s="9">
        <f t="shared" si="160"/>
        <v>0.31788079470198677</v>
      </c>
      <c r="AI56" s="9">
        <f t="shared" si="160"/>
        <v>0.32263895164934481</v>
      </c>
      <c r="AJ56" s="9">
        <f t="shared" ref="AJ56:AR56" si="161">+AJ43/AJ42</f>
        <v>0.35039952648712636</v>
      </c>
      <c r="AK56" s="9">
        <f t="shared" si="161"/>
        <v>0.35001881821603315</v>
      </c>
      <c r="AL56" s="9">
        <f t="shared" si="161"/>
        <v>0.35815459328207205</v>
      </c>
      <c r="AM56" s="9">
        <f t="shared" si="161"/>
        <v>0.35001278663370555</v>
      </c>
      <c r="AN56" s="9">
        <f t="shared" si="161"/>
        <v>0.34379205326156242</v>
      </c>
      <c r="AO56" s="9">
        <f t="shared" si="161"/>
        <v>0.32557343375556319</v>
      </c>
      <c r="AP56" s="9">
        <f t="shared" si="161"/>
        <v>0.31744937526928046</v>
      </c>
      <c r="AQ56" s="9">
        <f t="shared" si="161"/>
        <v>0.31992699743139108</v>
      </c>
      <c r="AR56" s="9">
        <f t="shared" si="161"/>
        <v>0.32959659602323871</v>
      </c>
      <c r="AS56" s="9">
        <f t="shared" ref="AS56:BB56" si="162">+AS43/AS42</f>
        <v>0.26305027664180902</v>
      </c>
      <c r="AT56" s="9">
        <f t="shared" si="162"/>
        <v>0.31009747015660938</v>
      </c>
      <c r="AU56" s="9">
        <f t="shared" si="162"/>
        <v>0.30028356798169248</v>
      </c>
      <c r="AV56" s="9">
        <f t="shared" si="162"/>
        <v>0.25753758293440832</v>
      </c>
      <c r="AW56" s="9">
        <f t="shared" si="162"/>
        <v>0.26063222668850183</v>
      </c>
      <c r="AX56" s="9">
        <f t="shared" si="162"/>
        <v>0.24940172303765157</v>
      </c>
      <c r="AY56" s="9">
        <f t="shared" si="162"/>
        <v>0.17530547540166008</v>
      </c>
      <c r="AZ56" s="9">
        <f t="shared" si="162"/>
        <v>0.18583977512297961</v>
      </c>
      <c r="BA56" s="9">
        <f t="shared" si="162"/>
        <v>0.19181576223569421</v>
      </c>
      <c r="BB56" s="9">
        <f t="shared" si="162"/>
        <v>0.20560346369914481</v>
      </c>
      <c r="BC56" s="9">
        <f t="shared" ref="BC56:BD56" si="163">+BC43/BC42</f>
        <v>0.22140402552773686</v>
      </c>
      <c r="BD56" s="9">
        <f t="shared" si="163"/>
        <v>0.1415560136139207</v>
      </c>
      <c r="BE56" s="9">
        <f t="shared" ref="BE56:BF56" si="164">+BE43/BE42</f>
        <v>0.14605886052901645</v>
      </c>
      <c r="BF56" s="9">
        <f t="shared" si="164"/>
        <v>0.5456763722103416</v>
      </c>
      <c r="BG56" s="9">
        <f t="shared" ref="BG56:BK56" si="165">+BG43/BG42</f>
        <v>0.10181285478850027</v>
      </c>
      <c r="BH56" s="9">
        <f t="shared" si="165"/>
        <v>0.16507655177615205</v>
      </c>
      <c r="BI56" s="9">
        <f t="shared" si="165"/>
        <v>0.13826615285083402</v>
      </c>
      <c r="BJ56" s="9">
        <f t="shared" si="165"/>
        <v>0.13113383343685794</v>
      </c>
      <c r="BK56" s="9">
        <f t="shared" si="165"/>
        <v>0.15</v>
      </c>
      <c r="BL56" s="9">
        <f t="shared" ref="BL56:BR56" si="166">+BL43/BL42</f>
        <v>0.18231326597827197</v>
      </c>
      <c r="BM56" s="9">
        <f t="shared" si="166"/>
        <v>0.17928634288536413</v>
      </c>
      <c r="BN56" s="9">
        <v>0.15</v>
      </c>
      <c r="BO56" s="9">
        <v>0.15</v>
      </c>
      <c r="BP56" s="9">
        <v>0.17</v>
      </c>
      <c r="BQ56" s="9">
        <v>0.16</v>
      </c>
      <c r="BR56" s="9">
        <f t="shared" si="166"/>
        <v>0.15</v>
      </c>
      <c r="BT56" t="s">
        <v>104</v>
      </c>
      <c r="BU56" s="1">
        <f>BU54/W46</f>
        <v>427.18106183772454</v>
      </c>
    </row>
    <row r="57" spans="2:73" x14ac:dyDescent="0.25">
      <c r="B57" s="4" t="s">
        <v>125</v>
      </c>
      <c r="C57" s="9">
        <f t="shared" ref="C57" si="167">(C29-C32)/C29</f>
        <v>0.79039827498731607</v>
      </c>
      <c r="D57" s="9">
        <f t="shared" ref="D57:E57" si="168">(D29-D32)/D29</f>
        <v>0.72796494111202414</v>
      </c>
      <c r="E57" s="9">
        <f t="shared" si="168"/>
        <v>0.78728498519311951</v>
      </c>
      <c r="F57" s="9">
        <f t="shared" ref="F57:I57" si="169">(F29-F32)/F29</f>
        <v>0.75918884664131814</v>
      </c>
      <c r="G57" s="9">
        <f t="shared" si="169"/>
        <v>0.77238499019173579</v>
      </c>
      <c r="H57" s="9">
        <f t="shared" si="169"/>
        <v>0.68869475847893113</v>
      </c>
      <c r="I57" s="9">
        <f t="shared" si="169"/>
        <v>0.74651810584958223</v>
      </c>
      <c r="J57" s="9">
        <f t="shared" ref="J57:L57" si="170">(J29-J32)/J29</f>
        <v>0.7736297391488014</v>
      </c>
      <c r="K57" s="9">
        <f t="shared" si="170"/>
        <v>0.77199206301485179</v>
      </c>
      <c r="L57" s="9">
        <f t="shared" si="170"/>
        <v>0.69531738774724483</v>
      </c>
      <c r="M57" s="9">
        <f t="shared" ref="M57:O57" si="171">(M29-M32)/M29</f>
        <v>0.73603593228146957</v>
      </c>
      <c r="N57" s="9">
        <f t="shared" si="171"/>
        <v>0.75735130318556476</v>
      </c>
      <c r="O57" s="9">
        <f t="shared" si="171"/>
        <v>0.72670097198399086</v>
      </c>
      <c r="P57" s="9">
        <f>(P29-P32)/P29</f>
        <v>0.65550644790216139</v>
      </c>
      <c r="Q57" s="9">
        <f t="shared" ref="Q57:V57" si="172">(Q29-Q32)/Q29</f>
        <v>0.74717731588401337</v>
      </c>
      <c r="R57" s="9">
        <f t="shared" si="172"/>
        <v>0.77030795704028954</v>
      </c>
      <c r="S57" s="9">
        <f t="shared" si="172"/>
        <v>0.77270679111683294</v>
      </c>
      <c r="T57" s="9">
        <f t="shared" si="172"/>
        <v>0.68512750118789922</v>
      </c>
      <c r="U57" s="9">
        <f t="shared" si="172"/>
        <v>0.74596018735363001</v>
      </c>
      <c r="V57" s="9">
        <f t="shared" si="172"/>
        <v>0.89120072633729286</v>
      </c>
      <c r="W57" s="9">
        <f t="shared" ref="W57" si="173">(W29-W32)/W29</f>
        <v>0.78431115767417492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>
        <f t="shared" ref="BD57" si="174">(BD29-BD32)/BD29</f>
        <v>0.70927774706513613</v>
      </c>
      <c r="BE57" s="9">
        <f t="shared" ref="BE57:BR57" si="175">(BE29-BE32)/BE29</f>
        <v>0.76218833743398473</v>
      </c>
      <c r="BF57" s="9">
        <f t="shared" si="175"/>
        <v>0.76091911251686128</v>
      </c>
      <c r="BG57" s="9">
        <f t="shared" si="175"/>
        <v>0.75369689264254036</v>
      </c>
      <c r="BH57" s="9">
        <f t="shared" si="175"/>
        <v>0.76459781602269217</v>
      </c>
      <c r="BI57" s="9">
        <f t="shared" si="175"/>
        <v>0.74366153586402906</v>
      </c>
      <c r="BJ57" s="9">
        <f t="shared" si="175"/>
        <v>0.73788703734257277</v>
      </c>
      <c r="BK57" s="9">
        <f t="shared" si="175"/>
        <v>0.72481800336944935</v>
      </c>
      <c r="BL57" s="9">
        <f t="shared" si="175"/>
        <v>0.76422274713229277</v>
      </c>
      <c r="BM57" s="9">
        <f t="shared" si="175"/>
        <v>1</v>
      </c>
      <c r="BN57" s="9">
        <f t="shared" si="175"/>
        <v>1</v>
      </c>
      <c r="BO57" s="9">
        <f t="shared" si="175"/>
        <v>1</v>
      </c>
      <c r="BP57" s="9">
        <f t="shared" si="175"/>
        <v>1</v>
      </c>
      <c r="BQ57" s="9">
        <f t="shared" si="175"/>
        <v>1</v>
      </c>
      <c r="BR57" s="9">
        <f t="shared" si="175"/>
        <v>1</v>
      </c>
      <c r="BU57" s="1"/>
    </row>
    <row r="58" spans="2:73" x14ac:dyDescent="0.25">
      <c r="B58" s="4" t="s">
        <v>126</v>
      </c>
      <c r="C58" s="9">
        <f t="shared" ref="C58" si="176">(C30-C33)/C30</f>
        <v>0.58922890032972752</v>
      </c>
      <c r="D58" s="9">
        <f t="shared" ref="D58:E58" si="177">(D30-D33)/D30</f>
        <v>0.60366736368023166</v>
      </c>
      <c r="E58" s="9">
        <f t="shared" si="177"/>
        <v>0.60318537859007837</v>
      </c>
      <c r="F58" s="9">
        <f t="shared" ref="F58:K58" si="178">(F30-F33)/F30</f>
        <v>0.59926581514633415</v>
      </c>
      <c r="G58" s="9">
        <f t="shared" si="178"/>
        <v>0.65317783710364852</v>
      </c>
      <c r="H58" s="9">
        <f t="shared" si="178"/>
        <v>0.65548780487804881</v>
      </c>
      <c r="I58" s="9">
        <f t="shared" si="178"/>
        <v>0.64692143518704948</v>
      </c>
      <c r="J58" s="9">
        <f t="shared" si="178"/>
        <v>0.64341882854413168</v>
      </c>
      <c r="K58" s="9">
        <f t="shared" si="178"/>
        <v>0.65648748518441047</v>
      </c>
      <c r="L58" s="9">
        <f t="shared" ref="L58:O58" si="179">(L30-L33)/L30</f>
        <v>0.65656402468577335</v>
      </c>
      <c r="M58" s="9">
        <f t="shared" si="179"/>
        <v>0.65521660311308372</v>
      </c>
      <c r="N58" s="9">
        <f t="shared" si="179"/>
        <v>0.64398832168450859</v>
      </c>
      <c r="O58" s="9">
        <f t="shared" si="179"/>
        <v>0.67569296995433525</v>
      </c>
      <c r="P58" s="9">
        <f>(P30-P33)/P30</f>
        <v>0.67435826662986476</v>
      </c>
      <c r="Q58" s="9">
        <f t="shared" ref="Q58:V58" si="180">(Q30-Q33)/Q30</f>
        <v>0.67299900721779493</v>
      </c>
      <c r="R58" s="9">
        <f t="shared" si="180"/>
        <v>0.67144600366076879</v>
      </c>
      <c r="S58" s="9">
        <f t="shared" si="180"/>
        <v>0.68837538431506518</v>
      </c>
      <c r="T58" s="9">
        <f t="shared" si="180"/>
        <v>0.68293135866663568</v>
      </c>
      <c r="U58" s="9">
        <f t="shared" si="180"/>
        <v>0.68363928714993971</v>
      </c>
      <c r="V58" s="9">
        <f t="shared" si="180"/>
        <v>0.64577751892836344</v>
      </c>
      <c r="W58" s="9">
        <f t="shared" ref="W58" si="181">(W30-W33)/W30</f>
        <v>0.66599089698487468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>
        <f t="shared" ref="BD58" si="182">(BD30-BD33)/BD30</f>
        <v>0.37442270551683599</v>
      </c>
      <c r="BE58" s="9">
        <f t="shared" ref="BE58:BR58" si="183">(BE30-BE33)/BE30</f>
        <v>0.41739926739926742</v>
      </c>
      <c r="BF58" s="9">
        <f t="shared" si="183"/>
        <v>0.4999672938970412</v>
      </c>
      <c r="BG58" s="9">
        <f t="shared" si="183"/>
        <v>0.55437146585471941</v>
      </c>
      <c r="BH58" s="9">
        <f t="shared" si="183"/>
        <v>0.59904766985888447</v>
      </c>
      <c r="BI58" s="9">
        <f t="shared" si="183"/>
        <v>0.64940111736450412</v>
      </c>
      <c r="BJ58" s="9">
        <f t="shared" si="183"/>
        <v>0.65280632159186858</v>
      </c>
      <c r="BK58" s="9">
        <f t="shared" si="183"/>
        <v>0.67354771220519505</v>
      </c>
      <c r="BL58" s="9">
        <f t="shared" si="183"/>
        <v>0.67373259624394921</v>
      </c>
      <c r="BM58" s="9">
        <f t="shared" si="183"/>
        <v>1</v>
      </c>
      <c r="BN58" s="9">
        <f t="shared" si="183"/>
        <v>1</v>
      </c>
      <c r="BO58" s="9">
        <f t="shared" si="183"/>
        <v>1</v>
      </c>
      <c r="BP58" s="9">
        <f t="shared" si="183"/>
        <v>1</v>
      </c>
      <c r="BQ58" s="9">
        <f t="shared" si="183"/>
        <v>1</v>
      </c>
      <c r="BR58" s="9">
        <f t="shared" si="183"/>
        <v>1</v>
      </c>
      <c r="BU58" s="1"/>
    </row>
    <row r="59" spans="2:73" x14ac:dyDescent="0.25">
      <c r="B59" s="4" t="s">
        <v>158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U59" s="1"/>
    </row>
    <row r="61" spans="2:73" x14ac:dyDescent="0.25">
      <c r="B61" t="s">
        <v>81</v>
      </c>
      <c r="G61" s="5">
        <f t="shared" ref="G61:H61" si="184">+G62-G73</f>
        <v>77528</v>
      </c>
      <c r="H61" s="5">
        <f t="shared" si="184"/>
        <v>75239</v>
      </c>
      <c r="I61" s="5">
        <f t="shared" ref="I61:U61" si="185">+I62-I73</f>
        <v>72744</v>
      </c>
      <c r="J61" s="5">
        <f t="shared" si="185"/>
        <v>78172</v>
      </c>
      <c r="K61" s="5">
        <f t="shared" si="185"/>
        <v>83720</v>
      </c>
      <c r="L61" s="5">
        <f t="shared" si="185"/>
        <v>79105</v>
      </c>
      <c r="M61" s="5">
        <f t="shared" si="185"/>
        <v>61674</v>
      </c>
      <c r="N61" s="5">
        <f t="shared" si="185"/>
        <v>61867</v>
      </c>
      <c r="O61" s="5">
        <f t="shared" si="185"/>
        <v>65479</v>
      </c>
      <c r="P61" s="5">
        <f t="shared" si="185"/>
        <v>58489</v>
      </c>
      <c r="Q61" s="5">
        <f t="shared" si="185"/>
        <v>65632</v>
      </c>
      <c r="R61" s="5">
        <f t="shared" si="185"/>
        <v>73904</v>
      </c>
      <c r="S61" s="5">
        <f t="shared" si="185"/>
        <v>83872</v>
      </c>
      <c r="T61" s="5">
        <f t="shared" si="185"/>
        <v>20165</v>
      </c>
      <c r="U61" s="5">
        <f t="shared" si="185"/>
        <v>29386</v>
      </c>
      <c r="V61" s="5">
        <f>+V62-V73</f>
        <v>38513</v>
      </c>
      <c r="W61" s="5">
        <f>+W62-W73</f>
        <v>49089</v>
      </c>
      <c r="X61" s="5"/>
      <c r="Y61" s="5"/>
      <c r="Z61" s="5"/>
      <c r="AA61" s="5"/>
      <c r="AH61" s="4">
        <f t="shared" ref="AH61:AV61" si="186">AH62</f>
        <v>3614</v>
      </c>
      <c r="AI61" s="4">
        <f t="shared" si="186"/>
        <v>4750</v>
      </c>
      <c r="AJ61" s="4">
        <f t="shared" si="186"/>
        <v>6940</v>
      </c>
      <c r="AK61" s="4">
        <f t="shared" si="186"/>
        <v>11312</v>
      </c>
      <c r="AL61" s="4">
        <f t="shared" si="186"/>
        <v>18630</v>
      </c>
      <c r="AM61" s="4">
        <f t="shared" si="186"/>
        <v>31608</v>
      </c>
      <c r="AN61" s="4">
        <f t="shared" si="186"/>
        <v>41524</v>
      </c>
      <c r="AO61" s="4">
        <f t="shared" si="186"/>
        <v>45741</v>
      </c>
      <c r="AP61" s="4">
        <f t="shared" si="186"/>
        <v>52843</v>
      </c>
      <c r="AQ61" s="4">
        <f t="shared" si="186"/>
        <v>62740</v>
      </c>
      <c r="AR61" s="4">
        <f t="shared" si="186"/>
        <v>72802</v>
      </c>
      <c r="AS61" s="4">
        <f t="shared" si="186"/>
        <v>48755</v>
      </c>
      <c r="AT61" s="4">
        <f t="shared" si="186"/>
        <v>43393</v>
      </c>
      <c r="AU61" s="4">
        <f t="shared" si="186"/>
        <v>33528</v>
      </c>
      <c r="AV61" s="4">
        <f t="shared" si="186"/>
        <v>30250</v>
      </c>
      <c r="AW61" s="4">
        <f t="shared" ref="AW61:BB61" si="187">AW62-AW73</f>
        <v>30634</v>
      </c>
      <c r="AX61" s="4">
        <f t="shared" si="187"/>
        <v>38603</v>
      </c>
      <c r="AY61" s="4">
        <f t="shared" si="187"/>
        <v>51716</v>
      </c>
      <c r="AZ61" s="4">
        <f t="shared" si="187"/>
        <v>60872</v>
      </c>
      <c r="BA61" s="4">
        <f t="shared" si="187"/>
        <v>72266</v>
      </c>
      <c r="BB61" s="4">
        <f t="shared" si="187"/>
        <v>77661</v>
      </c>
      <c r="BJ61" s="5">
        <f>+N61</f>
        <v>61867</v>
      </c>
      <c r="BK61" s="5">
        <f t="shared" ref="BK61:BR61" si="188">+BJ61+BK44</f>
        <v>138163.28899999999</v>
      </c>
      <c r="BL61" s="5">
        <f t="shared" si="188"/>
        <v>226299.28899999999</v>
      </c>
      <c r="BM61" s="5">
        <f t="shared" si="188"/>
        <v>331971.24246316089</v>
      </c>
      <c r="BN61" s="5">
        <f t="shared" si="188"/>
        <v>458726.10721713962</v>
      </c>
      <c r="BO61" s="5">
        <f t="shared" si="188"/>
        <v>602659.03181200987</v>
      </c>
      <c r="BP61" s="5">
        <f t="shared" si="188"/>
        <v>766189.78829988814</v>
      </c>
      <c r="BQ61" s="5">
        <f t="shared" si="188"/>
        <v>952093.41705155256</v>
      </c>
      <c r="BR61" s="5">
        <f t="shared" si="188"/>
        <v>1163553.1849644687</v>
      </c>
    </row>
    <row r="62" spans="2:73" s="4" customFormat="1" x14ac:dyDescent="0.25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U62" s="4">
        <f>80021+14807</f>
        <v>94828</v>
      </c>
      <c r="V62" s="4">
        <f>75543+14600</f>
        <v>90143</v>
      </c>
      <c r="W62" s="4">
        <f>20840+57588+15778</f>
        <v>94206</v>
      </c>
      <c r="AH62" s="4">
        <f>3614</f>
        <v>3614</v>
      </c>
      <c r="AI62" s="4">
        <v>4750</v>
      </c>
      <c r="AJ62" s="4">
        <v>6940</v>
      </c>
      <c r="AK62" s="4">
        <f>8966+2346</f>
        <v>11312</v>
      </c>
      <c r="AL62" s="4">
        <f>13927+4703</f>
        <v>18630</v>
      </c>
      <c r="AM62" s="4">
        <f>17236+14372</f>
        <v>31608</v>
      </c>
      <c r="AN62" s="4">
        <f>4846+18952+17726</f>
        <v>41524</v>
      </c>
      <c r="AO62" s="4">
        <f>3922+27678+14141</f>
        <v>45741</v>
      </c>
      <c r="AP62" s="4">
        <f>3016+35636+14191</f>
        <v>52843</v>
      </c>
      <c r="AQ62" s="4">
        <f>6438+42610+13692</f>
        <v>62740</v>
      </c>
      <c r="AR62" s="4">
        <f>60592+12210</f>
        <v>72802</v>
      </c>
      <c r="AS62" s="4">
        <f>4851+32900+11004</f>
        <v>48755</v>
      </c>
      <c r="AT62" s="4">
        <f>34161+9232</f>
        <v>43393</v>
      </c>
      <c r="AU62" s="4">
        <f>23411+10117</f>
        <v>33528</v>
      </c>
      <c r="AV62" s="4">
        <f>23662+6588</f>
        <v>30250</v>
      </c>
      <c r="AW62" s="4">
        <f>31447+4933</f>
        <v>36380</v>
      </c>
      <c r="AX62" s="4">
        <f>36788+7754</f>
        <v>44542</v>
      </c>
      <c r="AY62" s="4">
        <f>52772+10865</f>
        <v>63637</v>
      </c>
      <c r="AZ62" s="4">
        <f>63040+9776</f>
        <v>72816</v>
      </c>
      <c r="BA62" s="4">
        <f>77022+10844</f>
        <v>87866</v>
      </c>
      <c r="BB62" s="4">
        <f>85709+14597</f>
        <v>100306</v>
      </c>
      <c r="BH62" s="5"/>
      <c r="BI62" s="5"/>
      <c r="BJ62" s="5"/>
      <c r="BK62" s="5"/>
    </row>
    <row r="63" spans="2:73" s="4" customFormat="1" x14ac:dyDescent="0.25">
      <c r="B63" s="4" t="s">
        <v>34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U63" s="4">
        <v>44029</v>
      </c>
      <c r="V63" s="4">
        <v>56924</v>
      </c>
      <c r="W63" s="4">
        <v>44148</v>
      </c>
      <c r="AH63" s="4">
        <v>475</v>
      </c>
      <c r="AI63" s="4">
        <v>581</v>
      </c>
      <c r="AJ63" s="4">
        <v>639</v>
      </c>
      <c r="AK63" s="4">
        <v>980</v>
      </c>
      <c r="AL63" s="4">
        <v>1460</v>
      </c>
      <c r="AM63" s="4">
        <v>2245</v>
      </c>
      <c r="AN63" s="4">
        <v>3250</v>
      </c>
      <c r="AO63" s="4">
        <v>3671</v>
      </c>
      <c r="AP63" s="4">
        <v>5129</v>
      </c>
      <c r="AQ63" s="4">
        <v>5196</v>
      </c>
      <c r="AR63" s="4">
        <v>5890</v>
      </c>
      <c r="AS63" s="4">
        <v>7180</v>
      </c>
      <c r="AT63" s="4">
        <v>9316</v>
      </c>
      <c r="AU63" s="4">
        <v>11338</v>
      </c>
      <c r="AV63" s="4">
        <v>13589</v>
      </c>
      <c r="AW63" s="4">
        <v>11192</v>
      </c>
      <c r="AX63" s="4">
        <v>13014</v>
      </c>
      <c r="AY63" s="4">
        <v>14987</v>
      </c>
      <c r="AZ63" s="4">
        <v>15780</v>
      </c>
      <c r="BA63" s="4">
        <v>17486</v>
      </c>
      <c r="BB63" s="4">
        <v>19544</v>
      </c>
      <c r="BH63" s="5"/>
      <c r="BI63" s="5"/>
      <c r="BJ63" s="5"/>
      <c r="BK63" s="5"/>
    </row>
    <row r="64" spans="2:73" s="4" customFormat="1" x14ac:dyDescent="0.25">
      <c r="B64" s="4" t="s">
        <v>35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U64" s="4">
        <v>1304</v>
      </c>
      <c r="V64" s="4">
        <v>1246</v>
      </c>
      <c r="W64" s="4">
        <v>1626</v>
      </c>
      <c r="AH64" s="4">
        <v>102</v>
      </c>
      <c r="AI64" s="4">
        <v>88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673</v>
      </c>
      <c r="AQ64" s="4">
        <v>640</v>
      </c>
      <c r="AR64" s="4">
        <v>421</v>
      </c>
      <c r="AS64" s="4">
        <v>491</v>
      </c>
      <c r="AT64" s="4">
        <v>1478</v>
      </c>
      <c r="AU64" s="4">
        <v>1127</v>
      </c>
      <c r="AV64" s="4">
        <v>985</v>
      </c>
      <c r="AW64" s="4">
        <v>717</v>
      </c>
      <c r="AX64" s="4">
        <v>740</v>
      </c>
      <c r="AY64" s="4">
        <v>1372</v>
      </c>
      <c r="AZ64" s="4">
        <v>1137</v>
      </c>
      <c r="BA64" s="4">
        <v>1938</v>
      </c>
      <c r="BB64" s="4">
        <v>2660</v>
      </c>
      <c r="BH64" s="5"/>
      <c r="BI64" s="5"/>
      <c r="BJ64" s="5"/>
      <c r="BK64" s="5"/>
    </row>
    <row r="65" spans="2:63" s="4" customFormat="1" x14ac:dyDescent="0.25">
      <c r="B65" s="4" t="s">
        <v>36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U65" s="4">
        <v>21826</v>
      </c>
      <c r="V65" s="4">
        <v>26021</v>
      </c>
      <c r="W65" s="4">
        <v>25724</v>
      </c>
      <c r="AH65" s="4">
        <v>121</v>
      </c>
      <c r="AI65" s="4">
        <v>201</v>
      </c>
      <c r="AJ65" s="4">
        <v>260</v>
      </c>
      <c r="AK65" s="4">
        <v>427</v>
      </c>
      <c r="AL65" s="4">
        <v>502</v>
      </c>
      <c r="AM65" s="4">
        <v>752</v>
      </c>
      <c r="AN65" s="4">
        <f>1552+1708</f>
        <v>3260</v>
      </c>
      <c r="AO65" s="4">
        <f>1949+2417</f>
        <v>4366</v>
      </c>
      <c r="AP65" s="4">
        <f>2112+2010</f>
        <v>4122</v>
      </c>
      <c r="AQ65" s="4">
        <f>2506+1583</f>
        <v>4089</v>
      </c>
      <c r="AR65" s="4">
        <f>2097+1566</f>
        <v>3663</v>
      </c>
      <c r="AS65" s="4">
        <f>1701+1614</f>
        <v>3315</v>
      </c>
      <c r="AT65" s="4">
        <f>1940+2115</f>
        <v>4055</v>
      </c>
      <c r="AU65" s="4">
        <f>1899+2393</f>
        <v>4292</v>
      </c>
      <c r="AV65" s="4">
        <f>2017+2989</f>
        <v>5006</v>
      </c>
      <c r="AW65" s="4">
        <f>2213+3711</f>
        <v>5924</v>
      </c>
      <c r="AX65" s="4">
        <f>2184+2950</f>
        <v>5134</v>
      </c>
      <c r="AY65" s="4">
        <f>2467+3320</f>
        <v>5787</v>
      </c>
      <c r="AZ65" s="4">
        <f>2035+3092</f>
        <v>5127</v>
      </c>
      <c r="BA65" s="4">
        <f>1632+3388</f>
        <v>5020</v>
      </c>
      <c r="BB65" s="4">
        <f>1941+4392</f>
        <v>6333</v>
      </c>
      <c r="BH65" s="5"/>
      <c r="BI65" s="5"/>
      <c r="BJ65" s="5"/>
      <c r="BK65" s="5"/>
    </row>
    <row r="66" spans="2:63" s="4" customFormat="1" x14ac:dyDescent="0.25">
      <c r="B66" s="4" t="s">
        <v>37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U66" s="4">
        <v>121375</v>
      </c>
      <c r="V66" s="4">
        <v>135591</v>
      </c>
      <c r="W66" s="4">
        <v>152863</v>
      </c>
      <c r="AH66" s="4">
        <v>930</v>
      </c>
      <c r="AI66" s="4">
        <v>1192</v>
      </c>
      <c r="AJ66" s="4">
        <v>1326</v>
      </c>
      <c r="AK66" s="4">
        <v>1465</v>
      </c>
      <c r="AL66" s="4">
        <v>1505</v>
      </c>
      <c r="AM66" s="4">
        <v>1611</v>
      </c>
      <c r="AN66" s="4">
        <v>1903</v>
      </c>
      <c r="AO66" s="4">
        <v>2309</v>
      </c>
      <c r="AP66" s="4">
        <v>2268</v>
      </c>
      <c r="AQ66" s="4">
        <v>2223</v>
      </c>
      <c r="AR66" s="4">
        <v>2326</v>
      </c>
      <c r="AS66" s="4">
        <v>2346</v>
      </c>
      <c r="AT66" s="4">
        <v>3044</v>
      </c>
      <c r="AU66" s="4">
        <v>4350</v>
      </c>
      <c r="AV66" s="4">
        <v>6242</v>
      </c>
      <c r="AW66" s="4">
        <v>7535</v>
      </c>
      <c r="AX66" s="4">
        <v>7630</v>
      </c>
      <c r="AY66" s="4">
        <v>8162</v>
      </c>
      <c r="AZ66" s="4">
        <v>8269</v>
      </c>
      <c r="BA66" s="4">
        <v>9991</v>
      </c>
      <c r="BB66" s="4">
        <v>13011</v>
      </c>
      <c r="BH66" s="5"/>
      <c r="BI66" s="5"/>
      <c r="BJ66" s="5"/>
      <c r="BK66" s="5"/>
    </row>
    <row r="67" spans="2:63" s="4" customFormat="1" x14ac:dyDescent="0.25">
      <c r="B67" s="4" t="s">
        <v>38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U67" s="4">
        <v>17371</v>
      </c>
      <c r="V67" s="4">
        <v>18961</v>
      </c>
      <c r="W67" s="4">
        <v>20528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H67" s="5"/>
      <c r="BI67" s="5"/>
      <c r="BJ67" s="5"/>
      <c r="BK67" s="5"/>
    </row>
    <row r="68" spans="2:63" s="4" customFormat="1" x14ac:dyDescent="0.25">
      <c r="B68" s="4" t="s">
        <v>39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U68" s="4">
        <f>119163+28828</f>
        <v>147991</v>
      </c>
      <c r="V68" s="4">
        <f>119220+27597</f>
        <v>146817</v>
      </c>
      <c r="W68" s="4">
        <f>119374+26751</f>
        <v>146125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f>1426+243</f>
        <v>1669</v>
      </c>
      <c r="AQ68" s="4">
        <f>3128+384</f>
        <v>3512</v>
      </c>
      <c r="AR68" s="4">
        <f>3115+569</f>
        <v>3684</v>
      </c>
      <c r="AS68" s="4">
        <f>3309+499</f>
        <v>3808</v>
      </c>
      <c r="AT68" s="4">
        <f>3866+539</f>
        <v>4405</v>
      </c>
      <c r="AU68" s="4">
        <f>4760+878</f>
        <v>5638</v>
      </c>
      <c r="AV68" s="4">
        <f>12108+1973</f>
        <v>14081</v>
      </c>
      <c r="AW68" s="4">
        <f>12503+1759</f>
        <v>14262</v>
      </c>
      <c r="AX68" s="4">
        <f>12394+1158</f>
        <v>13552</v>
      </c>
      <c r="AY68" s="4">
        <f>12581+744</f>
        <v>13325</v>
      </c>
      <c r="AZ68" s="4">
        <f>13452+3170</f>
        <v>16622</v>
      </c>
      <c r="BA68" s="4">
        <f>14655+3083</f>
        <v>17738</v>
      </c>
      <c r="BB68" s="4">
        <f>20127+6981</f>
        <v>27108</v>
      </c>
      <c r="BH68" s="5"/>
      <c r="BI68" s="5"/>
      <c r="BJ68" s="5"/>
      <c r="BK68" s="5"/>
    </row>
    <row r="69" spans="2:63" s="4" customFormat="1" x14ac:dyDescent="0.25">
      <c r="B69" s="4" t="s">
        <v>41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U69" s="4">
        <v>35551</v>
      </c>
      <c r="V69" s="4">
        <v>36460</v>
      </c>
      <c r="W69" s="4">
        <v>37793</v>
      </c>
      <c r="AH69" s="4">
        <v>121</v>
      </c>
      <c r="AI69" s="4">
        <v>398</v>
      </c>
      <c r="AJ69" s="4">
        <v>928</v>
      </c>
      <c r="AK69" s="4">
        <v>203</v>
      </c>
      <c r="AL69" s="4">
        <v>260</v>
      </c>
      <c r="AM69" s="4">
        <v>940</v>
      </c>
      <c r="AN69" s="4">
        <v>2213</v>
      </c>
      <c r="AO69" s="4">
        <v>3170</v>
      </c>
      <c r="AP69" s="4">
        <v>942</v>
      </c>
      <c r="AQ69" s="4">
        <v>1171</v>
      </c>
      <c r="AR69" s="4">
        <f>1829+1774</f>
        <v>3603</v>
      </c>
      <c r="AS69" s="4">
        <f>3621+1299</f>
        <v>4920</v>
      </c>
      <c r="AT69" s="4">
        <f>2611+1295</f>
        <v>3906</v>
      </c>
      <c r="AU69" s="4">
        <f>1389+1509</f>
        <v>2898</v>
      </c>
      <c r="AV69" s="4">
        <f>949+1691</f>
        <v>2640</v>
      </c>
      <c r="AW69" s="4">
        <f>279+1599</f>
        <v>1878</v>
      </c>
      <c r="AX69" s="4">
        <v>1501</v>
      </c>
      <c r="AY69" s="4">
        <f>1434</f>
        <v>1434</v>
      </c>
      <c r="AZ69" s="4">
        <v>1520</v>
      </c>
      <c r="BA69" s="4">
        <v>2392</v>
      </c>
      <c r="BB69" s="4">
        <v>3422</v>
      </c>
      <c r="BH69" s="5"/>
      <c r="BI69" s="5"/>
      <c r="BJ69" s="5"/>
      <c r="BK69" s="5"/>
    </row>
    <row r="70" spans="2:63" s="6" customFormat="1" x14ac:dyDescent="0.25">
      <c r="B70" s="6" t="s">
        <v>40</v>
      </c>
      <c r="C70" s="7"/>
      <c r="D70" s="7"/>
      <c r="E70" s="7"/>
      <c r="F70" s="7"/>
      <c r="G70" s="7">
        <f t="shared" ref="G70:H70" si="189">SUM(G62:G69)</f>
        <v>301001</v>
      </c>
      <c r="H70" s="7">
        <f t="shared" si="189"/>
        <v>304137</v>
      </c>
      <c r="I70" s="7">
        <f t="shared" ref="I70:K70" si="190">SUM(I62:I69)</f>
        <v>308879</v>
      </c>
      <c r="J70" s="7">
        <f t="shared" si="190"/>
        <v>333779</v>
      </c>
      <c r="K70" s="7">
        <f t="shared" si="190"/>
        <v>335418</v>
      </c>
      <c r="L70" s="7">
        <f t="shared" ref="L70" si="191">SUM(L62:L69)</f>
        <v>340389</v>
      </c>
      <c r="M70" s="7">
        <f t="shared" ref="M70:W70" si="192">SUM(M62:M69)</f>
        <v>344607</v>
      </c>
      <c r="N70" s="7">
        <f t="shared" si="192"/>
        <v>364840</v>
      </c>
      <c r="O70" s="7">
        <f t="shared" si="192"/>
        <v>359784</v>
      </c>
      <c r="P70" s="7">
        <f t="shared" si="192"/>
        <v>364552</v>
      </c>
      <c r="Q70" s="7">
        <f t="shared" si="192"/>
        <v>380088</v>
      </c>
      <c r="R70" s="7">
        <f t="shared" si="192"/>
        <v>411976</v>
      </c>
      <c r="S70" s="7">
        <f t="shared" si="192"/>
        <v>445785</v>
      </c>
      <c r="T70" s="7">
        <f t="shared" si="192"/>
        <v>470558</v>
      </c>
      <c r="U70" s="7">
        <f t="shared" si="192"/>
        <v>484275</v>
      </c>
      <c r="V70" s="7">
        <f t="shared" si="192"/>
        <v>512163</v>
      </c>
      <c r="W70" s="7">
        <f t="shared" si="192"/>
        <v>523013</v>
      </c>
      <c r="X70" s="7"/>
      <c r="Y70" s="7"/>
      <c r="Z70" s="7"/>
      <c r="AA70" s="7"/>
      <c r="AH70" s="6">
        <f t="shared" ref="AH70:BB70" si="193">SUM(AH62:AH69)</f>
        <v>5363</v>
      </c>
      <c r="AI70" s="6">
        <f t="shared" si="193"/>
        <v>7210</v>
      </c>
      <c r="AJ70" s="6">
        <f t="shared" si="193"/>
        <v>10093</v>
      </c>
      <c r="AK70" s="6">
        <f t="shared" si="193"/>
        <v>14387</v>
      </c>
      <c r="AL70" s="6">
        <f t="shared" si="193"/>
        <v>22357</v>
      </c>
      <c r="AM70" s="6">
        <f t="shared" si="193"/>
        <v>37156</v>
      </c>
      <c r="AN70" s="6">
        <f t="shared" si="193"/>
        <v>52150</v>
      </c>
      <c r="AO70" s="6">
        <f t="shared" si="193"/>
        <v>59257</v>
      </c>
      <c r="AP70" s="6">
        <f t="shared" si="193"/>
        <v>67646</v>
      </c>
      <c r="AQ70" s="6">
        <f t="shared" si="193"/>
        <v>79571</v>
      </c>
      <c r="AR70" s="6">
        <f t="shared" si="193"/>
        <v>92389</v>
      </c>
      <c r="AS70" s="6">
        <f t="shared" si="193"/>
        <v>70815</v>
      </c>
      <c r="AT70" s="6">
        <f t="shared" si="193"/>
        <v>69597</v>
      </c>
      <c r="AU70" s="6">
        <f t="shared" si="193"/>
        <v>63171</v>
      </c>
      <c r="AV70" s="6">
        <f t="shared" si="193"/>
        <v>72793</v>
      </c>
      <c r="AW70" s="6">
        <f t="shared" si="193"/>
        <v>77888</v>
      </c>
      <c r="AX70" s="6">
        <f t="shared" si="193"/>
        <v>86113</v>
      </c>
      <c r="AY70" s="6">
        <f t="shared" si="193"/>
        <v>108704</v>
      </c>
      <c r="AZ70" s="6">
        <f t="shared" si="193"/>
        <v>121271</v>
      </c>
      <c r="BA70" s="6">
        <f t="shared" si="193"/>
        <v>142431</v>
      </c>
      <c r="BB70" s="6">
        <f t="shared" si="193"/>
        <v>172384</v>
      </c>
      <c r="BH70" s="7"/>
      <c r="BI70" s="7"/>
      <c r="BJ70" s="7"/>
      <c r="BK70" s="7"/>
    </row>
    <row r="71" spans="2:63" x14ac:dyDescent="0.25">
      <c r="AL71" t="s">
        <v>157</v>
      </c>
    </row>
    <row r="72" spans="2:63" s="4" customFormat="1" x14ac:dyDescent="0.25">
      <c r="B72" s="4" t="s">
        <v>42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U72" s="4">
        <v>18087</v>
      </c>
      <c r="V72" s="4">
        <v>21996</v>
      </c>
      <c r="W72" s="4">
        <v>22768</v>
      </c>
      <c r="AH72" s="4">
        <v>324</v>
      </c>
      <c r="AI72" s="4">
        <v>563</v>
      </c>
      <c r="AJ72" s="4">
        <v>808</v>
      </c>
      <c r="AK72" s="4">
        <v>721</v>
      </c>
      <c r="AL72" s="4">
        <v>759</v>
      </c>
      <c r="AM72" s="4">
        <v>874</v>
      </c>
      <c r="AN72" s="4">
        <v>1083</v>
      </c>
      <c r="AO72" s="4">
        <v>1188</v>
      </c>
      <c r="AP72" s="4">
        <v>1208</v>
      </c>
      <c r="AQ72" s="4">
        <v>1573</v>
      </c>
      <c r="AR72" s="4">
        <v>1717</v>
      </c>
      <c r="AS72" s="4">
        <v>2086</v>
      </c>
      <c r="AT72" s="4">
        <v>2909</v>
      </c>
      <c r="AU72" s="4">
        <v>3247</v>
      </c>
      <c r="AV72" s="4">
        <v>4034</v>
      </c>
      <c r="AW72" s="4">
        <f>3324</f>
        <v>3324</v>
      </c>
      <c r="AX72" s="4">
        <v>4025</v>
      </c>
      <c r="AY72" s="4">
        <v>4197</v>
      </c>
      <c r="AZ72" s="4">
        <v>4175</v>
      </c>
      <c r="BA72" s="4">
        <v>4828</v>
      </c>
      <c r="BB72" s="4">
        <v>7432</v>
      </c>
      <c r="BH72" s="5"/>
      <c r="BI72" s="5"/>
      <c r="BJ72" s="5"/>
      <c r="BK72" s="5"/>
    </row>
    <row r="73" spans="2:63" s="4" customFormat="1" x14ac:dyDescent="0.25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U73" s="4">
        <f>20535+42658+2249</f>
        <v>65442</v>
      </c>
      <c r="V73" s="4">
        <f>6693+42688+2249</f>
        <v>51630</v>
      </c>
      <c r="W73" s="4">
        <f>0+2249+42868</f>
        <v>45117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f>2000+3746</f>
        <v>5746</v>
      </c>
      <c r="AX73" s="4">
        <f>1000+4939</f>
        <v>5939</v>
      </c>
      <c r="AY73" s="4">
        <v>11921</v>
      </c>
      <c r="AZ73" s="4">
        <f>1231+10713</f>
        <v>11944</v>
      </c>
      <c r="BA73" s="4">
        <f>2999+12601</f>
        <v>15600</v>
      </c>
      <c r="BB73" s="4">
        <f>2000+20645</f>
        <v>22645</v>
      </c>
      <c r="BH73" s="5"/>
      <c r="BI73" s="5"/>
      <c r="BJ73" s="5"/>
      <c r="BK73" s="5"/>
    </row>
    <row r="74" spans="2:63" s="4" customFormat="1" x14ac:dyDescent="0.25">
      <c r="B74" s="4" t="s">
        <v>44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U74" s="4">
        <v>10432</v>
      </c>
      <c r="V74" s="4">
        <v>12564</v>
      </c>
      <c r="W74" s="4">
        <v>8326</v>
      </c>
      <c r="AH74" s="4">
        <v>96</v>
      </c>
      <c r="AI74" s="4">
        <v>130</v>
      </c>
      <c r="AJ74" s="4">
        <v>202</v>
      </c>
      <c r="AK74" s="4">
        <v>336</v>
      </c>
      <c r="AL74" s="4">
        <v>359</v>
      </c>
      <c r="AM74" s="4">
        <v>396</v>
      </c>
      <c r="AN74" s="4">
        <v>557</v>
      </c>
      <c r="AO74" s="4">
        <v>742</v>
      </c>
      <c r="AP74" s="4">
        <v>1145</v>
      </c>
      <c r="AQ74" s="4">
        <v>1416</v>
      </c>
      <c r="AR74" s="4">
        <v>1339</v>
      </c>
      <c r="AS74" s="4">
        <v>1662</v>
      </c>
      <c r="AT74" s="4">
        <v>1938</v>
      </c>
      <c r="AU74" s="4">
        <v>2325</v>
      </c>
      <c r="AV74" s="4">
        <v>2934</v>
      </c>
      <c r="AW74" s="4">
        <v>3156</v>
      </c>
      <c r="AX74" s="4">
        <v>3283</v>
      </c>
      <c r="AY74" s="4">
        <v>3575</v>
      </c>
      <c r="AZ74" s="4">
        <v>3875</v>
      </c>
      <c r="BA74" s="4">
        <v>4117</v>
      </c>
      <c r="BB74" s="4">
        <v>4797</v>
      </c>
      <c r="BH74" s="5"/>
      <c r="BI74" s="5"/>
      <c r="BJ74" s="5"/>
      <c r="BK74" s="5"/>
    </row>
    <row r="75" spans="2:63" s="4" customFormat="1" x14ac:dyDescent="0.25">
      <c r="B75" s="4" t="s">
        <v>29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U75" s="4">
        <f>7311+26786+2469</f>
        <v>36566</v>
      </c>
      <c r="V75" s="4">
        <f>5017+27931+2618</f>
        <v>35566</v>
      </c>
      <c r="W75" s="4">
        <f>9717+2581+24452</f>
        <v>36750</v>
      </c>
      <c r="AH75" s="4">
        <v>305</v>
      </c>
      <c r="AI75" s="4">
        <v>410</v>
      </c>
      <c r="AJ75" s="4">
        <v>484</v>
      </c>
      <c r="AK75" s="4">
        <v>466</v>
      </c>
      <c r="AL75" s="4">
        <v>915</v>
      </c>
      <c r="AM75" s="4">
        <v>1607</v>
      </c>
      <c r="AN75" s="4">
        <v>585</v>
      </c>
      <c r="AO75" s="4">
        <v>1468</v>
      </c>
      <c r="AP75" s="4">
        <v>2022</v>
      </c>
      <c r="AQ75" s="4">
        <v>2044</v>
      </c>
      <c r="AR75" s="4">
        <v>3478</v>
      </c>
      <c r="AS75" s="4">
        <f>2020</f>
        <v>2020</v>
      </c>
      <c r="AT75" s="4">
        <v>1557</v>
      </c>
      <c r="AU75" s="4">
        <v>1040</v>
      </c>
      <c r="AV75" s="4">
        <v>3248</v>
      </c>
      <c r="AW75" s="4">
        <f>725</f>
        <v>725</v>
      </c>
      <c r="AX75" s="4">
        <v>1074</v>
      </c>
      <c r="AY75" s="4">
        <v>580</v>
      </c>
      <c r="AZ75" s="4">
        <v>789</v>
      </c>
      <c r="BA75" s="4">
        <v>592</v>
      </c>
      <c r="BB75" s="4">
        <f>782+2728</f>
        <v>3510</v>
      </c>
      <c r="BH75" s="5"/>
      <c r="BI75" s="5"/>
      <c r="BJ75" s="5"/>
      <c r="BK75" s="5"/>
    </row>
    <row r="76" spans="2:63" s="4" customFormat="1" x14ac:dyDescent="0.25">
      <c r="B76" s="4" t="s">
        <v>43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U76" s="4">
        <f>41888+2945</f>
        <v>44833</v>
      </c>
      <c r="V76" s="4">
        <f>2602+57582</f>
        <v>60184</v>
      </c>
      <c r="W76" s="4">
        <f>53026+2663</f>
        <v>55689</v>
      </c>
      <c r="AH76" s="4">
        <v>0</v>
      </c>
      <c r="AI76" s="4">
        <v>0</v>
      </c>
      <c r="AJ76" s="4">
        <v>560</v>
      </c>
      <c r="AK76" s="4">
        <v>1418</v>
      </c>
      <c r="AL76" s="4">
        <v>2888</v>
      </c>
      <c r="AM76" s="4">
        <v>4239</v>
      </c>
      <c r="AN76" s="4">
        <v>4816</v>
      </c>
      <c r="AO76" s="4">
        <v>5614</v>
      </c>
      <c r="AP76" s="4">
        <f>5920+1823</f>
        <v>7743</v>
      </c>
      <c r="AQ76" s="4">
        <f>7225+1790</f>
        <v>9015</v>
      </c>
      <c r="AR76" s="4">
        <f>6514+1663</f>
        <v>8177</v>
      </c>
      <c r="AS76" s="4">
        <f>7502+1665</f>
        <v>9167</v>
      </c>
      <c r="AT76" s="4">
        <f>9138+1764</f>
        <v>10902</v>
      </c>
      <c r="AU76" s="4">
        <f>10779+1867</f>
        <v>12646</v>
      </c>
      <c r="AV76" s="4">
        <f>13397+1900</f>
        <v>15297</v>
      </c>
      <c r="AW76" s="4">
        <f>13003+1281</f>
        <v>14284</v>
      </c>
      <c r="AX76" s="4">
        <f>13652+1178</f>
        <v>14830</v>
      </c>
      <c r="AY76" s="4">
        <f>15722+1398</f>
        <v>17120</v>
      </c>
      <c r="AZ76" s="4">
        <f>18653+1406</f>
        <v>20059</v>
      </c>
      <c r="BA76" s="4">
        <f>20639+1760</f>
        <v>22399</v>
      </c>
      <c r="BB76" s="4">
        <f>23150+2008</f>
        <v>25158</v>
      </c>
      <c r="BH76" s="5"/>
      <c r="BI76" s="5"/>
      <c r="BJ76" s="5"/>
      <c r="BK76" s="5"/>
    </row>
    <row r="77" spans="2:63" s="4" customFormat="1" x14ac:dyDescent="0.25">
      <c r="B77" s="4" t="s">
        <v>45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U77" s="4">
        <v>18023</v>
      </c>
      <c r="V77" s="4">
        <v>19185</v>
      </c>
      <c r="W77" s="4">
        <v>19114</v>
      </c>
      <c r="AH77" s="4">
        <v>188</v>
      </c>
      <c r="AI77" s="4">
        <v>244</v>
      </c>
      <c r="AJ77" s="4">
        <v>371</v>
      </c>
      <c r="AK77" s="4">
        <v>669</v>
      </c>
      <c r="AL77" s="4">
        <v>809</v>
      </c>
      <c r="AM77" s="4">
        <v>1602</v>
      </c>
      <c r="AN77" s="4">
        <v>2714</v>
      </c>
      <c r="AO77" s="4">
        <v>2120</v>
      </c>
      <c r="AP77" s="4">
        <v>2449</v>
      </c>
      <c r="AQ77" s="4">
        <v>1716</v>
      </c>
      <c r="AR77" s="4">
        <v>1921</v>
      </c>
      <c r="AS77" s="4">
        <v>3607</v>
      </c>
      <c r="AT77" s="4">
        <v>3783</v>
      </c>
      <c r="AU77" s="4">
        <v>3622</v>
      </c>
      <c r="AV77" s="4">
        <v>3659</v>
      </c>
      <c r="AW77" s="4">
        <v>3142</v>
      </c>
      <c r="AX77" s="4">
        <v>2931</v>
      </c>
      <c r="AY77" s="4">
        <f>3492</f>
        <v>3492</v>
      </c>
      <c r="AZ77" s="4">
        <v>3151</v>
      </c>
      <c r="BA77" s="4">
        <v>3597</v>
      </c>
      <c r="BB77" s="4">
        <v>6906</v>
      </c>
      <c r="BH77" s="5"/>
      <c r="BI77" s="5"/>
      <c r="BJ77" s="5"/>
      <c r="BK77" s="5"/>
    </row>
    <row r="78" spans="2:63" s="4" customFormat="1" x14ac:dyDescent="0.25">
      <c r="B78" s="4" t="s">
        <v>38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U78" s="4">
        <v>14469</v>
      </c>
      <c r="V78" s="4">
        <v>15497</v>
      </c>
      <c r="W78" s="4">
        <v>16361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H78" s="5"/>
      <c r="BI78" s="5"/>
      <c r="BJ78" s="5"/>
      <c r="BK78" s="5"/>
    </row>
    <row r="79" spans="2:63" s="4" customFormat="1" x14ac:dyDescent="0.25">
      <c r="B79" s="4" t="s">
        <v>47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U79" s="4">
        <v>23271</v>
      </c>
      <c r="V79" s="4">
        <v>27064</v>
      </c>
      <c r="W79" s="4">
        <v>31165</v>
      </c>
      <c r="AH79" s="4">
        <v>0</v>
      </c>
      <c r="AI79" s="4">
        <f>125+405</f>
        <v>530</v>
      </c>
      <c r="AJ79" s="4">
        <f>125+635</f>
        <v>760</v>
      </c>
      <c r="AK79" s="4">
        <v>0</v>
      </c>
      <c r="AL79" s="4">
        <v>0</v>
      </c>
      <c r="AM79" s="4">
        <v>0</v>
      </c>
      <c r="AN79" s="4">
        <v>1027</v>
      </c>
      <c r="AO79" s="4">
        <f>836</f>
        <v>836</v>
      </c>
      <c r="AP79" s="4">
        <f>398+501</f>
        <v>899</v>
      </c>
      <c r="AQ79" s="4">
        <f>1731+1056</f>
        <v>2787</v>
      </c>
      <c r="AR79" s="4">
        <v>932</v>
      </c>
      <c r="AS79" s="4">
        <v>4158</v>
      </c>
      <c r="AT79" s="4">
        <f>5287+3117</f>
        <v>8404</v>
      </c>
      <c r="AU79" s="4">
        <f>6453+2741</f>
        <v>9194</v>
      </c>
      <c r="AV79" s="4">
        <f>4721+2614</f>
        <v>7335</v>
      </c>
      <c r="AW79" s="4">
        <f>1684+6269</f>
        <v>7953</v>
      </c>
      <c r="AX79" s="4">
        <f>7445+229+182</f>
        <v>7856</v>
      </c>
      <c r="AY79" s="4">
        <f>8072+1456+1208</f>
        <v>10736</v>
      </c>
      <c r="AZ79" s="4">
        <f>8208+1893+814</f>
        <v>10915</v>
      </c>
      <c r="BA79" s="4">
        <f>10000+1709+645</f>
        <v>12354</v>
      </c>
      <c r="BB79" s="4">
        <f>11594+558</f>
        <v>12152</v>
      </c>
      <c r="BH79" s="5"/>
      <c r="BI79" s="5"/>
      <c r="BJ79" s="5"/>
      <c r="BK79" s="5"/>
    </row>
    <row r="80" spans="2:63" s="4" customFormat="1" x14ac:dyDescent="0.25">
      <c r="B80" s="4" t="s">
        <v>46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U80" s="4">
        <v>253152</v>
      </c>
      <c r="V80" s="4">
        <v>268477</v>
      </c>
      <c r="W80" s="4">
        <v>287723</v>
      </c>
      <c r="AH80" s="4">
        <v>4450</v>
      </c>
      <c r="AI80" s="4">
        <v>5333</v>
      </c>
      <c r="AJ80" s="4">
        <v>6908</v>
      </c>
      <c r="AK80" s="4">
        <f>10777</f>
        <v>10777</v>
      </c>
      <c r="AL80" s="4">
        <v>16627</v>
      </c>
      <c r="AM80" s="4">
        <v>28438</v>
      </c>
      <c r="AN80" s="4">
        <v>41368</v>
      </c>
      <c r="AO80" s="4">
        <v>47289</v>
      </c>
      <c r="AP80" s="4">
        <v>52180</v>
      </c>
      <c r="AQ80" s="4">
        <v>61020</v>
      </c>
      <c r="AR80" s="4">
        <v>74825</v>
      </c>
      <c r="AS80" s="4">
        <v>48115</v>
      </c>
      <c r="AT80" s="4">
        <v>40104</v>
      </c>
      <c r="AU80" s="4">
        <v>31097</v>
      </c>
      <c r="AV80" s="4">
        <v>36286</v>
      </c>
      <c r="AW80" s="4">
        <v>39558</v>
      </c>
      <c r="AX80" s="4">
        <v>46175</v>
      </c>
      <c r="AY80" s="4">
        <v>57083</v>
      </c>
      <c r="AZ80" s="4">
        <v>66363</v>
      </c>
      <c r="BA80" s="4">
        <v>78944</v>
      </c>
      <c r="BB80" s="4">
        <v>89784</v>
      </c>
      <c r="BH80" s="5"/>
      <c r="BI80" s="5"/>
      <c r="BJ80" s="5"/>
      <c r="BK80" s="5"/>
    </row>
    <row r="81" spans="2:63" s="6" customFormat="1" x14ac:dyDescent="0.25">
      <c r="B81" s="6" t="s">
        <v>70</v>
      </c>
      <c r="C81" s="7"/>
      <c r="D81" s="7"/>
      <c r="E81" s="7"/>
      <c r="F81" s="7"/>
      <c r="G81" s="7">
        <f>SUM(G72:G80)</f>
        <v>301001</v>
      </c>
      <c r="H81" s="7">
        <f t="shared" ref="H81" si="194">SUM(H72:H80)</f>
        <v>304137</v>
      </c>
      <c r="I81" s="7">
        <f t="shared" ref="I81:L81" si="195">SUM(I72:I80)</f>
        <v>308879</v>
      </c>
      <c r="J81" s="7">
        <f t="shared" si="195"/>
        <v>333779</v>
      </c>
      <c r="K81" s="7">
        <f t="shared" si="195"/>
        <v>335418</v>
      </c>
      <c r="L81" s="7">
        <f t="shared" si="195"/>
        <v>340389</v>
      </c>
      <c r="M81" s="7">
        <f t="shared" ref="M81:S81" si="196">SUM(M72:M80)</f>
        <v>344607</v>
      </c>
      <c r="N81" s="7">
        <f t="shared" si="196"/>
        <v>364840</v>
      </c>
      <c r="O81" s="7">
        <f t="shared" si="196"/>
        <v>359784</v>
      </c>
      <c r="P81" s="7">
        <f t="shared" si="196"/>
        <v>364552</v>
      </c>
      <c r="Q81" s="7">
        <f t="shared" si="196"/>
        <v>380088</v>
      </c>
      <c r="R81" s="7">
        <f t="shared" si="196"/>
        <v>411976</v>
      </c>
      <c r="S81" s="7">
        <f t="shared" si="196"/>
        <v>445785</v>
      </c>
      <c r="T81" s="7">
        <f t="shared" ref="T81:W81" si="197">SUM(T72:T80)</f>
        <v>470558</v>
      </c>
      <c r="U81" s="7">
        <f t="shared" si="197"/>
        <v>484275</v>
      </c>
      <c r="V81" s="7">
        <f t="shared" si="197"/>
        <v>512163</v>
      </c>
      <c r="W81" s="7">
        <f t="shared" si="197"/>
        <v>523013</v>
      </c>
      <c r="X81" s="7"/>
      <c r="Y81" s="7"/>
      <c r="Z81" s="7"/>
      <c r="AA81" s="7"/>
      <c r="AH81" s="6">
        <f t="shared" ref="AH81:BB81" si="198">SUM(AH72:AH80)</f>
        <v>5363</v>
      </c>
      <c r="AI81" s="6">
        <f t="shared" si="198"/>
        <v>7210</v>
      </c>
      <c r="AJ81" s="6">
        <f t="shared" si="198"/>
        <v>10093</v>
      </c>
      <c r="AK81" s="6">
        <f t="shared" si="198"/>
        <v>14387</v>
      </c>
      <c r="AL81" s="6">
        <f t="shared" si="198"/>
        <v>22357</v>
      </c>
      <c r="AM81" s="6">
        <f t="shared" si="198"/>
        <v>37156</v>
      </c>
      <c r="AN81" s="6">
        <f t="shared" si="198"/>
        <v>52150</v>
      </c>
      <c r="AO81" s="6">
        <f t="shared" si="198"/>
        <v>59257</v>
      </c>
      <c r="AP81" s="6">
        <f t="shared" si="198"/>
        <v>67646</v>
      </c>
      <c r="AQ81" s="6">
        <f t="shared" si="198"/>
        <v>79571</v>
      </c>
      <c r="AR81" s="6">
        <f t="shared" si="198"/>
        <v>92389</v>
      </c>
      <c r="AS81" s="6">
        <f t="shared" si="198"/>
        <v>70815</v>
      </c>
      <c r="AT81" s="6">
        <f t="shared" si="198"/>
        <v>69597</v>
      </c>
      <c r="AU81" s="6">
        <f t="shared" si="198"/>
        <v>63171</v>
      </c>
      <c r="AV81" s="6">
        <f t="shared" si="198"/>
        <v>72793</v>
      </c>
      <c r="AW81" s="6">
        <f t="shared" si="198"/>
        <v>77888</v>
      </c>
      <c r="AX81" s="6">
        <f t="shared" si="198"/>
        <v>86113</v>
      </c>
      <c r="AY81" s="6">
        <f t="shared" si="198"/>
        <v>108704</v>
      </c>
      <c r="AZ81" s="6">
        <f t="shared" si="198"/>
        <v>121271</v>
      </c>
      <c r="BA81" s="6">
        <f t="shared" si="198"/>
        <v>142431</v>
      </c>
      <c r="BB81" s="6">
        <f t="shared" si="198"/>
        <v>172384</v>
      </c>
      <c r="BH81" s="7"/>
      <c r="BI81" s="7"/>
      <c r="BJ81" s="7"/>
      <c r="BK81" s="7"/>
    </row>
    <row r="83" spans="2:63" s="4" customFormat="1" x14ac:dyDescent="0.25">
      <c r="B83" s="4" t="s">
        <v>48</v>
      </c>
      <c r="C83" s="5"/>
      <c r="D83" s="5"/>
      <c r="E83" s="5"/>
      <c r="F83" s="5"/>
      <c r="G83" s="5">
        <f t="shared" ref="G83:H83" si="199">G44</f>
        <v>13893</v>
      </c>
      <c r="H83" s="5">
        <f t="shared" si="199"/>
        <v>15463</v>
      </c>
      <c r="I83" s="5">
        <f t="shared" ref="I83:W83" si="200">I44</f>
        <v>15457</v>
      </c>
      <c r="J83" s="5">
        <f t="shared" si="200"/>
        <v>16458</v>
      </c>
      <c r="K83" s="5">
        <f t="shared" si="200"/>
        <v>20505</v>
      </c>
      <c r="L83" s="5">
        <f t="shared" si="200"/>
        <v>18765</v>
      </c>
      <c r="M83" s="5">
        <f t="shared" si="200"/>
        <v>16728</v>
      </c>
      <c r="N83" s="5">
        <f t="shared" si="200"/>
        <v>16740</v>
      </c>
      <c r="O83" s="5">
        <f t="shared" si="200"/>
        <v>17556</v>
      </c>
      <c r="P83" s="5">
        <f t="shared" si="200"/>
        <v>16425</v>
      </c>
      <c r="Q83" s="5">
        <f t="shared" si="200"/>
        <v>18299</v>
      </c>
      <c r="R83" s="5">
        <f t="shared" si="200"/>
        <v>20081</v>
      </c>
      <c r="S83" s="5">
        <f t="shared" si="200"/>
        <v>22291</v>
      </c>
      <c r="T83" s="5">
        <f t="shared" si="200"/>
        <v>21870</v>
      </c>
      <c r="U83" s="5">
        <f t="shared" si="200"/>
        <v>21939</v>
      </c>
      <c r="V83" s="5">
        <f t="shared" si="200"/>
        <v>22036</v>
      </c>
      <c r="W83" s="5">
        <f t="shared" si="200"/>
        <v>24667</v>
      </c>
      <c r="X83" s="5"/>
      <c r="Y83" s="5"/>
      <c r="Z83" s="5"/>
      <c r="AA83" s="5"/>
      <c r="BH83" s="5"/>
      <c r="BI83" s="5"/>
      <c r="BJ83" s="5"/>
      <c r="BK83" s="5"/>
    </row>
    <row r="84" spans="2:63" s="4" customFormat="1" x14ac:dyDescent="0.25">
      <c r="B84" s="4" t="s">
        <v>49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U84" s="4">
        <v>21939</v>
      </c>
      <c r="V84" s="4">
        <v>22036</v>
      </c>
      <c r="W84" s="4">
        <v>24667</v>
      </c>
      <c r="BH84" s="5"/>
      <c r="BI84" s="5"/>
      <c r="BJ84" s="5"/>
      <c r="BK84" s="5"/>
    </row>
    <row r="85" spans="2:63" s="4" customFormat="1" x14ac:dyDescent="0.25">
      <c r="B85" s="4" t="s">
        <v>51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U85" s="4">
        <v>6027</v>
      </c>
      <c r="V85" s="4">
        <v>6380</v>
      </c>
      <c r="W85" s="4">
        <v>7383</v>
      </c>
      <c r="BH85" s="5"/>
      <c r="BI85" s="5"/>
      <c r="BJ85" s="5"/>
      <c r="BK85" s="5"/>
    </row>
    <row r="86" spans="2:63" s="4" customFormat="1" x14ac:dyDescent="0.25">
      <c r="B86" s="4" t="s">
        <v>52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U86" s="4">
        <v>2703</v>
      </c>
      <c r="V86" s="4">
        <v>2696</v>
      </c>
      <c r="W86" s="4">
        <v>2832</v>
      </c>
      <c r="BH86" s="5"/>
      <c r="BI86" s="5"/>
      <c r="BJ86" s="5"/>
      <c r="BK86" s="5"/>
    </row>
    <row r="87" spans="2:63" s="4" customFormat="1" x14ac:dyDescent="0.25">
      <c r="B87" s="4" t="s">
        <v>53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U87" s="4">
        <v>49</v>
      </c>
      <c r="V87" s="4">
        <v>44</v>
      </c>
      <c r="W87" s="4">
        <v>-125</v>
      </c>
      <c r="BH87" s="5"/>
      <c r="BI87" s="5"/>
      <c r="BJ87" s="5"/>
      <c r="BK87" s="5"/>
    </row>
    <row r="88" spans="2:63" s="4" customFormat="1" x14ac:dyDescent="0.25">
      <c r="B88" s="4" t="s">
        <v>54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U88" s="4">
        <v>-1323</v>
      </c>
      <c r="V88" s="4">
        <v>-1145</v>
      </c>
      <c r="W88" s="4">
        <v>-1433</v>
      </c>
      <c r="BH88" s="5"/>
      <c r="BI88" s="5"/>
      <c r="BJ88" s="5"/>
      <c r="BK88" s="5"/>
    </row>
    <row r="89" spans="2:63" s="4" customFormat="1" x14ac:dyDescent="0.25">
      <c r="B89" s="4" t="s">
        <v>55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U89" s="4">
        <f>-2028+260+951-2137+648-645+2622+2803+48</f>
        <v>2522</v>
      </c>
      <c r="V89" s="4">
        <f>-13246+55-2528-1240+4204+15657-806+4652+436</f>
        <v>7184</v>
      </c>
      <c r="W89" s="4">
        <f>14037-373-82-1761-916-5553+1016-5479-33</f>
        <v>856</v>
      </c>
      <c r="BH89" s="5"/>
      <c r="BI89" s="5"/>
      <c r="BJ89" s="5"/>
      <c r="BK89" s="5"/>
    </row>
    <row r="90" spans="2:63" s="4" customFormat="1" x14ac:dyDescent="0.25">
      <c r="B90" s="4" t="s">
        <v>50</v>
      </c>
      <c r="C90" s="5"/>
      <c r="D90" s="5"/>
      <c r="E90" s="5"/>
      <c r="F90" s="5"/>
      <c r="G90" s="5">
        <f t="shared" ref="G90:H90" si="201">SUM(G84:G89)</f>
        <v>19335</v>
      </c>
      <c r="H90" s="5">
        <f t="shared" si="201"/>
        <v>12516</v>
      </c>
      <c r="I90" s="5">
        <f t="shared" ref="I90:K90" si="202">SUM(I84:I89)</f>
        <v>22179</v>
      </c>
      <c r="J90" s="5">
        <f t="shared" si="202"/>
        <v>22710</v>
      </c>
      <c r="K90" s="5">
        <f t="shared" si="202"/>
        <v>24540</v>
      </c>
      <c r="L90" s="5">
        <f t="shared" ref="L90" si="203">SUM(L84:L89)</f>
        <v>14480</v>
      </c>
      <c r="M90" s="5">
        <f t="shared" ref="M90:Q90" si="204">SUM(M84:M89)</f>
        <v>25386</v>
      </c>
      <c r="N90" s="5">
        <f t="shared" si="204"/>
        <v>24629</v>
      </c>
      <c r="O90" s="5">
        <f t="shared" si="204"/>
        <v>23198</v>
      </c>
      <c r="P90" s="5">
        <f t="shared" si="204"/>
        <v>11173</v>
      </c>
      <c r="Q90" s="5">
        <f t="shared" si="204"/>
        <v>24441</v>
      </c>
      <c r="R90" s="5">
        <f t="shared" ref="R90:W90" si="205">SUM(R84:R89)</f>
        <v>28770</v>
      </c>
      <c r="S90" s="5">
        <f t="shared" si="205"/>
        <v>30583</v>
      </c>
      <c r="T90" s="5">
        <f t="shared" si="205"/>
        <v>18853</v>
      </c>
      <c r="U90" s="5">
        <f t="shared" si="205"/>
        <v>31917</v>
      </c>
      <c r="V90" s="5">
        <f t="shared" si="205"/>
        <v>37195</v>
      </c>
      <c r="W90" s="5">
        <f t="shared" si="205"/>
        <v>34180</v>
      </c>
      <c r="X90" s="5"/>
      <c r="Y90" s="5"/>
      <c r="Z90" s="5"/>
      <c r="AA90" s="5"/>
      <c r="BH90" s="5"/>
      <c r="BI90" s="5"/>
      <c r="BJ90" s="5"/>
      <c r="BK90" s="5"/>
    </row>
    <row r="91" spans="2:63" s="4" customFormat="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H91" s="5"/>
      <c r="BI91" s="5"/>
      <c r="BJ91" s="5"/>
      <c r="BK91" s="5"/>
    </row>
    <row r="92" spans="2:63" s="4" customFormat="1" x14ac:dyDescent="0.25">
      <c r="B92" s="4" t="s">
        <v>57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U92" s="4">
        <v>-10952</v>
      </c>
      <c r="V92" s="4">
        <v>-13873</v>
      </c>
      <c r="W92" s="4">
        <v>-14923</v>
      </c>
      <c r="BH92" s="5"/>
      <c r="BI92" s="5"/>
      <c r="BJ92" s="5"/>
      <c r="BK92" s="5"/>
    </row>
    <row r="93" spans="2:63" s="4" customFormat="1" x14ac:dyDescent="0.25">
      <c r="B93" s="4" t="s">
        <v>58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U93" s="4">
        <v>-1575</v>
      </c>
      <c r="V93" s="4">
        <v>-1342</v>
      </c>
      <c r="W93" s="4">
        <v>-1849</v>
      </c>
      <c r="BH93" s="5"/>
      <c r="BI93" s="5"/>
      <c r="BJ93" s="5"/>
      <c r="BK93" s="5"/>
    </row>
    <row r="94" spans="2:63" s="4" customFormat="1" x14ac:dyDescent="0.25">
      <c r="B94" s="4" t="s">
        <v>59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U94" s="4">
        <f>-2183+3350+1941</f>
        <v>3108</v>
      </c>
      <c r="V94" s="4">
        <f>-2831+1557+2023</f>
        <v>749</v>
      </c>
      <c r="W94" s="4">
        <f>2136+1968-1620</f>
        <v>2484</v>
      </c>
      <c r="BH94" s="5"/>
      <c r="BI94" s="5"/>
      <c r="BJ94" s="5"/>
      <c r="BK94" s="5"/>
    </row>
    <row r="95" spans="2:63" s="4" customFormat="1" x14ac:dyDescent="0.25">
      <c r="B95" s="4" t="s">
        <v>27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U95" s="4">
        <v>-1281</v>
      </c>
      <c r="V95" s="4">
        <v>-382</v>
      </c>
      <c r="W95" s="4">
        <v>-913</v>
      </c>
      <c r="BH95" s="5"/>
      <c r="BI95" s="5"/>
      <c r="BJ95" s="5"/>
      <c r="BK95" s="5"/>
    </row>
    <row r="96" spans="2:63" s="4" customFormat="1" x14ac:dyDescent="0.25">
      <c r="B96" s="4" t="s">
        <v>56</v>
      </c>
      <c r="C96" s="5"/>
      <c r="D96" s="5"/>
      <c r="E96" s="5"/>
      <c r="F96" s="5"/>
      <c r="G96" s="5">
        <f t="shared" ref="G96:H96" si="206">SUM(G92:G95)</f>
        <v>-5371</v>
      </c>
      <c r="H96" s="5">
        <f t="shared" si="206"/>
        <v>-1669</v>
      </c>
      <c r="I96" s="5">
        <f t="shared" ref="I96:L96" si="207">SUM(I92:I95)</f>
        <v>-9684</v>
      </c>
      <c r="J96" s="5">
        <f t="shared" si="207"/>
        <v>-10853</v>
      </c>
      <c r="K96" s="5">
        <f t="shared" si="207"/>
        <v>-3250</v>
      </c>
      <c r="L96" s="5">
        <f t="shared" si="207"/>
        <v>-1161</v>
      </c>
      <c r="M96" s="5">
        <f t="shared" ref="M96:W96" si="208">SUM(M92:M95)</f>
        <v>-16171</v>
      </c>
      <c r="N96" s="5">
        <f t="shared" si="208"/>
        <v>-9729</v>
      </c>
      <c r="O96" s="5">
        <f t="shared" si="208"/>
        <v>-3132</v>
      </c>
      <c r="P96" s="5">
        <f t="shared" si="208"/>
        <v>-7150</v>
      </c>
      <c r="Q96" s="5">
        <f t="shared" si="208"/>
        <v>-3264</v>
      </c>
      <c r="R96" s="5">
        <f t="shared" si="208"/>
        <v>-9134</v>
      </c>
      <c r="S96" s="5">
        <f t="shared" si="208"/>
        <v>503</v>
      </c>
      <c r="T96" s="5">
        <f t="shared" si="208"/>
        <v>-71925</v>
      </c>
      <c r="U96" s="5">
        <f t="shared" si="208"/>
        <v>-10700</v>
      </c>
      <c r="V96" s="5">
        <f t="shared" si="208"/>
        <v>-14848</v>
      </c>
      <c r="W96" s="5">
        <f t="shared" si="208"/>
        <v>-15201</v>
      </c>
      <c r="BH96" s="5"/>
      <c r="BI96" s="5"/>
      <c r="BJ96" s="5"/>
      <c r="BK96" s="5"/>
    </row>
    <row r="98" spans="2:63" s="4" customFormat="1" x14ac:dyDescent="0.25">
      <c r="B98" s="4" t="s">
        <v>60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BH98" s="5"/>
      <c r="BI98" s="5"/>
      <c r="BJ98" s="5"/>
      <c r="BK98" s="5"/>
    </row>
    <row r="99" spans="2:63" s="4" customFormat="1" x14ac:dyDescent="0.25">
      <c r="B99" s="4" t="s">
        <v>61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U99" s="4">
        <f>-3810+6352-11589</f>
        <v>-9047</v>
      </c>
      <c r="V99" s="4">
        <f>-1142+197-13065</f>
        <v>-14010</v>
      </c>
      <c r="W99" s="4">
        <f>-5746-966</f>
        <v>-6712</v>
      </c>
      <c r="BH99" s="5"/>
      <c r="BI99" s="5"/>
      <c r="BJ99" s="5"/>
      <c r="BK99" s="5"/>
    </row>
    <row r="100" spans="2:63" s="4" customFormat="1" x14ac:dyDescent="0.25">
      <c r="B100" s="4" t="s">
        <v>62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U100" s="4">
        <f>522-4213</f>
        <v>-3691</v>
      </c>
      <c r="V100" s="4">
        <f>534-4210</f>
        <v>-3676</v>
      </c>
      <c r="W100" s="4">
        <f>-4107+706</f>
        <v>-3401</v>
      </c>
      <c r="BH100" s="5"/>
      <c r="BI100" s="5"/>
      <c r="BJ100" s="5"/>
      <c r="BK100" s="5"/>
    </row>
    <row r="101" spans="2:63" s="4" customFormat="1" x14ac:dyDescent="0.25">
      <c r="B101" s="4" t="s">
        <v>63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U101" s="4">
        <v>-5572</v>
      </c>
      <c r="V101" s="4">
        <v>-5574</v>
      </c>
      <c r="W101" s="4">
        <v>-5574</v>
      </c>
      <c r="BH101" s="5"/>
      <c r="BI101" s="5"/>
      <c r="BJ101" s="5"/>
      <c r="BK101" s="5"/>
    </row>
    <row r="102" spans="2:63" s="4" customFormat="1" x14ac:dyDescent="0.25">
      <c r="B102" s="4" t="s">
        <v>27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U102" s="4">
        <v>-498</v>
      </c>
      <c r="V102" s="4">
        <v>-303</v>
      </c>
      <c r="W102" s="4">
        <v>-889</v>
      </c>
      <c r="BH102" s="5"/>
      <c r="BI102" s="5"/>
      <c r="BJ102" s="5"/>
      <c r="BK102" s="5"/>
    </row>
    <row r="103" spans="2:63" s="4" customFormat="1" x14ac:dyDescent="0.25">
      <c r="B103" s="4" t="s">
        <v>64</v>
      </c>
      <c r="C103" s="5"/>
      <c r="D103" s="5"/>
      <c r="E103" s="5"/>
      <c r="F103" s="5"/>
      <c r="G103" s="5">
        <f t="shared" ref="G103:H103" si="209">SUM(G98:G102)</f>
        <v>-10289</v>
      </c>
      <c r="H103" s="5">
        <f t="shared" si="209"/>
        <v>-13634</v>
      </c>
      <c r="I103" s="5">
        <f t="shared" ref="I103:K103" si="210">SUM(I98:I102)</f>
        <v>-13192</v>
      </c>
      <c r="J103" s="5">
        <f t="shared" si="210"/>
        <v>-11371</v>
      </c>
      <c r="K103" s="5">
        <f t="shared" si="210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W103" si="211">SUM(Q98:Q102)</f>
        <v>-10290</v>
      </c>
      <c r="R103" s="5">
        <f t="shared" si="211"/>
        <v>-11413</v>
      </c>
      <c r="S103" s="5">
        <f t="shared" si="211"/>
        <v>14761</v>
      </c>
      <c r="T103" s="5">
        <f t="shared" si="211"/>
        <v>-10147</v>
      </c>
      <c r="U103" s="5">
        <f t="shared" si="211"/>
        <v>-18808</v>
      </c>
      <c r="V103" s="5">
        <f t="shared" si="211"/>
        <v>-23563</v>
      </c>
      <c r="W103" s="5">
        <f t="shared" si="211"/>
        <v>-16576</v>
      </c>
      <c r="BH103" s="5"/>
      <c r="BI103" s="5"/>
      <c r="BJ103" s="5"/>
      <c r="BK103" s="5"/>
    </row>
    <row r="104" spans="2:63" x14ac:dyDescent="0.25">
      <c r="B104" s="4" t="s">
        <v>65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  <c r="U104" s="4">
        <v>-80</v>
      </c>
      <c r="V104" s="4">
        <v>-103</v>
      </c>
      <c r="W104" s="4">
        <v>122</v>
      </c>
    </row>
    <row r="105" spans="2:63" x14ac:dyDescent="0.25">
      <c r="B105" s="4" t="s">
        <v>66</v>
      </c>
      <c r="G105" s="5">
        <f>G103+G104+G96+G90</f>
        <v>3629</v>
      </c>
      <c r="H105" s="5">
        <f t="shared" ref="G105:H105" si="212">H103+H104+H96+H90</f>
        <v>-2773</v>
      </c>
      <c r="I105" s="5">
        <f t="shared" ref="I105:K105" si="213">I103+I104+I96+I90</f>
        <v>-730</v>
      </c>
      <c r="J105" s="5">
        <f t="shared" si="213"/>
        <v>522</v>
      </c>
      <c r="K105" s="5">
        <f t="shared" si="213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W105" si="214">Q103+Q104+Q96+Q90</f>
        <v>10916</v>
      </c>
      <c r="R105" s="5">
        <f t="shared" si="214"/>
        <v>8142</v>
      </c>
      <c r="S105" s="5">
        <f t="shared" si="214"/>
        <v>45748</v>
      </c>
      <c r="T105" s="5">
        <f t="shared" si="214"/>
        <v>-63147</v>
      </c>
      <c r="U105" s="5">
        <f t="shared" si="214"/>
        <v>2329</v>
      </c>
      <c r="V105" s="5">
        <f t="shared" si="214"/>
        <v>-1319</v>
      </c>
      <c r="W105" s="5">
        <f t="shared" si="214"/>
        <v>2525</v>
      </c>
    </row>
    <row r="107" spans="2:63" x14ac:dyDescent="0.25">
      <c r="B107" s="4" t="s">
        <v>71</v>
      </c>
      <c r="G107" s="5">
        <f>G90+G92</f>
        <v>14428</v>
      </c>
      <c r="H107" s="5">
        <f>H90+H92</f>
        <v>8342</v>
      </c>
      <c r="I107" s="5">
        <f t="shared" ref="G107:K107" si="215">I90+I92</f>
        <v>17090</v>
      </c>
      <c r="J107" s="5">
        <f t="shared" si="215"/>
        <v>16258</v>
      </c>
      <c r="K107" s="5">
        <f t="shared" si="215"/>
        <v>18730</v>
      </c>
      <c r="L107" s="5">
        <f>L90+L92</f>
        <v>8615</v>
      </c>
      <c r="M107" s="5">
        <f t="shared" ref="M107:N107" si="216">M90+M92</f>
        <v>20046</v>
      </c>
      <c r="N107" s="5">
        <f t="shared" si="216"/>
        <v>17758</v>
      </c>
      <c r="O107" s="5">
        <f>O90+O92</f>
        <v>16915</v>
      </c>
      <c r="P107" s="5">
        <f>P90+P92</f>
        <v>4899</v>
      </c>
      <c r="Q107" s="5">
        <f t="shared" ref="Q107:W107" si="217">Q90+Q92</f>
        <v>17834</v>
      </c>
      <c r="R107" s="5">
        <f t="shared" si="217"/>
        <v>19827</v>
      </c>
      <c r="S107" s="5">
        <f t="shared" si="217"/>
        <v>20666</v>
      </c>
      <c r="T107" s="5">
        <f t="shared" si="217"/>
        <v>9118</v>
      </c>
      <c r="U107" s="5">
        <f t="shared" si="217"/>
        <v>20965</v>
      </c>
      <c r="V107" s="5">
        <f t="shared" si="217"/>
        <v>23322</v>
      </c>
      <c r="W107" s="5">
        <f t="shared" si="217"/>
        <v>19257</v>
      </c>
    </row>
    <row r="108" spans="2:63" x14ac:dyDescent="0.25">
      <c r="B108" s="4" t="s">
        <v>102</v>
      </c>
      <c r="K108" s="4">
        <f t="shared" ref="K108:P108" si="218">SUM(H107:K107)</f>
        <v>60420</v>
      </c>
      <c r="L108" s="4">
        <f t="shared" si="218"/>
        <v>60693</v>
      </c>
      <c r="M108" s="4">
        <f t="shared" si="218"/>
        <v>63649</v>
      </c>
      <c r="N108" s="4">
        <f t="shared" si="218"/>
        <v>65149</v>
      </c>
      <c r="O108" s="4">
        <f t="shared" si="218"/>
        <v>63334</v>
      </c>
      <c r="P108" s="4">
        <f t="shared" si="218"/>
        <v>59618</v>
      </c>
      <c r="Q108" s="4">
        <f t="shared" ref="Q108:U108" si="219">SUM(N107:Q107)</f>
        <v>57406</v>
      </c>
      <c r="R108" s="4">
        <f t="shared" si="219"/>
        <v>59475</v>
      </c>
      <c r="S108" s="4">
        <f t="shared" si="219"/>
        <v>63226</v>
      </c>
      <c r="T108" s="4">
        <f t="shared" si="219"/>
        <v>67445</v>
      </c>
      <c r="U108" s="4">
        <f t="shared" si="219"/>
        <v>70576</v>
      </c>
      <c r="V108" s="4">
        <f>SUM(S107:V107)</f>
        <v>74071</v>
      </c>
      <c r="W108" s="4">
        <f>SUM(T107:W107)</f>
        <v>72662</v>
      </c>
    </row>
    <row r="109" spans="2:63" x14ac:dyDescent="0.25">
      <c r="B109" s="4" t="s">
        <v>169</v>
      </c>
      <c r="O109" s="12">
        <f t="shared" ref="O109:U109" si="220">+O108/K108-1</f>
        <v>4.8229063224098034E-2</v>
      </c>
      <c r="P109" s="12">
        <f t="shared" si="220"/>
        <v>-1.7712092004020241E-2</v>
      </c>
      <c r="Q109" s="12">
        <f t="shared" si="220"/>
        <v>-9.8084808873666551E-2</v>
      </c>
      <c r="R109" s="12">
        <f t="shared" si="220"/>
        <v>-8.7092664507513518E-2</v>
      </c>
      <c r="S109" s="12">
        <f t="shared" si="220"/>
        <v>-1.7052452079451275E-3</v>
      </c>
      <c r="T109" s="12">
        <f t="shared" si="220"/>
        <v>0.13128585326579212</v>
      </c>
      <c r="U109" s="12">
        <f t="shared" si="220"/>
        <v>0.22941852768003335</v>
      </c>
      <c r="V109" s="12">
        <f>+V108/R108-1</f>
        <v>0.24541403951240026</v>
      </c>
      <c r="W109" s="12">
        <f>+W108/S108-1</f>
        <v>0.14924240027836655</v>
      </c>
    </row>
    <row r="110" spans="2:63" x14ac:dyDescent="0.25">
      <c r="B110" s="4" t="s">
        <v>170</v>
      </c>
      <c r="K110" s="4">
        <f t="shared" ref="K110:S110" si="221">SUM(H92:K92)</f>
        <v>-21525</v>
      </c>
      <c r="L110" s="4">
        <f t="shared" si="221"/>
        <v>-23216</v>
      </c>
      <c r="M110" s="4">
        <f t="shared" si="221"/>
        <v>-23467</v>
      </c>
      <c r="N110" s="4">
        <f t="shared" si="221"/>
        <v>-23886</v>
      </c>
      <c r="O110" s="4">
        <f t="shared" si="221"/>
        <v>-24359</v>
      </c>
      <c r="P110" s="4">
        <f t="shared" si="221"/>
        <v>-24768</v>
      </c>
      <c r="Q110" s="4">
        <f t="shared" si="221"/>
        <v>-26035</v>
      </c>
      <c r="R110" s="4">
        <f t="shared" si="221"/>
        <v>-28107</v>
      </c>
      <c r="S110" s="4">
        <f t="shared" si="221"/>
        <v>-31741</v>
      </c>
      <c r="T110" s="4">
        <f>SUM(Q92:T92)</f>
        <v>-35202</v>
      </c>
      <c r="U110" s="4">
        <f>SUM(R92:U92)</f>
        <v>-39547</v>
      </c>
      <c r="V110" s="4">
        <f>SUM(S92:V92)</f>
        <v>-44477</v>
      </c>
      <c r="W110" s="4">
        <f>SUM(T92:W92)</f>
        <v>-49483</v>
      </c>
    </row>
    <row r="111" spans="2:63" x14ac:dyDescent="0.25">
      <c r="B111" s="4" t="s">
        <v>169</v>
      </c>
      <c r="O111" s="12">
        <f t="shared" ref="O111:S111" si="222">+O110/K110-1</f>
        <v>0.13166085946573758</v>
      </c>
      <c r="P111" s="12">
        <f t="shared" si="222"/>
        <v>6.6850447966919413E-2</v>
      </c>
      <c r="Q111" s="12">
        <f t="shared" si="222"/>
        <v>0.10943026377466225</v>
      </c>
      <c r="R111" s="12">
        <f t="shared" si="222"/>
        <v>0.17671439336850048</v>
      </c>
      <c r="S111" s="12">
        <f t="shared" si="222"/>
        <v>0.3030502073155712</v>
      </c>
      <c r="T111" s="12">
        <f>+T110/P110-1</f>
        <v>0.42126937984496116</v>
      </c>
      <c r="U111" s="12">
        <f>+U110/Q110-1</f>
        <v>0.51899366237756861</v>
      </c>
      <c r="V111" s="12">
        <f>+V110/R110-1</f>
        <v>0.58241719144697046</v>
      </c>
      <c r="W111" s="12">
        <f>+W110/S110-1</f>
        <v>0.55896159541287305</v>
      </c>
    </row>
    <row r="112" spans="2:63" x14ac:dyDescent="0.25">
      <c r="B112" s="4"/>
      <c r="O112" s="12"/>
      <c r="P112" s="12"/>
      <c r="Q112" s="12"/>
      <c r="R112" s="12"/>
      <c r="S112" s="12"/>
      <c r="T112" s="4"/>
    </row>
    <row r="114" spans="2:56" x14ac:dyDescent="0.25">
      <c r="B114" t="s">
        <v>151</v>
      </c>
      <c r="R114" s="4">
        <v>221000</v>
      </c>
      <c r="AD114" s="4">
        <v>5635</v>
      </c>
      <c r="AE114" s="4">
        <v>8226</v>
      </c>
      <c r="AF114" s="4">
        <v>11542</v>
      </c>
      <c r="AG114" s="4">
        <v>14430</v>
      </c>
      <c r="AH114" s="4">
        <v>15257</v>
      </c>
      <c r="AI114" s="4">
        <v>17801</v>
      </c>
      <c r="AJ114" s="4">
        <v>20561</v>
      </c>
      <c r="AK114" s="4">
        <v>22232</v>
      </c>
      <c r="AL114" s="4">
        <v>27055</v>
      </c>
      <c r="AM114" s="4">
        <v>31396</v>
      </c>
      <c r="AN114" s="4">
        <v>39100</v>
      </c>
      <c r="AO114" s="4">
        <v>47600</v>
      </c>
      <c r="AP114" s="4">
        <v>50500</v>
      </c>
      <c r="AQ114" s="4">
        <v>55000</v>
      </c>
      <c r="AR114" s="4">
        <v>57000</v>
      </c>
      <c r="AS114" s="4">
        <v>61000</v>
      </c>
      <c r="AT114" s="4">
        <v>71000</v>
      </c>
      <c r="AU114" s="4">
        <v>79000</v>
      </c>
      <c r="AV114" s="4">
        <v>91000</v>
      </c>
      <c r="AW114" s="4">
        <v>93000</v>
      </c>
      <c r="AX114" s="4">
        <v>89000</v>
      </c>
      <c r="AY114" s="4">
        <v>90000</v>
      </c>
      <c r="AZ114" s="4">
        <v>94000</v>
      </c>
      <c r="BA114" s="4">
        <v>99000</v>
      </c>
      <c r="BB114" s="4">
        <v>128000</v>
      </c>
      <c r="BC114" s="4">
        <v>118000</v>
      </c>
      <c r="BD114" s="4">
        <v>114000</v>
      </c>
    </row>
    <row r="116" spans="2:56" x14ac:dyDescent="0.25">
      <c r="B116" t="s">
        <v>0</v>
      </c>
      <c r="AH116" s="1">
        <f>19715/580</f>
        <v>33.991379310344826</v>
      </c>
      <c r="AI116" s="1">
        <f>34330/589</f>
        <v>58.28522920203735</v>
      </c>
      <c r="AJ116" s="1">
        <f>45936/596</f>
        <v>77.073825503355707</v>
      </c>
      <c r="AK116" s="1">
        <f>106179/1212.567</f>
        <v>87.565470609046756</v>
      </c>
      <c r="AL116" s="1">
        <f>171181/2484.635</f>
        <v>68.895833794501002</v>
      </c>
      <c r="AM116" s="1">
        <f>375039/5141</f>
        <v>72.950593269791867</v>
      </c>
      <c r="AN116" s="1">
        <f>302326/5355</f>
        <v>56.456769374416432</v>
      </c>
      <c r="AO116" s="1">
        <f>258033/5401</f>
        <v>47.775041658952048</v>
      </c>
      <c r="AP116" s="1">
        <f>215553/5378</f>
        <v>40.080513201933805</v>
      </c>
      <c r="AQ116" s="11">
        <f>235404/10813</f>
        <v>21.770461481549987</v>
      </c>
      <c r="AR116" s="11">
        <f>252132/10872</f>
        <v>23.190949227373068</v>
      </c>
      <c r="AS116" s="11">
        <f>256094/10712</f>
        <v>23.907206870799104</v>
      </c>
      <c r="AT116" s="11">
        <f>233926/9969</f>
        <v>23.46534256194202</v>
      </c>
      <c r="AU116" s="11">
        <f>251464/9375</f>
        <v>26.822826666666668</v>
      </c>
      <c r="AV116" s="1">
        <f>287616/9130</f>
        <v>31.502300109529024</v>
      </c>
      <c r="AW116" s="11">
        <f>149769/8910</f>
        <v>16.809090909090909</v>
      </c>
      <c r="AX116" s="1">
        <f>235244/8653</f>
        <v>27.186409337801919</v>
      </c>
      <c r="AY116" s="1">
        <f>208370/8378</f>
        <v>24.87109095249463</v>
      </c>
      <c r="AZ116" s="1">
        <f>195333/8383</f>
        <v>23.301085530239771</v>
      </c>
      <c r="BA116" s="1">
        <f>202945/8329</f>
        <v>24.366070356585425</v>
      </c>
      <c r="BB116" s="1">
        <f>284539/8239</f>
        <v>34.535623255249426</v>
      </c>
      <c r="BC116" s="1">
        <f>365312/7997</f>
        <v>45.681130423908968</v>
      </c>
      <c r="BD116" s="1">
        <f>424500/7792</f>
        <v>54.478952772073924</v>
      </c>
    </row>
    <row r="117" spans="2:56" x14ac:dyDescent="0.25">
      <c r="B117" t="s">
        <v>2</v>
      </c>
      <c r="AH117" s="4">
        <f t="shared" ref="AH117:BD117" si="223">AH116*AH46</f>
        <v>20734.741379310344</v>
      </c>
      <c r="AI117" s="4">
        <f t="shared" si="223"/>
        <v>36544.838709677417</v>
      </c>
      <c r="AJ117" s="4">
        <f t="shared" si="223"/>
        <v>49327.24832214765</v>
      </c>
      <c r="AK117" s="4">
        <f t="shared" si="223"/>
        <v>114885.89743906935</v>
      </c>
      <c r="AL117" s="4">
        <f t="shared" si="223"/>
        <v>184709.73040305718</v>
      </c>
      <c r="AM117" s="4">
        <f t="shared" si="223"/>
        <v>372704.58101536665</v>
      </c>
      <c r="AN117" s="4">
        <f t="shared" si="223"/>
        <v>298261.112605042</v>
      </c>
      <c r="AO117" s="4">
        <f t="shared" si="223"/>
        <v>266298.08220699872</v>
      </c>
      <c r="AP117" s="4">
        <f t="shared" si="223"/>
        <v>222567.08981033842</v>
      </c>
      <c r="AQ117" s="4">
        <f t="shared" si="223"/>
        <v>236906.16184222695</v>
      </c>
      <c r="AR117" s="4">
        <f t="shared" si="223"/>
        <v>252642.2008830022</v>
      </c>
      <c r="AS117" s="4">
        <f t="shared" si="223"/>
        <v>260731.99813293503</v>
      </c>
      <c r="AT117" s="4">
        <f t="shared" si="223"/>
        <v>247113.52251981141</v>
      </c>
      <c r="AU117" s="4">
        <f t="shared" si="223"/>
        <v>265170.46442666667</v>
      </c>
      <c r="AV117" s="4">
        <f t="shared" si="223"/>
        <v>298326.78203723987</v>
      </c>
      <c r="AW117" s="4">
        <f t="shared" si="223"/>
        <v>151214.58181818182</v>
      </c>
      <c r="AX117" s="4">
        <f t="shared" si="223"/>
        <v>242693.07615855773</v>
      </c>
      <c r="AY117" s="4">
        <f t="shared" si="223"/>
        <v>213717.28455478634</v>
      </c>
      <c r="AZ117" s="4">
        <f t="shared" si="223"/>
        <v>198199.0335202195</v>
      </c>
      <c r="BA117" s="4">
        <f t="shared" si="223"/>
        <v>206380.61592027853</v>
      </c>
      <c r="BB117" s="4">
        <f t="shared" si="223"/>
        <v>290064.69972083991</v>
      </c>
      <c r="BC117" s="4">
        <f t="shared" si="223"/>
        <v>377052.05051894463</v>
      </c>
      <c r="BD117" s="4">
        <f t="shared" si="223"/>
        <v>436539.84856262838</v>
      </c>
    </row>
    <row r="118" spans="2:56" x14ac:dyDescent="0.25">
      <c r="B118" t="s">
        <v>5</v>
      </c>
      <c r="AH118" s="4">
        <f t="shared" ref="AH118:BD118" si="224">AH117-AH61</f>
        <v>17120.741379310344</v>
      </c>
      <c r="AI118" s="4">
        <f t="shared" si="224"/>
        <v>31794.838709677417</v>
      </c>
      <c r="AJ118" s="4">
        <f t="shared" si="224"/>
        <v>42387.24832214765</v>
      </c>
      <c r="AK118" s="4">
        <f t="shared" si="224"/>
        <v>103573.89743906935</v>
      </c>
      <c r="AL118" s="4">
        <f t="shared" si="224"/>
        <v>166079.73040305718</v>
      </c>
      <c r="AM118" s="4">
        <f t="shared" si="224"/>
        <v>341096.58101536665</v>
      </c>
      <c r="AN118" s="4">
        <f t="shared" si="224"/>
        <v>256737.112605042</v>
      </c>
      <c r="AO118" s="4">
        <f t="shared" si="224"/>
        <v>220557.08220699872</v>
      </c>
      <c r="AP118" s="4">
        <f t="shared" si="224"/>
        <v>169724.08981033842</v>
      </c>
      <c r="AQ118" s="4">
        <f t="shared" si="224"/>
        <v>174166.16184222695</v>
      </c>
      <c r="AR118" s="4">
        <f t="shared" si="224"/>
        <v>179840.2008830022</v>
      </c>
      <c r="AS118" s="4">
        <f t="shared" si="224"/>
        <v>211976.99813293503</v>
      </c>
      <c r="AT118" s="4">
        <f t="shared" si="224"/>
        <v>203720.52251981141</v>
      </c>
      <c r="AU118" s="4">
        <f t="shared" si="224"/>
        <v>231642.46442666667</v>
      </c>
      <c r="AV118" s="4">
        <f t="shared" si="224"/>
        <v>268076.78203723987</v>
      </c>
      <c r="AW118" s="4">
        <f t="shared" si="224"/>
        <v>120580.58181818182</v>
      </c>
      <c r="AX118" s="4">
        <f t="shared" si="224"/>
        <v>204090.07615855773</v>
      </c>
      <c r="AY118" s="4">
        <f t="shared" si="224"/>
        <v>162001.28455478634</v>
      </c>
      <c r="AZ118" s="4">
        <f t="shared" si="224"/>
        <v>137327.0335202195</v>
      </c>
      <c r="BA118" s="4">
        <f t="shared" si="224"/>
        <v>134114.61592027853</v>
      </c>
      <c r="BB118" s="4">
        <f t="shared" si="224"/>
        <v>212403.69972083991</v>
      </c>
      <c r="BC118" s="4">
        <f t="shared" si="224"/>
        <v>377052.05051894463</v>
      </c>
      <c r="BD118" s="4">
        <f t="shared" si="224"/>
        <v>436539.84856262838</v>
      </c>
    </row>
    <row r="119" spans="2:56" x14ac:dyDescent="0.25">
      <c r="B119" t="s">
        <v>156</v>
      </c>
      <c r="AH119" s="21">
        <f t="shared" ref="AH119:BD119" si="225">AH118/AH44</f>
        <v>13.85173250753264</v>
      </c>
      <c r="AI119" s="21">
        <f t="shared" si="225"/>
        <v>21.21069960618907</v>
      </c>
      <c r="AJ119" s="21">
        <f t="shared" si="225"/>
        <v>19.310819281160661</v>
      </c>
      <c r="AK119" s="21">
        <f t="shared" si="225"/>
        <v>29.986652414322336</v>
      </c>
      <c r="AL119" s="21">
        <f t="shared" si="225"/>
        <v>34.905365784585371</v>
      </c>
      <c r="AM119" s="21">
        <f t="shared" si="225"/>
        <v>44.733977838080875</v>
      </c>
      <c r="AN119" s="21">
        <f t="shared" si="225"/>
        <v>27.710427696172907</v>
      </c>
      <c r="AO119" s="21">
        <f t="shared" si="225"/>
        <v>27.989477437436385</v>
      </c>
      <c r="AP119" s="21">
        <f t="shared" si="225"/>
        <v>21.427103877078451</v>
      </c>
      <c r="AQ119" s="21">
        <f t="shared" si="225"/>
        <v>17.311018968514755</v>
      </c>
      <c r="AR119" s="21">
        <f t="shared" si="225"/>
        <v>21.950470021115855</v>
      </c>
      <c r="AS119" s="21">
        <f t="shared" si="225"/>
        <v>17.298596224329607</v>
      </c>
      <c r="AT119" s="21">
        <f t="shared" si="225"/>
        <v>16.16957873798011</v>
      </c>
      <c r="AU119" s="21">
        <f t="shared" si="225"/>
        <v>16.469425128095747</v>
      </c>
      <c r="AV119" s="21">
        <f t="shared" si="225"/>
        <v>15.161856345073236</v>
      </c>
      <c r="AW119" s="22">
        <f t="shared" si="225"/>
        <v>8.0931996656273455</v>
      </c>
      <c r="AX119" s="22">
        <f t="shared" si="225"/>
        <v>10.844894848746359</v>
      </c>
      <c r="AY119" s="22">
        <f>AY118/AY44</f>
        <v>6.9978956611138807</v>
      </c>
      <c r="AZ119" s="22">
        <f t="shared" si="225"/>
        <v>5.9266770325069915</v>
      </c>
      <c r="BA119" s="22">
        <f t="shared" si="225"/>
        <v>6.1343189827689946</v>
      </c>
      <c r="BB119" s="22">
        <f t="shared" si="225"/>
        <v>9.5673032620530574</v>
      </c>
      <c r="BC119" s="22">
        <f t="shared" si="225"/>
        <v>16.98126691222053</v>
      </c>
      <c r="BD119" s="22">
        <f t="shared" si="225"/>
        <v>24.376806374951329</v>
      </c>
    </row>
    <row r="122" spans="2:56" x14ac:dyDescent="0.25">
      <c r="AH122">
        <f>2023-1994</f>
        <v>29</v>
      </c>
      <c r="AI122">
        <v>28</v>
      </c>
      <c r="AJ122">
        <v>27</v>
      </c>
      <c r="AK122" s="3">
        <v>26</v>
      </c>
      <c r="AL122" s="3">
        <f>2023-1998</f>
        <v>25</v>
      </c>
      <c r="AM122" s="3">
        <v>24</v>
      </c>
      <c r="AN122" s="3">
        <v>23</v>
      </c>
      <c r="AO122" s="3">
        <v>22</v>
      </c>
      <c r="AP122" s="3">
        <v>21</v>
      </c>
      <c r="AQ122" s="3">
        <v>20</v>
      </c>
      <c r="AR122" s="3">
        <v>19</v>
      </c>
      <c r="AS122" s="3">
        <v>18</v>
      </c>
      <c r="AT122">
        <v>17</v>
      </c>
      <c r="AU122">
        <v>16</v>
      </c>
      <c r="AV122">
        <v>15</v>
      </c>
      <c r="AW122" s="3">
        <v>14</v>
      </c>
      <c r="AX122">
        <v>13</v>
      </c>
      <c r="AY122">
        <v>12</v>
      </c>
      <c r="AZ122">
        <v>11</v>
      </c>
      <c r="BA122">
        <v>10</v>
      </c>
      <c r="BB122">
        <v>9</v>
      </c>
      <c r="BC122">
        <v>8</v>
      </c>
      <c r="BD122">
        <v>7</v>
      </c>
    </row>
    <row r="123" spans="2:56" x14ac:dyDescent="0.25">
      <c r="AH123" s="4">
        <f>AH117*1.17^29</f>
        <v>1968287.8584171364</v>
      </c>
      <c r="AI123" s="4">
        <f>AI117*1.155^28</f>
        <v>2065958.5689269281</v>
      </c>
      <c r="AJ123" s="4">
        <f>AJ117*1.15^27</f>
        <v>2147477.2858793675</v>
      </c>
      <c r="AK123" s="6">
        <f>AK117*1.12^26</f>
        <v>2187435.7745846231</v>
      </c>
      <c r="AL123" s="6">
        <f>AL117*1.1^25</f>
        <v>2001275.6137996709</v>
      </c>
      <c r="AM123" s="6">
        <f>AM117*1.075^24</f>
        <v>2114306.1490662857</v>
      </c>
      <c r="AN123" s="6">
        <f>AN117*1.09^23</f>
        <v>2164741.7152216784</v>
      </c>
      <c r="AO123" s="6">
        <f>AO117*1.1^22</f>
        <v>2167739.6048092404</v>
      </c>
      <c r="AP123" s="6">
        <f>AP117*1.11^21</f>
        <v>1991789.7894720493</v>
      </c>
      <c r="AQ123" s="6">
        <f>AQ117*1.115^20</f>
        <v>2089650.7367206167</v>
      </c>
      <c r="AR123" s="6">
        <f>AR117*1.115^19</f>
        <v>1998611.4738145093</v>
      </c>
      <c r="AS123" s="6">
        <f>AS117*1.12^18</f>
        <v>2005020.1473098751</v>
      </c>
      <c r="AT123" s="4">
        <f>AT117*1.13^17</f>
        <v>1973467.8274649733</v>
      </c>
      <c r="AU123" s="4">
        <f>AU117*1.135^16</f>
        <v>2011217.0113389471</v>
      </c>
      <c r="AV123" s="4">
        <f>AV117*1.135^15</f>
        <v>1993563.9263761484</v>
      </c>
      <c r="AW123" s="6">
        <f>AW117*1.2^14</f>
        <v>1941471.9370539852</v>
      </c>
      <c r="AX123" s="6">
        <f>AX117*1.175^13</f>
        <v>1974920.6566503427</v>
      </c>
      <c r="AY123" s="6">
        <f>AY117*1.21^12</f>
        <v>2105058.1210641512</v>
      </c>
      <c r="AZ123" s="6">
        <f>AZ117*1.23^11</f>
        <v>1932225.2728441348</v>
      </c>
      <c r="BA123" s="6">
        <f>BA117*1.25^10</f>
        <v>1922069.2656960201</v>
      </c>
      <c r="BB123" s="6">
        <f>BB117*1.24^9</f>
        <v>2010435.0433981232</v>
      </c>
      <c r="BC123" s="6">
        <f>BC117*1.23^8</f>
        <v>1975341.5479007133</v>
      </c>
      <c r="BD123" s="6">
        <f>BD117*1.24^7</f>
        <v>1967776.1368191752</v>
      </c>
    </row>
    <row r="124" spans="2:56" x14ac:dyDescent="0.25">
      <c r="AH124" s="12">
        <v>0.17</v>
      </c>
      <c r="AI124" s="12">
        <v>0.155</v>
      </c>
      <c r="AJ124" s="12">
        <v>0.15</v>
      </c>
      <c r="AK124" s="17">
        <v>0.12</v>
      </c>
      <c r="AL124" s="17">
        <v>0.1</v>
      </c>
      <c r="AM124" s="17">
        <v>7.4999999999999997E-2</v>
      </c>
      <c r="AN124" s="17">
        <v>8.5000000000000006E-2</v>
      </c>
      <c r="AO124" s="17">
        <v>0.1</v>
      </c>
      <c r="AP124" s="17">
        <v>0.11</v>
      </c>
      <c r="AQ124" s="17">
        <v>0.115</v>
      </c>
      <c r="AR124" s="17">
        <v>0.115</v>
      </c>
      <c r="AS124" s="17">
        <v>0.12</v>
      </c>
      <c r="AT124" s="12">
        <v>0.13</v>
      </c>
      <c r="AU124" s="12">
        <v>0.13500000000000001</v>
      </c>
      <c r="AV124" s="12">
        <v>0.13500000000000001</v>
      </c>
      <c r="AW124" s="17">
        <v>0.2</v>
      </c>
      <c r="AX124" s="17">
        <v>0.17499999999999999</v>
      </c>
      <c r="AY124" s="17">
        <v>0.21</v>
      </c>
      <c r="AZ124" s="17">
        <v>0.23</v>
      </c>
      <c r="BA124" s="17">
        <v>0.25</v>
      </c>
      <c r="BB124" s="17">
        <v>0.24</v>
      </c>
      <c r="BC124" s="17">
        <v>0.23</v>
      </c>
      <c r="BD124" s="17">
        <v>0.24</v>
      </c>
    </row>
  </sheetData>
  <phoneticPr fontId="4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2022-07-14T12:26:44Z</dcterms:created>
  <dcterms:modified xsi:type="dcterms:W3CDTF">2024-11-11T12:00:33Z</dcterms:modified>
</cp:coreProperties>
</file>