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eb6a9f0be765fac/Pulpit/inwestycje/modele/"/>
    </mc:Choice>
  </mc:AlternateContent>
  <xr:revisionPtr revIDLastSave="611" documentId="13_ncr:1_{2A1A3EE6-F7A0-3543-A8FD-90EF5C64F6A6}" xr6:coauthVersionLast="47" xr6:coauthVersionMax="47" xr10:uidLastSave="{3DCD9389-EDD6-4309-B18A-B60FFBD1E738}"/>
  <bookViews>
    <workbookView minimized="1" xWindow="16245" yWindow="1215" windowWidth="17280" windowHeight="14115" activeTab="1" xr2:uid="{EA2824C1-1697-4288-88B1-60A32E5E15B0}"/>
  </bookViews>
  <sheets>
    <sheet name="Main" sheetId="2" r:id="rId1"/>
    <sheet name="Model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78" i="1" l="1"/>
  <c r="Q75" i="1"/>
  <c r="Q74" i="1"/>
  <c r="Q69" i="1"/>
  <c r="Q70" i="1"/>
  <c r="D17" i="2"/>
  <c r="AJ20" i="1"/>
  <c r="AK20" i="1" s="1"/>
  <c r="AL20" i="1" s="1"/>
  <c r="AM20" i="1" s="1"/>
  <c r="AN20" i="1" s="1"/>
  <c r="AO20" i="1" s="1"/>
  <c r="AP20" i="1" s="1"/>
  <c r="AQ20" i="1" s="1"/>
  <c r="AR20" i="1" s="1"/>
  <c r="AS20" i="1" s="1"/>
  <c r="AT20" i="1" s="1"/>
  <c r="AU20" i="1" s="1"/>
  <c r="AV20" i="1" s="1"/>
  <c r="AW20" i="1" s="1"/>
  <c r="AX20" i="1" s="1"/>
  <c r="AY20" i="1" s="1"/>
  <c r="AZ20" i="1" s="1"/>
  <c r="BA20" i="1" s="1"/>
  <c r="BB20" i="1" s="1"/>
  <c r="BC20" i="1" s="1"/>
  <c r="BD20" i="1" s="1"/>
  <c r="AI20" i="1"/>
  <c r="AH20" i="1"/>
  <c r="AG20" i="1"/>
  <c r="AF20" i="1"/>
  <c r="AE20" i="1"/>
  <c r="T10" i="1"/>
  <c r="U10" i="1" s="1"/>
  <c r="AE24" i="1"/>
  <c r="AD20" i="1"/>
  <c r="T20" i="1"/>
  <c r="T24" i="1"/>
  <c r="S2" i="1"/>
  <c r="T2" i="1"/>
  <c r="U2" i="1" s="1"/>
  <c r="V2" i="1" s="1"/>
  <c r="W2" i="1" s="1"/>
  <c r="D14" i="2"/>
  <c r="Q73" i="1"/>
  <c r="Q72" i="1"/>
  <c r="Q71" i="1"/>
  <c r="Q65" i="1"/>
  <c r="Q64" i="1"/>
  <c r="Q61" i="1"/>
  <c r="Q62" i="1" s="1"/>
  <c r="Q60" i="1"/>
  <c r="Q59" i="1"/>
  <c r="Q58" i="1"/>
  <c r="Q57" i="1"/>
  <c r="Q56" i="1"/>
  <c r="P78" i="1"/>
  <c r="P75" i="1"/>
  <c r="P66" i="1"/>
  <c r="Q66" i="1" s="1"/>
  <c r="P64" i="1"/>
  <c r="P61" i="1"/>
  <c r="P62" i="1" s="1"/>
  <c r="P48" i="1"/>
  <c r="P52" i="1" s="1"/>
  <c r="P41" i="1"/>
  <c r="P35" i="1"/>
  <c r="P28" i="1"/>
  <c r="P26" i="1"/>
  <c r="P15" i="1"/>
  <c r="P12" i="1"/>
  <c r="P16" i="1" s="1"/>
  <c r="P18" i="1" s="1"/>
  <c r="P20" i="1" s="1"/>
  <c r="Q55" i="1"/>
  <c r="Q52" i="1"/>
  <c r="Q41" i="1"/>
  <c r="Q35" i="1"/>
  <c r="Q26" i="1"/>
  <c r="Q28" i="1"/>
  <c r="Q17" i="1"/>
  <c r="Q15" i="1"/>
  <c r="Q12" i="1"/>
  <c r="Q27" i="1" s="1"/>
  <c r="L35" i="1"/>
  <c r="AA10" i="1"/>
  <c r="O48" i="1"/>
  <c r="O52" i="1" s="1"/>
  <c r="O41" i="1"/>
  <c r="O35" i="1"/>
  <c r="F17" i="1"/>
  <c r="F15" i="1"/>
  <c r="F12" i="1"/>
  <c r="K17" i="1"/>
  <c r="K14" i="1"/>
  <c r="K13" i="1"/>
  <c r="K11" i="1"/>
  <c r="K12" i="1" s="1"/>
  <c r="K27" i="1" s="1"/>
  <c r="V10" i="1" l="1"/>
  <c r="W10" i="1" s="1"/>
  <c r="U20" i="1"/>
  <c r="V20" i="1"/>
  <c r="V24" i="1"/>
  <c r="U24" i="1"/>
  <c r="P44" i="1"/>
  <c r="P67" i="1"/>
  <c r="P29" i="1"/>
  <c r="P30" i="1"/>
  <c r="Q67" i="1"/>
  <c r="Q44" i="1"/>
  <c r="P21" i="1"/>
  <c r="P54" i="1"/>
  <c r="P31" i="1"/>
  <c r="P76" i="1"/>
  <c r="P27" i="1"/>
  <c r="O34" i="1"/>
  <c r="P34" i="1"/>
  <c r="Q16" i="1"/>
  <c r="Q30" i="1" s="1"/>
  <c r="Q34" i="1"/>
  <c r="Q18" i="1"/>
  <c r="F16" i="1"/>
  <c r="O44" i="1"/>
  <c r="K15" i="1"/>
  <c r="K16" i="1" s="1"/>
  <c r="P2" i="1"/>
  <c r="G24" i="1"/>
  <c r="H24" i="1"/>
  <c r="I24" i="1"/>
  <c r="K24" i="1"/>
  <c r="D25" i="1"/>
  <c r="E25" i="1"/>
  <c r="F25" i="1"/>
  <c r="G25" i="1"/>
  <c r="H25" i="1"/>
  <c r="I25" i="1"/>
  <c r="M26" i="1"/>
  <c r="O2" i="1"/>
  <c r="E26" i="1"/>
  <c r="F26" i="1"/>
  <c r="G26" i="1"/>
  <c r="H26" i="1"/>
  <c r="I26" i="1"/>
  <c r="J26" i="1"/>
  <c r="K26" i="1"/>
  <c r="L26" i="1"/>
  <c r="N26" i="1"/>
  <c r="O5" i="1"/>
  <c r="N10" i="1"/>
  <c r="J10" i="1"/>
  <c r="AB10" i="1" s="1"/>
  <c r="N48" i="1"/>
  <c r="N52" i="1" s="1"/>
  <c r="N41" i="1"/>
  <c r="N35" i="1"/>
  <c r="J15" i="1"/>
  <c r="N17" i="1"/>
  <c r="N15" i="1"/>
  <c r="M71" i="1"/>
  <c r="N71" i="1" s="1"/>
  <c r="O71" i="1" s="1"/>
  <c r="M72" i="1"/>
  <c r="N72" i="1" s="1"/>
  <c r="O72" i="1" s="1"/>
  <c r="M73" i="1"/>
  <c r="N73" i="1" s="1"/>
  <c r="O73" i="1" s="1"/>
  <c r="M74" i="1"/>
  <c r="N74" i="1" s="1"/>
  <c r="O74" i="1" s="1"/>
  <c r="M70" i="1"/>
  <c r="N70" i="1" s="1"/>
  <c r="O70" i="1" s="1"/>
  <c r="M65" i="1"/>
  <c r="N65" i="1" s="1"/>
  <c r="O65" i="1" s="1"/>
  <c r="M66" i="1"/>
  <c r="N66" i="1" s="1"/>
  <c r="O66" i="1" s="1"/>
  <c r="M60" i="1"/>
  <c r="N60" i="1" s="1"/>
  <c r="M59" i="1"/>
  <c r="N59" i="1" s="1"/>
  <c r="O59" i="1" s="1"/>
  <c r="M58" i="1"/>
  <c r="N58" i="1" s="1"/>
  <c r="M57" i="1"/>
  <c r="N57" i="1" s="1"/>
  <c r="O57" i="1" s="1"/>
  <c r="M56" i="1"/>
  <c r="N56" i="1" s="1"/>
  <c r="O56" i="1" s="1"/>
  <c r="L10" i="1"/>
  <c r="L69" i="1"/>
  <c r="L75" i="1" s="1"/>
  <c r="L64" i="1"/>
  <c r="L67" i="1" s="1"/>
  <c r="L61" i="1"/>
  <c r="M61" i="1" s="1"/>
  <c r="N61" i="1" s="1"/>
  <c r="O61" i="1" s="1"/>
  <c r="L49" i="1"/>
  <c r="L48" i="1"/>
  <c r="L41" i="1"/>
  <c r="M10" i="1"/>
  <c r="M48" i="1"/>
  <c r="M52" i="1" s="1"/>
  <c r="M41" i="1"/>
  <c r="M35" i="1"/>
  <c r="M17" i="1"/>
  <c r="M15" i="1"/>
  <c r="E15" i="1"/>
  <c r="E12" i="1"/>
  <c r="E27" i="1" s="1"/>
  <c r="I15" i="1"/>
  <c r="I12" i="1"/>
  <c r="I27" i="1" s="1"/>
  <c r="D15" i="1"/>
  <c r="D12" i="1"/>
  <c r="H28" i="1"/>
  <c r="G28" i="1"/>
  <c r="F28" i="1"/>
  <c r="E28" i="1"/>
  <c r="D28" i="1"/>
  <c r="C28" i="1"/>
  <c r="C15" i="1"/>
  <c r="C12" i="1"/>
  <c r="C27" i="1" s="1"/>
  <c r="G15" i="1"/>
  <c r="G12" i="1"/>
  <c r="G27" i="1" s="1"/>
  <c r="I2" i="1"/>
  <c r="M2" i="1" s="1"/>
  <c r="Q2" i="1" s="1"/>
  <c r="E2" i="1"/>
  <c r="K28" i="1"/>
  <c r="I28" i="1"/>
  <c r="H17" i="1"/>
  <c r="L17" i="1"/>
  <c r="L15" i="1"/>
  <c r="H15" i="1"/>
  <c r="H12" i="1"/>
  <c r="W24" i="1" l="1"/>
  <c r="W20" i="1"/>
  <c r="AE10" i="1"/>
  <c r="AE12" i="1" s="1"/>
  <c r="M34" i="1"/>
  <c r="N78" i="1"/>
  <c r="R10" i="1"/>
  <c r="Q76" i="1"/>
  <c r="Q24" i="1"/>
  <c r="P24" i="1"/>
  <c r="L52" i="1"/>
  <c r="L34" i="1"/>
  <c r="Q29" i="1"/>
  <c r="Q20" i="1"/>
  <c r="N34" i="1"/>
  <c r="J28" i="1"/>
  <c r="D27" i="1"/>
  <c r="AA12" i="1"/>
  <c r="H27" i="1"/>
  <c r="K18" i="1"/>
  <c r="K20" i="1" s="1"/>
  <c r="K30" i="1"/>
  <c r="F18" i="1"/>
  <c r="F30" i="1"/>
  <c r="M78" i="1"/>
  <c r="L12" i="1"/>
  <c r="N24" i="1"/>
  <c r="L44" i="1"/>
  <c r="O15" i="1"/>
  <c r="L24" i="1"/>
  <c r="M69" i="1"/>
  <c r="N69" i="1" s="1"/>
  <c r="K25" i="1"/>
  <c r="M24" i="1"/>
  <c r="N25" i="1"/>
  <c r="M25" i="1"/>
  <c r="L25" i="1"/>
  <c r="J24" i="1"/>
  <c r="J25" i="1"/>
  <c r="M44" i="1"/>
  <c r="N44" i="1"/>
  <c r="M28" i="1"/>
  <c r="N28" i="1"/>
  <c r="L78" i="1"/>
  <c r="N12" i="1"/>
  <c r="N16" i="1" s="1"/>
  <c r="M64" i="1"/>
  <c r="L28" i="1"/>
  <c r="J12" i="1"/>
  <c r="AB12" i="1" s="1"/>
  <c r="M12" i="1"/>
  <c r="M16" i="1" s="1"/>
  <c r="E16" i="1"/>
  <c r="C16" i="1"/>
  <c r="I16" i="1"/>
  <c r="D16" i="1"/>
  <c r="G16" i="1"/>
  <c r="H16" i="1"/>
  <c r="Q54" i="1" l="1"/>
  <c r="R20" i="1"/>
  <c r="Q31" i="1"/>
  <c r="Q21" i="1"/>
  <c r="L16" i="1"/>
  <c r="L30" i="1" s="1"/>
  <c r="K29" i="1"/>
  <c r="M75" i="1"/>
  <c r="L18" i="1"/>
  <c r="L20" i="1" s="1"/>
  <c r="M18" i="1"/>
  <c r="M20" i="1" s="1"/>
  <c r="M54" i="1" s="1"/>
  <c r="M30" i="1"/>
  <c r="H18" i="1"/>
  <c r="H20" i="1" s="1"/>
  <c r="H30" i="1"/>
  <c r="D18" i="1"/>
  <c r="D29" i="1" s="1"/>
  <c r="D30" i="1"/>
  <c r="F20" i="1"/>
  <c r="F29" i="1"/>
  <c r="N18" i="1"/>
  <c r="N29" i="1" s="1"/>
  <c r="N30" i="1"/>
  <c r="G18" i="1"/>
  <c r="G29" i="1" s="1"/>
  <c r="G30" i="1"/>
  <c r="E18" i="1"/>
  <c r="E29" i="1" s="1"/>
  <c r="E30" i="1"/>
  <c r="K21" i="1"/>
  <c r="K31" i="1"/>
  <c r="I18" i="1"/>
  <c r="I20" i="1" s="1"/>
  <c r="I30" i="1"/>
  <c r="C18" i="1"/>
  <c r="C20" i="1" s="1"/>
  <c r="C30" i="1"/>
  <c r="L27" i="1"/>
  <c r="N75" i="1"/>
  <c r="O69" i="1"/>
  <c r="O75" i="1" s="1"/>
  <c r="N27" i="1"/>
  <c r="M27" i="1"/>
  <c r="J16" i="1"/>
  <c r="J27" i="1"/>
  <c r="M67" i="1"/>
  <c r="N64" i="1"/>
  <c r="G20" i="1" l="1"/>
  <c r="L29" i="1"/>
  <c r="L54" i="1"/>
  <c r="L31" i="1"/>
  <c r="H29" i="1"/>
  <c r="D20" i="1"/>
  <c r="M29" i="1"/>
  <c r="N20" i="1"/>
  <c r="C29" i="1"/>
  <c r="C21" i="1"/>
  <c r="C31" i="1"/>
  <c r="I21" i="1"/>
  <c r="I31" i="1"/>
  <c r="F21" i="1"/>
  <c r="F31" i="1"/>
  <c r="G21" i="1"/>
  <c r="G31" i="1"/>
  <c r="I29" i="1"/>
  <c r="J18" i="1"/>
  <c r="J29" i="1" s="1"/>
  <c r="J30" i="1"/>
  <c r="L55" i="1"/>
  <c r="L62" i="1" s="1"/>
  <c r="L76" i="1" s="1"/>
  <c r="E20" i="1"/>
  <c r="H21" i="1"/>
  <c r="H31" i="1"/>
  <c r="M21" i="1"/>
  <c r="M31" i="1"/>
  <c r="L21" i="1"/>
  <c r="N67" i="1"/>
  <c r="O64" i="1"/>
  <c r="O67" i="1" s="1"/>
  <c r="M55" i="1"/>
  <c r="M62" i="1" s="1"/>
  <c r="M76" i="1" s="1"/>
  <c r="N31" i="1" l="1"/>
  <c r="N54" i="1"/>
  <c r="N55" i="1"/>
  <c r="N62" i="1" s="1"/>
  <c r="N21" i="1"/>
  <c r="AA20" i="1"/>
  <c r="D31" i="1"/>
  <c r="D21" i="1"/>
  <c r="J20" i="1"/>
  <c r="J31" i="1" s="1"/>
  <c r="N76" i="1"/>
  <c r="E21" i="1"/>
  <c r="E31" i="1"/>
  <c r="O10" i="1"/>
  <c r="O26" i="1"/>
  <c r="S10" i="1" l="1"/>
  <c r="AC10" i="1"/>
  <c r="P25" i="1"/>
  <c r="O78" i="1"/>
  <c r="Q25" i="1"/>
  <c r="J21" i="1"/>
  <c r="AB20" i="1"/>
  <c r="O24" i="1"/>
  <c r="O12" i="1"/>
  <c r="AC12" i="1" s="1"/>
  <c r="O25" i="1"/>
  <c r="O28" i="1"/>
  <c r="S20" i="1" l="1"/>
  <c r="AD10" i="1"/>
  <c r="AD12" i="1" s="1"/>
  <c r="O16" i="1"/>
  <c r="O27" i="1"/>
  <c r="AE22" i="1" l="1"/>
  <c r="AE25" i="1" s="1"/>
  <c r="O18" i="1"/>
  <c r="O20" i="1" s="1"/>
  <c r="O30" i="1"/>
  <c r="O29" i="1"/>
  <c r="O54" i="1" l="1"/>
  <c r="AC20" i="1"/>
  <c r="O31" i="1"/>
  <c r="AE26" i="1"/>
  <c r="O21" i="1"/>
  <c r="O55" i="1"/>
  <c r="O62" i="1" l="1"/>
  <c r="O76" i="1" s="1"/>
</calcChain>
</file>

<file path=xl/sharedStrings.xml><?xml version="1.0" encoding="utf-8"?>
<sst xmlns="http://schemas.openxmlformats.org/spreadsheetml/2006/main" count="105" uniqueCount="91">
  <si>
    <t>Main</t>
  </si>
  <si>
    <t>Revenue</t>
  </si>
  <si>
    <t>Operating Income</t>
  </si>
  <si>
    <t>Operating Expenses</t>
  </si>
  <si>
    <t>COGS</t>
  </si>
  <si>
    <t>Gross Margin</t>
  </si>
  <si>
    <t>R&amp;D</t>
  </si>
  <si>
    <t>SG&amp;A</t>
  </si>
  <si>
    <t>Net Income</t>
  </si>
  <si>
    <t>Taxes</t>
  </si>
  <si>
    <t>Pretax Income</t>
  </si>
  <si>
    <t>Interest</t>
  </si>
  <si>
    <t>EPS</t>
  </si>
  <si>
    <t>Shares</t>
  </si>
  <si>
    <t>Q123</t>
  </si>
  <si>
    <t>Q223</t>
  </si>
  <si>
    <t>Q323</t>
  </si>
  <si>
    <t>Q423</t>
  </si>
  <si>
    <t>Q124</t>
  </si>
  <si>
    <t>Gaming</t>
  </si>
  <si>
    <t>Visualization</t>
  </si>
  <si>
    <t>Automotive</t>
  </si>
  <si>
    <t>Data Center</t>
  </si>
  <si>
    <t>Q422</t>
  </si>
  <si>
    <t>Data Center %</t>
  </si>
  <si>
    <t>Q224</t>
  </si>
  <si>
    <t>Q122</t>
  </si>
  <si>
    <t>Q222</t>
  </si>
  <si>
    <t>Q322</t>
  </si>
  <si>
    <t>Q421</t>
  </si>
  <si>
    <t>L+SE</t>
  </si>
  <si>
    <t>SE</t>
  </si>
  <si>
    <t>OLTL</t>
  </si>
  <si>
    <t>Leases</t>
  </si>
  <si>
    <t>Debt</t>
  </si>
  <si>
    <t>AL</t>
  </si>
  <si>
    <t>AP</t>
  </si>
  <si>
    <t>Assets</t>
  </si>
  <si>
    <t>Cash</t>
  </si>
  <si>
    <t>AR</t>
  </si>
  <si>
    <t>Inventories</t>
  </si>
  <si>
    <t>Prepaids</t>
  </si>
  <si>
    <t>PP&amp;E</t>
  </si>
  <si>
    <t>Lease</t>
  </si>
  <si>
    <t>Goodwill</t>
  </si>
  <si>
    <t>OA</t>
  </si>
  <si>
    <t>Other</t>
  </si>
  <si>
    <t>Q324</t>
  </si>
  <si>
    <t>Q424</t>
  </si>
  <si>
    <t>Q125</t>
  </si>
  <si>
    <t>Q225</t>
  </si>
  <si>
    <t>Q325</t>
  </si>
  <si>
    <t>Q425</t>
  </si>
  <si>
    <t>SBC</t>
  </si>
  <si>
    <t>CFFO</t>
  </si>
  <si>
    <t>D&amp;A</t>
  </si>
  <si>
    <t>Investments</t>
  </si>
  <si>
    <t>DT</t>
  </si>
  <si>
    <t>WC</t>
  </si>
  <si>
    <t>Securities</t>
  </si>
  <si>
    <t>CapEx</t>
  </si>
  <si>
    <t>Acquisitions</t>
  </si>
  <si>
    <t>CFFI</t>
  </si>
  <si>
    <t>CIC</t>
  </si>
  <si>
    <t>CFFF</t>
  </si>
  <si>
    <t>ESOP</t>
  </si>
  <si>
    <t>RSUs</t>
  </si>
  <si>
    <t>Dividends</t>
  </si>
  <si>
    <t>PP&amp;E payments</t>
  </si>
  <si>
    <t>Buyback</t>
  </si>
  <si>
    <t>DSO</t>
  </si>
  <si>
    <t>Revenue y/y</t>
  </si>
  <si>
    <t>Revenue q/q</t>
  </si>
  <si>
    <t>Data Center q/q</t>
  </si>
  <si>
    <t xml:space="preserve"> </t>
  </si>
  <si>
    <t>TAX Rate</t>
  </si>
  <si>
    <t>Operating Margin</t>
  </si>
  <si>
    <t>Net Margin</t>
  </si>
  <si>
    <t>NPV</t>
  </si>
  <si>
    <t>rate</t>
  </si>
  <si>
    <t>shares</t>
  </si>
  <si>
    <t>Net Cash</t>
  </si>
  <si>
    <t>Model NI</t>
  </si>
  <si>
    <t>Price</t>
  </si>
  <si>
    <t>MC</t>
  </si>
  <si>
    <t>EV</t>
  </si>
  <si>
    <t>Q126</t>
  </si>
  <si>
    <t>Q226</t>
  </si>
  <si>
    <t>Q326</t>
  </si>
  <si>
    <t>Q426</t>
  </si>
  <si>
    <t>Upside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</si>
</sst>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#,##0.00_ ;[Red]\-#,##0.00\ "/>
  </numFmts>
  <fonts count="4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1"/>
      <name val="Arial"/>
      <family val="2"/>
      <charset val="238"/>
    </font>
    <font>
      <sz val="10"/>
      <color theme="1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14" fontId="0" fillId="0" borderId="0" xfId="0" applyNumberFormat="1"/>
    <xf numFmtId="3" fontId="0" fillId="0" borderId="0" xfId="0" applyNumberFormat="1"/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9" fontId="0" fillId="0" borderId="0" xfId="0" applyNumberFormat="1" applyAlignment="1">
      <alignment horizontal="right"/>
    </xf>
    <xf numFmtId="9" fontId="0" fillId="0" borderId="0" xfId="0" applyNumberFormat="1"/>
    <xf numFmtId="0" fontId="1" fillId="0" borderId="0" xfId="0" applyFont="1"/>
    <xf numFmtId="3" fontId="2" fillId="0" borderId="0" xfId="0" applyNumberFormat="1" applyFont="1"/>
    <xf numFmtId="3" fontId="2" fillId="0" borderId="0" xfId="0" applyNumberFormat="1" applyFont="1" applyAlignment="1">
      <alignment horizontal="right"/>
    </xf>
    <xf numFmtId="164" fontId="0" fillId="0" borderId="0" xfId="0" applyNumberFormat="1"/>
    <xf numFmtId="4" fontId="0" fillId="0" borderId="0" xfId="0" applyNumberFormat="1"/>
    <xf numFmtId="3" fontId="3" fillId="0" borderId="0" xfId="0" applyNumberFormat="1" applyFont="1"/>
    <xf numFmtId="10" fontId="0" fillId="0" borderId="0" xfId="0" applyNumberFormat="1"/>
  </cellXfs>
  <cellStyles count="1">
    <cellStyle name="Normalny" xfId="0" builtinId="0"/>
  </cellStyles>
  <dxfs count="0"/>
  <tableStyles count="1" defaultTableStyle="TableStyleMedium2" defaultPivotStyle="PivotStyleLight16">
    <tableStyle name="Invisible" pivot="0" table="0" count="0" xr9:uid="{77A81095-DEB6-49D7-A035-8F5F751E841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7663</xdr:colOff>
      <xdr:row>1</xdr:row>
      <xdr:rowOff>162666</xdr:rowOff>
    </xdr:from>
    <xdr:to>
      <xdr:col>17</xdr:col>
      <xdr:colOff>7663</xdr:colOff>
      <xdr:row>86</xdr:row>
      <xdr:rowOff>97929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1D1C8C3E-ED35-A5C1-B3B1-F8E102039664}"/>
            </a:ext>
          </a:extLst>
        </xdr:cNvPr>
        <xdr:cNvCxnSpPr/>
      </xdr:nvCxnSpPr>
      <xdr:spPr>
        <a:xfrm>
          <a:off x="12251618" y="327189"/>
          <a:ext cx="0" cy="1391969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346363</xdr:colOff>
      <xdr:row>6</xdr:row>
      <xdr:rowOff>155864</xdr:rowOff>
    </xdr:from>
    <xdr:to>
      <xdr:col>29</xdr:col>
      <xdr:colOff>346363</xdr:colOff>
      <xdr:row>91</xdr:row>
      <xdr:rowOff>91128</xdr:rowOff>
    </xdr:to>
    <xdr:cxnSp macro="">
      <xdr:nvCxnSpPr>
        <xdr:cNvPr id="2" name="Straight Connector 2">
          <a:extLst>
            <a:ext uri="{FF2B5EF4-FFF2-40B4-BE49-F238E27FC236}">
              <a16:creationId xmlns:a16="http://schemas.microsoft.com/office/drawing/2014/main" id="{67F2D3DC-1328-42CA-B1E5-4B152C4F752C}"/>
            </a:ext>
          </a:extLst>
        </xdr:cNvPr>
        <xdr:cNvCxnSpPr/>
      </xdr:nvCxnSpPr>
      <xdr:spPr>
        <a:xfrm>
          <a:off x="20331545" y="1143000"/>
          <a:ext cx="0" cy="1391969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Motyw pakietu Office 2013–2022">
  <a:themeElements>
    <a:clrScheme name="Pakiet 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F3AAC-01AB-4B45-833B-91B200A793E2}">
  <dimension ref="C8:E17"/>
  <sheetViews>
    <sheetView zoomScale="160" zoomScaleNormal="160" workbookViewId="0">
      <selection activeCell="D8" sqref="D8"/>
    </sheetView>
  </sheetViews>
  <sheetFormatPr defaultColWidth="11.44140625" defaultRowHeight="13.2" x14ac:dyDescent="0.25"/>
  <cols>
    <col min="4" max="4" width="12.109375" bestFit="1" customWidth="1"/>
  </cols>
  <sheetData>
    <row r="8" spans="3:5" x14ac:dyDescent="0.25">
      <c r="D8" s="8"/>
    </row>
    <row r="9" spans="3:5" x14ac:dyDescent="0.25">
      <c r="E9" s="9"/>
    </row>
    <row r="10" spans="3:5" x14ac:dyDescent="0.25">
      <c r="E10" s="9"/>
    </row>
    <row r="12" spans="3:5" x14ac:dyDescent="0.25">
      <c r="C12" t="s">
        <v>83</v>
      </c>
      <c r="D12" s="13">
        <v>135.4</v>
      </c>
      <c r="E12" t="s">
        <v>47</v>
      </c>
    </row>
    <row r="13" spans="3:5" x14ac:dyDescent="0.25">
      <c r="C13" t="s">
        <v>13</v>
      </c>
      <c r="D13" s="5">
        <v>24848</v>
      </c>
      <c r="E13" t="s">
        <v>47</v>
      </c>
    </row>
    <row r="14" spans="3:5" x14ac:dyDescent="0.25">
      <c r="C14" t="s">
        <v>84</v>
      </c>
      <c r="D14" s="2">
        <f>D13*D12</f>
        <v>3364419.2</v>
      </c>
      <c r="E14" t="s">
        <v>47</v>
      </c>
    </row>
    <row r="15" spans="3:5" x14ac:dyDescent="0.25">
      <c r="C15" t="s">
        <v>38</v>
      </c>
      <c r="D15" s="2">
        <v>34800</v>
      </c>
      <c r="E15" t="s">
        <v>47</v>
      </c>
    </row>
    <row r="16" spans="3:5" x14ac:dyDescent="0.25">
      <c r="C16" t="s">
        <v>34</v>
      </c>
      <c r="D16" s="2">
        <v>8461</v>
      </c>
      <c r="E16" t="s">
        <v>47</v>
      </c>
    </row>
    <row r="17" spans="3:5" x14ac:dyDescent="0.25">
      <c r="C17" t="s">
        <v>85</v>
      </c>
      <c r="D17" s="2">
        <f>D14-D15+D16</f>
        <v>3338080.2</v>
      </c>
      <c r="E17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8193D-ACA0-4C17-9392-2417D68CD430}">
  <dimension ref="A1:BD78"/>
  <sheetViews>
    <sheetView tabSelected="1" zoomScale="110" zoomScaleNormal="110" workbookViewId="0">
      <pane xSplit="2" ySplit="3" topLeftCell="M61" activePane="bottomRight" state="frozen"/>
      <selection pane="topRight" activeCell="C1" sqref="C1"/>
      <selection pane="bottomLeft" activeCell="A4" sqref="A4"/>
      <selection pane="bottomRight" activeCell="T47" sqref="T47"/>
    </sheetView>
  </sheetViews>
  <sheetFormatPr defaultColWidth="8.88671875" defaultRowHeight="13.2" x14ac:dyDescent="0.25"/>
  <cols>
    <col min="1" max="1" width="5" bestFit="1" customWidth="1"/>
    <col min="2" max="2" width="18.44140625" bestFit="1" customWidth="1"/>
    <col min="3" max="9" width="10.33203125" style="3" bestFit="1" customWidth="1"/>
    <col min="10" max="12" width="11" style="3" bestFit="1" customWidth="1"/>
    <col min="13" max="19" width="11" bestFit="1" customWidth="1"/>
    <col min="20" max="23" width="10.33203125" bestFit="1" customWidth="1"/>
    <col min="31" max="31" width="12.33203125" bestFit="1" customWidth="1"/>
    <col min="33" max="33" width="16.5546875" bestFit="1" customWidth="1"/>
    <col min="34" max="34" width="15.109375" bestFit="1" customWidth="1"/>
    <col min="56" max="56" width="9.33203125" bestFit="1" customWidth="1"/>
  </cols>
  <sheetData>
    <row r="1" spans="1:36" x14ac:dyDescent="0.25">
      <c r="A1" t="s">
        <v>0</v>
      </c>
    </row>
    <row r="2" spans="1:36" x14ac:dyDescent="0.25">
      <c r="C2" s="4">
        <v>44227</v>
      </c>
      <c r="D2" s="4">
        <v>44318</v>
      </c>
      <c r="E2" s="4">
        <f>+F2-92</f>
        <v>44408</v>
      </c>
      <c r="F2" s="4">
        <v>44500</v>
      </c>
      <c r="G2" s="4">
        <v>44591</v>
      </c>
      <c r="H2" s="4">
        <v>44682</v>
      </c>
      <c r="I2" s="4">
        <f>+J2-91</f>
        <v>44773</v>
      </c>
      <c r="J2" s="4">
        <v>44864</v>
      </c>
      <c r="K2" s="4">
        <v>44955</v>
      </c>
      <c r="L2" s="4">
        <v>45046</v>
      </c>
      <c r="M2" s="1">
        <f>+I2+365</f>
        <v>45138</v>
      </c>
      <c r="N2" s="1">
        <v>45228</v>
      </c>
      <c r="O2" s="1">
        <f>+K2+365</f>
        <v>45320</v>
      </c>
      <c r="P2" s="1">
        <f>+L2+366</f>
        <v>45412</v>
      </c>
      <c r="Q2" s="1">
        <f>+M2+363</f>
        <v>45501</v>
      </c>
      <c r="R2" s="1">
        <v>45616</v>
      </c>
      <c r="S2" s="1">
        <f>R2+90</f>
        <v>45706</v>
      </c>
      <c r="T2" s="1">
        <f>S2+90</f>
        <v>45796</v>
      </c>
      <c r="U2" s="1">
        <f>T2+90</f>
        <v>45886</v>
      </c>
      <c r="V2" s="1">
        <f>U2+90</f>
        <v>45976</v>
      </c>
      <c r="W2" s="1">
        <f>V2+90</f>
        <v>46066</v>
      </c>
    </row>
    <row r="3" spans="1:36" x14ac:dyDescent="0.25">
      <c r="C3" s="4" t="s">
        <v>29</v>
      </c>
      <c r="D3" s="4" t="s">
        <v>26</v>
      </c>
      <c r="E3" s="4" t="s">
        <v>27</v>
      </c>
      <c r="F3" s="4" t="s">
        <v>28</v>
      </c>
      <c r="G3" s="4" t="s">
        <v>23</v>
      </c>
      <c r="H3" s="4" t="s">
        <v>14</v>
      </c>
      <c r="I3" s="4" t="s">
        <v>15</v>
      </c>
      <c r="J3" s="4" t="s">
        <v>16</v>
      </c>
      <c r="K3" s="4" t="s">
        <v>17</v>
      </c>
      <c r="L3" s="4" t="s">
        <v>18</v>
      </c>
      <c r="M3" s="4" t="s">
        <v>25</v>
      </c>
      <c r="N3" s="4" t="s">
        <v>47</v>
      </c>
      <c r="O3" s="4" t="s">
        <v>48</v>
      </c>
      <c r="P3" s="4" t="s">
        <v>49</v>
      </c>
      <c r="Q3" s="4" t="s">
        <v>50</v>
      </c>
      <c r="R3" s="4" t="s">
        <v>51</v>
      </c>
      <c r="S3" s="4" t="s">
        <v>52</v>
      </c>
      <c r="T3" s="4" t="s">
        <v>86</v>
      </c>
      <c r="U3" s="4" t="s">
        <v>87</v>
      </c>
      <c r="V3" s="4" t="s">
        <v>88</v>
      </c>
      <c r="W3" s="4" t="s">
        <v>89</v>
      </c>
    </row>
    <row r="4" spans="1:36" x14ac:dyDescent="0.25"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AA4">
        <v>2022</v>
      </c>
      <c r="AB4">
        <v>2023</v>
      </c>
      <c r="AC4">
        <v>2024</v>
      </c>
      <c r="AD4">
        <v>2025</v>
      </c>
      <c r="AE4">
        <v>2026</v>
      </c>
      <c r="AF4">
        <v>2027</v>
      </c>
      <c r="AG4">
        <v>2028</v>
      </c>
      <c r="AH4">
        <v>2029</v>
      </c>
      <c r="AI4">
        <v>2030</v>
      </c>
      <c r="AJ4">
        <v>2031</v>
      </c>
    </row>
    <row r="5" spans="1:36" x14ac:dyDescent="0.25">
      <c r="B5" t="s">
        <v>46</v>
      </c>
      <c r="C5" s="4"/>
      <c r="D5" s="4"/>
      <c r="E5" s="4"/>
      <c r="F5" s="4"/>
      <c r="G5" s="4"/>
      <c r="H5" s="4"/>
      <c r="I5" s="4"/>
      <c r="J5" s="5">
        <v>73</v>
      </c>
      <c r="K5" s="4"/>
      <c r="L5" s="5">
        <v>77</v>
      </c>
      <c r="M5" s="5">
        <v>66</v>
      </c>
      <c r="N5">
        <v>73</v>
      </c>
      <c r="O5">
        <f>+N5</f>
        <v>73</v>
      </c>
      <c r="P5">
        <v>78</v>
      </c>
      <c r="Q5">
        <v>88</v>
      </c>
    </row>
    <row r="6" spans="1:36" x14ac:dyDescent="0.25">
      <c r="B6" t="s">
        <v>20</v>
      </c>
      <c r="C6" s="5"/>
      <c r="D6" s="5">
        <v>372</v>
      </c>
      <c r="E6" s="5"/>
      <c r="F6" s="5"/>
      <c r="G6" s="5">
        <v>643</v>
      </c>
      <c r="H6" s="5">
        <v>622</v>
      </c>
      <c r="I6" s="5">
        <v>496</v>
      </c>
      <c r="J6" s="5">
        <v>200</v>
      </c>
      <c r="K6" s="5">
        <v>226</v>
      </c>
      <c r="L6" s="5">
        <v>295</v>
      </c>
      <c r="M6" s="5">
        <v>379</v>
      </c>
      <c r="N6" s="2">
        <v>416</v>
      </c>
      <c r="O6">
        <v>463</v>
      </c>
      <c r="P6" s="5">
        <v>329</v>
      </c>
      <c r="Q6" s="5">
        <v>454</v>
      </c>
    </row>
    <row r="7" spans="1:36" x14ac:dyDescent="0.25">
      <c r="B7" t="s">
        <v>21</v>
      </c>
      <c r="C7" s="5"/>
      <c r="D7" s="5">
        <v>154</v>
      </c>
      <c r="E7" s="5"/>
      <c r="F7" s="5"/>
      <c r="G7" s="5">
        <v>125</v>
      </c>
      <c r="H7" s="5">
        <v>138</v>
      </c>
      <c r="I7" s="5">
        <v>220</v>
      </c>
      <c r="J7" s="5">
        <v>251</v>
      </c>
      <c r="K7" s="5">
        <v>294</v>
      </c>
      <c r="L7" s="5">
        <v>296</v>
      </c>
      <c r="M7" s="5">
        <v>253</v>
      </c>
      <c r="N7" s="2">
        <v>261</v>
      </c>
      <c r="O7" s="2">
        <v>281</v>
      </c>
      <c r="P7" s="5">
        <v>427</v>
      </c>
      <c r="Q7" s="5">
        <v>346</v>
      </c>
    </row>
    <row r="8" spans="1:36" x14ac:dyDescent="0.25">
      <c r="B8" t="s">
        <v>22</v>
      </c>
      <c r="C8" s="5"/>
      <c r="D8" s="5">
        <v>2050</v>
      </c>
      <c r="E8" s="5">
        <v>2370</v>
      </c>
      <c r="F8" s="5">
        <v>2940</v>
      </c>
      <c r="G8" s="5">
        <v>3260</v>
      </c>
      <c r="H8" s="5">
        <v>3750</v>
      </c>
      <c r="I8" s="5">
        <v>3810</v>
      </c>
      <c r="J8" s="5">
        <v>3833</v>
      </c>
      <c r="K8" s="5">
        <v>3620</v>
      </c>
      <c r="L8" s="5">
        <v>4284</v>
      </c>
      <c r="M8" s="2">
        <v>10323</v>
      </c>
      <c r="N8" s="2">
        <v>14514</v>
      </c>
      <c r="O8" s="5">
        <v>18386</v>
      </c>
      <c r="P8" s="5">
        <v>22563</v>
      </c>
      <c r="Q8" s="2">
        <v>26272</v>
      </c>
    </row>
    <row r="9" spans="1:36" x14ac:dyDescent="0.25">
      <c r="B9" t="s">
        <v>19</v>
      </c>
      <c r="C9" s="5"/>
      <c r="D9" s="5">
        <v>2760</v>
      </c>
      <c r="E9" s="5"/>
      <c r="F9" s="5"/>
      <c r="G9" s="5">
        <v>3420</v>
      </c>
      <c r="H9" s="5">
        <v>3620</v>
      </c>
      <c r="I9" s="5">
        <v>2040</v>
      </c>
      <c r="J9" s="5">
        <v>1574</v>
      </c>
      <c r="K9" s="5">
        <v>1830</v>
      </c>
      <c r="L9" s="5">
        <v>2240</v>
      </c>
      <c r="M9" s="5">
        <v>2486</v>
      </c>
      <c r="N9" s="2">
        <v>2856</v>
      </c>
      <c r="O9" s="2">
        <v>2900</v>
      </c>
      <c r="P9" s="5">
        <v>2647</v>
      </c>
      <c r="Q9" s="5">
        <v>2880</v>
      </c>
    </row>
    <row r="10" spans="1:36" s="10" customFormat="1" x14ac:dyDescent="0.25">
      <c r="B10" s="10" t="s">
        <v>1</v>
      </c>
      <c r="C10" s="11">
        <v>5003</v>
      </c>
      <c r="D10" s="11">
        <v>5661</v>
      </c>
      <c r="E10" s="11">
        <v>6507</v>
      </c>
      <c r="F10" s="11">
        <v>7103</v>
      </c>
      <c r="G10" s="11">
        <v>7643</v>
      </c>
      <c r="H10" s="11">
        <v>8288</v>
      </c>
      <c r="I10" s="11">
        <v>6704</v>
      </c>
      <c r="J10" s="11">
        <f>SUM(J5:J9)</f>
        <v>5931</v>
      </c>
      <c r="K10" s="11">
        <v>6051</v>
      </c>
      <c r="L10" s="10">
        <f>SUM(L5:L9)</f>
        <v>7192</v>
      </c>
      <c r="M10" s="10">
        <f>SUM(M5:M9)</f>
        <v>13507</v>
      </c>
      <c r="N10" s="11">
        <f>SUM(N5:N9)</f>
        <v>18120</v>
      </c>
      <c r="O10" s="11">
        <f>SUM(O5:O9)</f>
        <v>22103</v>
      </c>
      <c r="P10" s="10">
        <v>26044</v>
      </c>
      <c r="Q10" s="11">
        <v>30040</v>
      </c>
      <c r="R10" s="11">
        <f>N10*(R24+1)</f>
        <v>33884.400000000001</v>
      </c>
      <c r="S10" s="11">
        <f>O10*(S24+1)</f>
        <v>37796.129999999997</v>
      </c>
      <c r="T10" s="10">
        <f>S10+4000</f>
        <v>41796.129999999997</v>
      </c>
      <c r="U10" s="10">
        <f>T10+4000</f>
        <v>45796.13</v>
      </c>
      <c r="V10" s="10">
        <f>U10+4000</f>
        <v>49796.13</v>
      </c>
      <c r="W10" s="10">
        <f>V10+4000</f>
        <v>53796.13</v>
      </c>
      <c r="AA10" s="10">
        <f>SUM(D10:G10)</f>
        <v>26914</v>
      </c>
      <c r="AB10" s="10">
        <f>SUM(H10:K10)</f>
        <v>26974</v>
      </c>
      <c r="AC10" s="10">
        <f>SUM(L10:O10)</f>
        <v>60922</v>
      </c>
      <c r="AD10" s="10">
        <f>SUM(P10:S10)</f>
        <v>127764.53</v>
      </c>
      <c r="AE10" s="10">
        <f>SUM(T10:W10)</f>
        <v>191184.52</v>
      </c>
    </row>
    <row r="11" spans="1:36" s="2" customFormat="1" x14ac:dyDescent="0.25">
      <c r="B11" s="2" t="s">
        <v>4</v>
      </c>
      <c r="C11" s="5">
        <v>1846</v>
      </c>
      <c r="D11" s="5">
        <v>2032</v>
      </c>
      <c r="E11" s="5">
        <v>2292</v>
      </c>
      <c r="F11" s="5">
        <v>2472</v>
      </c>
      <c r="G11" s="5">
        <v>2644</v>
      </c>
      <c r="H11" s="5">
        <v>2857</v>
      </c>
      <c r="I11" s="5">
        <v>3789</v>
      </c>
      <c r="J11" s="5">
        <v>2754</v>
      </c>
      <c r="K11" s="5">
        <f>11618-J11-I11-H11</f>
        <v>2218</v>
      </c>
      <c r="L11" s="5">
        <v>2544</v>
      </c>
      <c r="M11" s="2">
        <v>4045</v>
      </c>
      <c r="N11" s="2">
        <v>4720</v>
      </c>
      <c r="O11" s="2">
        <v>5312</v>
      </c>
      <c r="P11" s="2">
        <v>5638</v>
      </c>
      <c r="Q11" s="2">
        <v>7466</v>
      </c>
    </row>
    <row r="12" spans="1:36" s="2" customFormat="1" x14ac:dyDescent="0.25">
      <c r="B12" s="2" t="s">
        <v>5</v>
      </c>
      <c r="C12" s="5">
        <f t="shared" ref="C12:L12" si="0">+C10-C11</f>
        <v>3157</v>
      </c>
      <c r="D12" s="5">
        <f t="shared" si="0"/>
        <v>3629</v>
      </c>
      <c r="E12" s="5">
        <f t="shared" si="0"/>
        <v>4215</v>
      </c>
      <c r="F12" s="5">
        <f t="shared" si="0"/>
        <v>4631</v>
      </c>
      <c r="G12" s="5">
        <f t="shared" si="0"/>
        <v>4999</v>
      </c>
      <c r="H12" s="5">
        <f t="shared" si="0"/>
        <v>5431</v>
      </c>
      <c r="I12" s="5">
        <f t="shared" si="0"/>
        <v>2915</v>
      </c>
      <c r="J12" s="5">
        <f t="shared" si="0"/>
        <v>3177</v>
      </c>
      <c r="K12" s="5">
        <f t="shared" si="0"/>
        <v>3833</v>
      </c>
      <c r="L12" s="5">
        <f t="shared" si="0"/>
        <v>4648</v>
      </c>
      <c r="M12" s="2">
        <f>M10-M11</f>
        <v>9462</v>
      </c>
      <c r="N12" s="2">
        <f>+N10-N11</f>
        <v>13400</v>
      </c>
      <c r="O12" s="2">
        <f>+O10-O11</f>
        <v>16791</v>
      </c>
      <c r="P12" s="2">
        <f>+P10-P11</f>
        <v>20406</v>
      </c>
      <c r="Q12" s="2">
        <f>+Q10-Q11</f>
        <v>22574</v>
      </c>
      <c r="AA12" s="14">
        <f>SUM(D12:G12)</f>
        <v>17474</v>
      </c>
      <c r="AB12" s="14">
        <f>SUM(H12:K12)</f>
        <v>15356</v>
      </c>
      <c r="AC12" s="14">
        <f>SUM(L12:O12)</f>
        <v>44301</v>
      </c>
      <c r="AD12" s="14">
        <f>AD10*0.75</f>
        <v>95823.397499999992</v>
      </c>
      <c r="AE12" s="14">
        <f>AE10*0.75</f>
        <v>143388.38999999998</v>
      </c>
    </row>
    <row r="13" spans="1:36" s="2" customFormat="1" x14ac:dyDescent="0.25">
      <c r="B13" s="2" t="s">
        <v>6</v>
      </c>
      <c r="C13" s="5">
        <v>1147</v>
      </c>
      <c r="D13" s="5">
        <v>1153</v>
      </c>
      <c r="E13" s="5">
        <v>1245</v>
      </c>
      <c r="F13" s="5">
        <v>1403</v>
      </c>
      <c r="G13" s="5">
        <v>1466</v>
      </c>
      <c r="H13" s="5">
        <v>1618</v>
      </c>
      <c r="I13" s="5">
        <v>1824</v>
      </c>
      <c r="J13" s="5">
        <v>1945</v>
      </c>
      <c r="K13" s="5">
        <f>7339-J13-I13-H13</f>
        <v>1952</v>
      </c>
      <c r="L13" s="5">
        <v>1875</v>
      </c>
      <c r="M13" s="2">
        <v>2040</v>
      </c>
      <c r="N13" s="2">
        <v>2294</v>
      </c>
      <c r="O13" s="2">
        <v>2465</v>
      </c>
      <c r="P13" s="2">
        <v>2720</v>
      </c>
      <c r="Q13" s="2">
        <v>3090</v>
      </c>
    </row>
    <row r="14" spans="1:36" s="2" customFormat="1" x14ac:dyDescent="0.25">
      <c r="B14" s="2" t="s">
        <v>7</v>
      </c>
      <c r="C14" s="5">
        <v>503</v>
      </c>
      <c r="D14" s="5">
        <v>520</v>
      </c>
      <c r="E14" s="5">
        <v>526</v>
      </c>
      <c r="F14" s="5">
        <v>557</v>
      </c>
      <c r="G14" s="5">
        <v>563</v>
      </c>
      <c r="H14" s="5">
        <v>592</v>
      </c>
      <c r="I14" s="5">
        <v>592</v>
      </c>
      <c r="J14" s="5">
        <v>631</v>
      </c>
      <c r="K14" s="5">
        <f>2440-J14-I14-H14</f>
        <v>625</v>
      </c>
      <c r="L14" s="5">
        <v>633</v>
      </c>
      <c r="M14" s="2">
        <v>622</v>
      </c>
      <c r="N14" s="2">
        <v>689</v>
      </c>
      <c r="O14" s="2">
        <v>711</v>
      </c>
      <c r="P14" s="2">
        <v>777</v>
      </c>
      <c r="Q14" s="2">
        <v>842</v>
      </c>
    </row>
    <row r="15" spans="1:36" s="2" customFormat="1" x14ac:dyDescent="0.25">
      <c r="B15" s="2" t="s">
        <v>3</v>
      </c>
      <c r="C15" s="5">
        <f t="shared" ref="C15" si="1">+C13+C14</f>
        <v>1650</v>
      </c>
      <c r="D15" s="5">
        <f t="shared" ref="D15:F15" si="2">+D13+D14</f>
        <v>1673</v>
      </c>
      <c r="E15" s="5">
        <f t="shared" si="2"/>
        <v>1771</v>
      </c>
      <c r="F15" s="5">
        <f t="shared" si="2"/>
        <v>1960</v>
      </c>
      <c r="G15" s="5">
        <f t="shared" ref="G15" si="3">+G13+G14</f>
        <v>2029</v>
      </c>
      <c r="H15" s="5">
        <f>+H13+H14</f>
        <v>2210</v>
      </c>
      <c r="I15" s="5">
        <f t="shared" ref="I15" si="4">+I13+I14</f>
        <v>2416</v>
      </c>
      <c r="J15" s="5">
        <f>+J13+J14</f>
        <v>2576</v>
      </c>
      <c r="K15" s="5">
        <f>+K13+K14</f>
        <v>2577</v>
      </c>
      <c r="L15" s="5">
        <f>+L13+L14</f>
        <v>2508</v>
      </c>
      <c r="M15" s="5">
        <f>+M13+M14</f>
        <v>2662</v>
      </c>
      <c r="N15" s="5">
        <f t="shared" ref="N15:P15" si="5">+N13+N14</f>
        <v>2983</v>
      </c>
      <c r="O15" s="5">
        <f t="shared" si="5"/>
        <v>3176</v>
      </c>
      <c r="P15" s="5">
        <f t="shared" si="5"/>
        <v>3497</v>
      </c>
      <c r="Q15" s="5">
        <f>+Q13+Q14</f>
        <v>3932</v>
      </c>
    </row>
    <row r="16" spans="1:36" s="2" customFormat="1" x14ac:dyDescent="0.25">
      <c r="B16" s="2" t="s">
        <v>2</v>
      </c>
      <c r="C16" s="5">
        <f t="shared" ref="C16" si="6">+C12-C15</f>
        <v>1507</v>
      </c>
      <c r="D16" s="5">
        <f t="shared" ref="D16:F16" si="7">+D12-D15</f>
        <v>1956</v>
      </c>
      <c r="E16" s="5">
        <f t="shared" si="7"/>
        <v>2444</v>
      </c>
      <c r="F16" s="5">
        <f t="shared" si="7"/>
        <v>2671</v>
      </c>
      <c r="G16" s="5">
        <f t="shared" ref="G16" si="8">+G12-G15</f>
        <v>2970</v>
      </c>
      <c r="H16" s="5">
        <f>+H12-H15</f>
        <v>3221</v>
      </c>
      <c r="I16" s="5">
        <f t="shared" ref="I16" si="9">+I12-I15</f>
        <v>499</v>
      </c>
      <c r="J16" s="5">
        <f>+J12-J15</f>
        <v>601</v>
      </c>
      <c r="K16" s="5">
        <f>+K12-K15</f>
        <v>1256</v>
      </c>
      <c r="L16" s="5">
        <f>+L12-L15</f>
        <v>2140</v>
      </c>
      <c r="M16" s="5">
        <f>+M12-M15</f>
        <v>6800</v>
      </c>
      <c r="N16" s="5">
        <f t="shared" ref="N16:P16" si="10">+N12-N15</f>
        <v>10417</v>
      </c>
      <c r="O16" s="5">
        <f t="shared" si="10"/>
        <v>13615</v>
      </c>
      <c r="P16" s="5">
        <f t="shared" si="10"/>
        <v>16909</v>
      </c>
      <c r="Q16" s="5">
        <f>+Q12-Q15</f>
        <v>18642</v>
      </c>
    </row>
    <row r="17" spans="2:56" s="2" customFormat="1" x14ac:dyDescent="0.25">
      <c r="B17" s="2" t="s">
        <v>11</v>
      </c>
      <c r="C17" s="5">
        <v>-37</v>
      </c>
      <c r="D17" s="5">
        <v>88</v>
      </c>
      <c r="E17" s="5">
        <v>-50</v>
      </c>
      <c r="F17" s="5">
        <f>7-62</f>
        <v>-55</v>
      </c>
      <c r="G17" s="5">
        <v>-105</v>
      </c>
      <c r="H17" s="5">
        <f>18-68-13</f>
        <v>-63</v>
      </c>
      <c r="I17" s="5">
        <v>-24</v>
      </c>
      <c r="J17" s="5">
        <v>12</v>
      </c>
      <c r="K17" s="5">
        <f>267-262</f>
        <v>5</v>
      </c>
      <c r="L17" s="5">
        <f>150-66-15</f>
        <v>69</v>
      </c>
      <c r="M17" s="2">
        <f>187-65+59</f>
        <v>181</v>
      </c>
      <c r="N17" s="2">
        <f>234-63-66</f>
        <v>105</v>
      </c>
      <c r="O17" s="2">
        <v>491</v>
      </c>
      <c r="P17" s="2">
        <v>370</v>
      </c>
      <c r="Q17" s="2">
        <f>444-61+189</f>
        <v>572</v>
      </c>
    </row>
    <row r="18" spans="2:56" s="2" customFormat="1" x14ac:dyDescent="0.25">
      <c r="B18" s="2" t="s">
        <v>10</v>
      </c>
      <c r="C18" s="5">
        <f t="shared" ref="C18:M18" si="11">+C16+C17</f>
        <v>1470</v>
      </c>
      <c r="D18" s="5">
        <f t="shared" si="11"/>
        <v>2044</v>
      </c>
      <c r="E18" s="5">
        <f t="shared" si="11"/>
        <v>2394</v>
      </c>
      <c r="F18" s="5">
        <f t="shared" si="11"/>
        <v>2616</v>
      </c>
      <c r="G18" s="5">
        <f t="shared" si="11"/>
        <v>2865</v>
      </c>
      <c r="H18" s="5">
        <f t="shared" si="11"/>
        <v>3158</v>
      </c>
      <c r="I18" s="5">
        <f t="shared" si="11"/>
        <v>475</v>
      </c>
      <c r="J18" s="5">
        <f t="shared" si="11"/>
        <v>613</v>
      </c>
      <c r="K18" s="5">
        <f t="shared" si="11"/>
        <v>1261</v>
      </c>
      <c r="L18" s="5">
        <f t="shared" si="11"/>
        <v>2209</v>
      </c>
      <c r="M18" s="5">
        <f t="shared" si="11"/>
        <v>6981</v>
      </c>
      <c r="N18" s="5">
        <f t="shared" ref="N18:P18" si="12">+N16+N17</f>
        <v>10522</v>
      </c>
      <c r="O18" s="5">
        <f t="shared" si="12"/>
        <v>14106</v>
      </c>
      <c r="P18" s="5">
        <f t="shared" si="12"/>
        <v>17279</v>
      </c>
      <c r="Q18" s="5">
        <f>+Q16+Q17</f>
        <v>19214</v>
      </c>
    </row>
    <row r="19" spans="2:56" s="2" customFormat="1" x14ac:dyDescent="0.25">
      <c r="B19" s="2" t="s">
        <v>9</v>
      </c>
      <c r="C19" s="5">
        <v>13</v>
      </c>
      <c r="D19" s="5">
        <v>132</v>
      </c>
      <c r="E19" s="5">
        <v>20</v>
      </c>
      <c r="F19" s="5">
        <v>174</v>
      </c>
      <c r="G19" s="5">
        <v>-138</v>
      </c>
      <c r="H19" s="5">
        <v>187</v>
      </c>
      <c r="I19" s="5">
        <v>-181</v>
      </c>
      <c r="J19" s="5">
        <v>-67</v>
      </c>
      <c r="K19" s="5">
        <v>-187</v>
      </c>
      <c r="L19" s="5">
        <v>166</v>
      </c>
      <c r="M19" s="2">
        <v>793</v>
      </c>
      <c r="N19" s="2">
        <v>1279</v>
      </c>
      <c r="O19" s="2">
        <v>1821</v>
      </c>
      <c r="P19" s="2">
        <v>2398</v>
      </c>
      <c r="Q19" s="2">
        <v>2615</v>
      </c>
    </row>
    <row r="20" spans="2:56" s="2" customFormat="1" x14ac:dyDescent="0.25">
      <c r="B20" s="2" t="s">
        <v>8</v>
      </c>
      <c r="C20" s="5">
        <f t="shared" ref="C20:L20" si="13">+C18-C19</f>
        <v>1457</v>
      </c>
      <c r="D20" s="5">
        <f t="shared" si="13"/>
        <v>1912</v>
      </c>
      <c r="E20" s="5">
        <f t="shared" si="13"/>
        <v>2374</v>
      </c>
      <c r="F20" s="5">
        <f t="shared" si="13"/>
        <v>2442</v>
      </c>
      <c r="G20" s="5">
        <f t="shared" si="13"/>
        <v>3003</v>
      </c>
      <c r="H20" s="5">
        <f t="shared" si="13"/>
        <v>2971</v>
      </c>
      <c r="I20" s="5">
        <f t="shared" si="13"/>
        <v>656</v>
      </c>
      <c r="J20" s="5">
        <f t="shared" si="13"/>
        <v>680</v>
      </c>
      <c r="K20" s="5">
        <f t="shared" si="13"/>
        <v>1448</v>
      </c>
      <c r="L20" s="5">
        <f t="shared" si="13"/>
        <v>2043</v>
      </c>
      <c r="M20" s="2">
        <f>M18-M19</f>
        <v>6188</v>
      </c>
      <c r="N20" s="2">
        <f t="shared" ref="N20" si="14">N18-N19</f>
        <v>9243</v>
      </c>
      <c r="O20" s="2">
        <f>+O18-O19</f>
        <v>12285</v>
      </c>
      <c r="P20" s="2">
        <f>+P18-P19</f>
        <v>14881</v>
      </c>
      <c r="Q20" s="2">
        <f>+Q18-Q19</f>
        <v>16599</v>
      </c>
      <c r="R20" s="2">
        <f t="shared" ref="R20:W20" si="15">R31*R10</f>
        <v>18723.27415446072</v>
      </c>
      <c r="S20" s="2">
        <f t="shared" si="15"/>
        <v>20884.752392476697</v>
      </c>
      <c r="T20" s="2">
        <f t="shared" si="15"/>
        <v>23095.005388482023</v>
      </c>
      <c r="U20" s="2">
        <f t="shared" si="15"/>
        <v>25305.258384487352</v>
      </c>
      <c r="V20" s="2">
        <f t="shared" si="15"/>
        <v>27515.511380492677</v>
      </c>
      <c r="W20" s="2">
        <f t="shared" si="15"/>
        <v>29725.764376498002</v>
      </c>
      <c r="AA20" s="14">
        <f>SUM(D20:G20)</f>
        <v>9731</v>
      </c>
      <c r="AB20" s="14">
        <f>SUM(H20:K20)</f>
        <v>5755</v>
      </c>
      <c r="AC20" s="14">
        <f>SUM(L20:O20)</f>
        <v>29759</v>
      </c>
      <c r="AD20" s="2">
        <f>SUM(P20:S20)</f>
        <v>71088.026546937414</v>
      </c>
      <c r="AE20" s="2">
        <f>SUM(T20:W20)</f>
        <v>105641.53952996005</v>
      </c>
      <c r="AF20" s="2">
        <f>AE20*1.2</f>
        <v>126769.84743595205</v>
      </c>
      <c r="AG20" s="2">
        <f>AF20*1.2</f>
        <v>152123.81692314244</v>
      </c>
      <c r="AH20" s="2">
        <f>AG20*1</f>
        <v>152123.81692314244</v>
      </c>
      <c r="AI20" s="2">
        <f>AH20*0.99</f>
        <v>150602.57875391102</v>
      </c>
      <c r="AJ20" s="2">
        <f t="shared" ref="AJ20:BD20" si="16">AI20*0.99</f>
        <v>149096.55296637191</v>
      </c>
      <c r="AK20" s="2">
        <f t="shared" si="16"/>
        <v>147605.58743670819</v>
      </c>
      <c r="AL20" s="2">
        <f t="shared" si="16"/>
        <v>146129.53156234112</v>
      </c>
      <c r="AM20" s="2">
        <f t="shared" si="16"/>
        <v>144668.23624671772</v>
      </c>
      <c r="AN20" s="2">
        <f t="shared" si="16"/>
        <v>143221.55388425055</v>
      </c>
      <c r="AO20" s="2">
        <f t="shared" si="16"/>
        <v>141789.33834540803</v>
      </c>
      <c r="AP20" s="2">
        <f t="shared" si="16"/>
        <v>140371.44496195394</v>
      </c>
      <c r="AQ20" s="2">
        <f t="shared" si="16"/>
        <v>138967.73051233438</v>
      </c>
      <c r="AR20" s="2">
        <f t="shared" si="16"/>
        <v>137578.05320721105</v>
      </c>
      <c r="AS20" s="2">
        <f t="shared" si="16"/>
        <v>136202.27267513893</v>
      </c>
      <c r="AT20" s="2">
        <f t="shared" si="16"/>
        <v>134840.24994838753</v>
      </c>
      <c r="AU20" s="2">
        <f t="shared" si="16"/>
        <v>133491.84744890366</v>
      </c>
      <c r="AV20" s="2">
        <f t="shared" si="16"/>
        <v>132156.92897441462</v>
      </c>
      <c r="AW20" s="2">
        <f t="shared" si="16"/>
        <v>130835.35968467047</v>
      </c>
      <c r="AX20" s="2">
        <f t="shared" si="16"/>
        <v>129527.00608782377</v>
      </c>
      <c r="AY20" s="2">
        <f t="shared" si="16"/>
        <v>128231.73602694554</v>
      </c>
      <c r="AZ20" s="2">
        <f t="shared" si="16"/>
        <v>126949.41866667608</v>
      </c>
      <c r="BA20" s="2">
        <f t="shared" si="16"/>
        <v>125679.92448000931</v>
      </c>
      <c r="BB20" s="2">
        <f t="shared" si="16"/>
        <v>124423.12523520923</v>
      </c>
      <c r="BC20" s="2">
        <f t="shared" si="16"/>
        <v>123178.89398285713</v>
      </c>
      <c r="BD20" s="2">
        <f t="shared" si="16"/>
        <v>121947.10504302855</v>
      </c>
    </row>
    <row r="21" spans="2:56" x14ac:dyDescent="0.25">
      <c r="B21" t="s">
        <v>12</v>
      </c>
      <c r="C21" s="6">
        <f t="shared" ref="C21:M21" si="17">+C20/C22</f>
        <v>0.57725832012678291</v>
      </c>
      <c r="D21" s="6">
        <f t="shared" si="17"/>
        <v>0.75632911392405067</v>
      </c>
      <c r="E21" s="6">
        <f t="shared" si="17"/>
        <v>0.93759873617693523</v>
      </c>
      <c r="F21" s="6">
        <f t="shared" si="17"/>
        <v>0.9621749408983451</v>
      </c>
      <c r="G21" s="6">
        <f t="shared" si="17"/>
        <v>1.1799607072691551</v>
      </c>
      <c r="H21" s="6">
        <f t="shared" si="17"/>
        <v>1.1710681907765077</v>
      </c>
      <c r="I21" s="6">
        <f t="shared" si="17"/>
        <v>0.26073131955484896</v>
      </c>
      <c r="J21" s="6">
        <f t="shared" si="17"/>
        <v>0.27210884353741499</v>
      </c>
      <c r="K21" s="6">
        <f t="shared" si="17"/>
        <v>0.57758276824890309</v>
      </c>
      <c r="L21" s="6">
        <f t="shared" si="17"/>
        <v>0.82048192771084338</v>
      </c>
      <c r="M21" s="6">
        <f t="shared" si="17"/>
        <v>2.4761904761904763</v>
      </c>
      <c r="N21" s="6">
        <f t="shared" ref="N21:P21" si="18">+N20/N22</f>
        <v>3.7060946271050521</v>
      </c>
      <c r="O21" s="6">
        <f t="shared" si="18"/>
        <v>4.9337349397590362</v>
      </c>
      <c r="P21" s="6">
        <f t="shared" si="18"/>
        <v>5.978706307754118</v>
      </c>
      <c r="Q21" s="6">
        <f>+Q20/Q22</f>
        <v>0.66802157115260785</v>
      </c>
    </row>
    <row r="22" spans="2:56" x14ac:dyDescent="0.25">
      <c r="B22" t="s">
        <v>13</v>
      </c>
      <c r="C22" s="5">
        <v>2524</v>
      </c>
      <c r="D22" s="5">
        <v>2528</v>
      </c>
      <c r="E22" s="5">
        <v>2532</v>
      </c>
      <c r="F22" s="3">
        <v>2538</v>
      </c>
      <c r="G22" s="5">
        <v>2545</v>
      </c>
      <c r="H22" s="5">
        <v>2537</v>
      </c>
      <c r="I22" s="5">
        <v>2516</v>
      </c>
      <c r="J22" s="5">
        <v>2499</v>
      </c>
      <c r="K22" s="5">
        <v>2507</v>
      </c>
      <c r="L22" s="5">
        <v>2490</v>
      </c>
      <c r="M22" s="5">
        <v>2499</v>
      </c>
      <c r="N22" s="5">
        <v>2494</v>
      </c>
      <c r="O22" s="2">
        <v>2490</v>
      </c>
      <c r="P22" s="5">
        <v>2489</v>
      </c>
      <c r="Q22" s="5">
        <v>24848</v>
      </c>
      <c r="AD22" t="s">
        <v>78</v>
      </c>
      <c r="AE22" s="12">
        <f>NPV(AE23,AD20:BD20)</f>
        <v>1751751.9076363291</v>
      </c>
    </row>
    <row r="23" spans="2:56" x14ac:dyDescent="0.25">
      <c r="AD23" t="s">
        <v>79</v>
      </c>
      <c r="AE23" s="8">
        <v>0.06</v>
      </c>
    </row>
    <row r="24" spans="2:56" x14ac:dyDescent="0.25">
      <c r="B24" t="s">
        <v>71</v>
      </c>
      <c r="F24" s="8"/>
      <c r="G24" s="8">
        <f t="shared" ref="G24:P24" si="19">+G10/C10-1</f>
        <v>0.52768338996602049</v>
      </c>
      <c r="H24" s="8">
        <f t="shared" si="19"/>
        <v>0.46405228758169925</v>
      </c>
      <c r="I24" s="8">
        <f t="shared" si="19"/>
        <v>3.0275088366374714E-2</v>
      </c>
      <c r="J24" s="8">
        <f t="shared" si="19"/>
        <v>-0.16500070392791777</v>
      </c>
      <c r="K24" s="8">
        <f t="shared" si="19"/>
        <v>-0.20829517205285886</v>
      </c>
      <c r="L24" s="8">
        <f t="shared" si="19"/>
        <v>-0.13223938223938225</v>
      </c>
      <c r="M24" s="8">
        <f t="shared" si="19"/>
        <v>1.0147673031026252</v>
      </c>
      <c r="N24" s="8">
        <f t="shared" si="19"/>
        <v>2.0551340414769852</v>
      </c>
      <c r="O24" s="8">
        <f t="shared" si="19"/>
        <v>2.6527846636919516</v>
      </c>
      <c r="P24" s="8">
        <f t="shared" si="19"/>
        <v>2.6212458286985538</v>
      </c>
      <c r="Q24" s="8">
        <f>+Q10/L10-1</f>
        <v>3.1768631813125694</v>
      </c>
      <c r="R24" s="8">
        <v>0.87</v>
      </c>
      <c r="S24" s="8">
        <v>0.71</v>
      </c>
      <c r="T24" s="8">
        <f>+T10/O10-1</f>
        <v>0.89097090892638997</v>
      </c>
      <c r="U24" s="8">
        <f>+U10/P10-1</f>
        <v>0.75841383812010443</v>
      </c>
      <c r="V24" s="8">
        <f>+V10/Q10-1</f>
        <v>0.65766078561917429</v>
      </c>
      <c r="W24" s="8">
        <f>+W10/R10-1</f>
        <v>0.58763708373174661</v>
      </c>
      <c r="AD24" t="s">
        <v>80</v>
      </c>
      <c r="AE24" s="2">
        <f>Q22</f>
        <v>24848</v>
      </c>
    </row>
    <row r="25" spans="2:56" x14ac:dyDescent="0.25">
      <c r="B25" t="s">
        <v>72</v>
      </c>
      <c r="D25" s="8">
        <f t="shared" ref="D25:P25" si="20">+D10/C10-1</f>
        <v>0.13152108734759138</v>
      </c>
      <c r="E25" s="8">
        <f t="shared" si="20"/>
        <v>0.14944356120826718</v>
      </c>
      <c r="F25" s="8">
        <f t="shared" si="20"/>
        <v>9.1593668357153879E-2</v>
      </c>
      <c r="G25" s="8">
        <f t="shared" si="20"/>
        <v>7.6024215120371608E-2</v>
      </c>
      <c r="H25" s="8">
        <f t="shared" si="20"/>
        <v>8.4390945963626951E-2</v>
      </c>
      <c r="I25" s="8">
        <f t="shared" si="20"/>
        <v>-0.19111969111969107</v>
      </c>
      <c r="J25" s="8">
        <f t="shared" si="20"/>
        <v>-0.11530429594272074</v>
      </c>
      <c r="K25" s="8">
        <f t="shared" si="20"/>
        <v>2.0232675771370667E-2</v>
      </c>
      <c r="L25" s="8">
        <f t="shared" si="20"/>
        <v>0.1885638737398776</v>
      </c>
      <c r="M25" s="8">
        <f t="shared" si="20"/>
        <v>0.87805895439377091</v>
      </c>
      <c r="N25" s="8">
        <f t="shared" si="20"/>
        <v>0.34152661582882948</v>
      </c>
      <c r="O25" s="8">
        <f t="shared" si="20"/>
        <v>0.21981236203090515</v>
      </c>
      <c r="P25" s="8">
        <f t="shared" si="20"/>
        <v>0.17830158801972584</v>
      </c>
      <c r="Q25" s="8">
        <f>+Q10/O10-1</f>
        <v>0.35909152603718941</v>
      </c>
      <c r="R25" s="8"/>
      <c r="S25" s="8"/>
      <c r="AE25">
        <f>AE22/AE24</f>
        <v>70.498708452846472</v>
      </c>
    </row>
    <row r="26" spans="2:56" x14ac:dyDescent="0.25">
      <c r="B26" t="s">
        <v>73</v>
      </c>
      <c r="E26" s="8">
        <f t="shared" ref="E26:P26" si="21">+E8/D8-1</f>
        <v>0.15609756097560967</v>
      </c>
      <c r="F26" s="8">
        <f t="shared" si="21"/>
        <v>0.240506329113924</v>
      </c>
      <c r="G26" s="8">
        <f t="shared" si="21"/>
        <v>0.10884353741496589</v>
      </c>
      <c r="H26" s="8">
        <f t="shared" si="21"/>
        <v>0.15030674846625769</v>
      </c>
      <c r="I26" s="8">
        <f t="shared" si="21"/>
        <v>1.6000000000000014E-2</v>
      </c>
      <c r="J26" s="8">
        <f t="shared" si="21"/>
        <v>6.0367454068241955E-3</v>
      </c>
      <c r="K26" s="8">
        <f t="shared" si="21"/>
        <v>-5.5570049569527824E-2</v>
      </c>
      <c r="L26" s="8">
        <f t="shared" si="21"/>
        <v>0.18342541436464099</v>
      </c>
      <c r="M26" s="8">
        <f t="shared" si="21"/>
        <v>1.4096638655462184</v>
      </c>
      <c r="N26" s="8">
        <f t="shared" si="21"/>
        <v>0.40598663179308336</v>
      </c>
      <c r="O26" s="8">
        <f t="shared" si="21"/>
        <v>0.26677690505718621</v>
      </c>
      <c r="P26" s="8">
        <f t="shared" si="21"/>
        <v>0.22718372674861298</v>
      </c>
      <c r="Q26" s="8">
        <f>+Q8/O8-1</f>
        <v>0.42891330360056568</v>
      </c>
      <c r="R26" s="8"/>
      <c r="S26" s="8"/>
      <c r="AD26" t="s">
        <v>90</v>
      </c>
      <c r="AE26" s="15">
        <f>AE25/Main!D12-1</f>
        <v>-0.47933007051073506</v>
      </c>
    </row>
    <row r="27" spans="2:56" x14ac:dyDescent="0.25">
      <c r="B27" t="s">
        <v>5</v>
      </c>
      <c r="C27" s="7">
        <f>C12/C10</f>
        <v>0.6310213871676994</v>
      </c>
      <c r="D27" s="7">
        <f>D12/D10</f>
        <v>0.6410528175234057</v>
      </c>
      <c r="E27" s="7">
        <f>E12/E10</f>
        <v>0.64776394651913327</v>
      </c>
      <c r="F27" s="7"/>
      <c r="G27" s="7">
        <f t="shared" ref="G27:O27" si="22">G12/G10</f>
        <v>0.65406254088708626</v>
      </c>
      <c r="H27" s="7">
        <f t="shared" si="22"/>
        <v>0.65528474903474898</v>
      </c>
      <c r="I27" s="7">
        <f t="shared" si="22"/>
        <v>0.43481503579952269</v>
      </c>
      <c r="J27" s="7">
        <f t="shared" si="22"/>
        <v>0.53566009104704093</v>
      </c>
      <c r="K27" s="7">
        <f t="shared" si="22"/>
        <v>0.63344901669145592</v>
      </c>
      <c r="L27" s="7">
        <f t="shared" si="22"/>
        <v>0.64627363737486099</v>
      </c>
      <c r="M27" s="7">
        <f t="shared" si="22"/>
        <v>0.7005256533649219</v>
      </c>
      <c r="N27" s="7">
        <f t="shared" si="22"/>
        <v>0.73951434878587197</v>
      </c>
      <c r="O27" s="7">
        <f t="shared" si="22"/>
        <v>0.75967063294575399</v>
      </c>
      <c r="P27" s="7">
        <f t="shared" ref="P27" si="23">P12/P10</f>
        <v>0.78352019659038552</v>
      </c>
      <c r="Q27" s="7">
        <f>Q12/Q10</f>
        <v>0.75146471371504664</v>
      </c>
      <c r="R27" s="7">
        <v>0.75146471371504664</v>
      </c>
      <c r="S27" s="7">
        <v>0.75146471371504664</v>
      </c>
    </row>
    <row r="28" spans="2:56" x14ac:dyDescent="0.25">
      <c r="B28" t="s">
        <v>24</v>
      </c>
      <c r="C28" s="7">
        <f t="shared" ref="C28:H28" si="24">C8/C10</f>
        <v>0</v>
      </c>
      <c r="D28" s="7">
        <f t="shared" si="24"/>
        <v>0.36212683271506801</v>
      </c>
      <c r="E28" s="7">
        <f t="shared" si="24"/>
        <v>0.36422314430613184</v>
      </c>
      <c r="F28" s="7">
        <f t="shared" si="24"/>
        <v>0.41390961565535689</v>
      </c>
      <c r="G28" s="7">
        <f t="shared" si="24"/>
        <v>0.42653408347507521</v>
      </c>
      <c r="H28" s="7">
        <f t="shared" si="24"/>
        <v>0.45246138996138996</v>
      </c>
      <c r="I28" s="7">
        <f t="shared" ref="I28:N28" si="25">I8/I10</f>
        <v>0.56831742243436756</v>
      </c>
      <c r="J28" s="7">
        <f t="shared" si="25"/>
        <v>0.64626538526386779</v>
      </c>
      <c r="K28" s="7">
        <f t="shared" si="25"/>
        <v>0.59824822343414308</v>
      </c>
      <c r="L28" s="7">
        <f t="shared" si="25"/>
        <v>0.59566184649610676</v>
      </c>
      <c r="M28" s="7">
        <f t="shared" si="25"/>
        <v>0.76427037832235134</v>
      </c>
      <c r="N28" s="7">
        <f t="shared" si="25"/>
        <v>0.80099337748344368</v>
      </c>
      <c r="O28" s="7">
        <f t="shared" ref="O28" si="26">O8/O10</f>
        <v>0.83183278288015206</v>
      </c>
      <c r="P28" s="7">
        <f t="shared" ref="P28" si="27">P8/P10</f>
        <v>0.86634157579480875</v>
      </c>
      <c r="Q28" s="7">
        <f>Q8/Q10</f>
        <v>0.87456724367509986</v>
      </c>
      <c r="R28" s="7"/>
      <c r="S28" s="7"/>
    </row>
    <row r="29" spans="2:56" x14ac:dyDescent="0.25">
      <c r="B29" t="s">
        <v>75</v>
      </c>
      <c r="C29" s="7">
        <f t="shared" ref="C29:O29" si="28">C19/C18</f>
        <v>8.8435374149659872E-3</v>
      </c>
      <c r="D29" s="7">
        <f t="shared" si="28"/>
        <v>6.4579256360078274E-2</v>
      </c>
      <c r="E29" s="7">
        <f t="shared" si="28"/>
        <v>8.3542188805346695E-3</v>
      </c>
      <c r="F29" s="7">
        <f t="shared" si="28"/>
        <v>6.6513761467889912E-2</v>
      </c>
      <c r="G29" s="7">
        <f t="shared" si="28"/>
        <v>-4.8167539267015703E-2</v>
      </c>
      <c r="H29" s="7">
        <f t="shared" si="28"/>
        <v>5.9214692843571878E-2</v>
      </c>
      <c r="I29" s="7">
        <f t="shared" si="28"/>
        <v>-0.38105263157894737</v>
      </c>
      <c r="J29" s="7">
        <f t="shared" si="28"/>
        <v>-0.10929853181076672</v>
      </c>
      <c r="K29" s="7">
        <f t="shared" si="28"/>
        <v>-0.14829500396510706</v>
      </c>
      <c r="L29" s="7">
        <f t="shared" si="28"/>
        <v>7.5147125396106837E-2</v>
      </c>
      <c r="M29" s="7">
        <f t="shared" si="28"/>
        <v>0.11359404096834265</v>
      </c>
      <c r="N29" s="7">
        <f t="shared" si="28"/>
        <v>0.12155483748336818</v>
      </c>
      <c r="O29" s="7">
        <f t="shared" si="28"/>
        <v>0.12909400255210549</v>
      </c>
      <c r="P29" s="7">
        <f t="shared" ref="P29" si="29">P19/P18</f>
        <v>0.13878117946640431</v>
      </c>
      <c r="Q29" s="7">
        <f>Q19/Q18</f>
        <v>0.1360986780472572</v>
      </c>
      <c r="R29" s="7"/>
      <c r="S29" s="7"/>
    </row>
    <row r="30" spans="2:56" x14ac:dyDescent="0.25">
      <c r="B30" t="s">
        <v>76</v>
      </c>
      <c r="C30" s="7">
        <f t="shared" ref="C30:I30" si="30">C16/C10</f>
        <v>0.30121926843893665</v>
      </c>
      <c r="D30" s="7">
        <f t="shared" si="30"/>
        <v>0.34552199258081612</v>
      </c>
      <c r="E30" s="7">
        <f t="shared" si="30"/>
        <v>0.37559551252497309</v>
      </c>
      <c r="F30" s="7">
        <f t="shared" si="30"/>
        <v>0.37603829367872732</v>
      </c>
      <c r="G30" s="7">
        <f t="shared" si="30"/>
        <v>0.38859086746042132</v>
      </c>
      <c r="H30" s="7">
        <f t="shared" si="30"/>
        <v>0.38863416988416988</v>
      </c>
      <c r="I30" s="7">
        <f t="shared" si="30"/>
        <v>7.4433174224343673E-2</v>
      </c>
      <c r="J30" s="7">
        <f t="shared" ref="J30:O30" si="31">J16/J10</f>
        <v>0.10133198448828191</v>
      </c>
      <c r="K30" s="7">
        <f t="shared" si="31"/>
        <v>0.20756899686002314</v>
      </c>
      <c r="L30" s="7">
        <f t="shared" si="31"/>
        <v>0.29755283648498332</v>
      </c>
      <c r="M30" s="7">
        <f t="shared" si="31"/>
        <v>0.50344265936181243</v>
      </c>
      <c r="N30" s="7">
        <f t="shared" si="31"/>
        <v>0.5748896247240618</v>
      </c>
      <c r="O30" s="7">
        <f t="shared" si="31"/>
        <v>0.61597973125820027</v>
      </c>
      <c r="P30" s="7">
        <f t="shared" ref="P30" si="32">P16/P10</f>
        <v>0.64924742743050223</v>
      </c>
      <c r="Q30" s="7">
        <f>Q16/Q10</f>
        <v>0.62057256990679099</v>
      </c>
      <c r="R30" s="7"/>
      <c r="S30" s="7"/>
    </row>
    <row r="31" spans="2:56" x14ac:dyDescent="0.25">
      <c r="B31" t="s">
        <v>77</v>
      </c>
      <c r="C31" s="7">
        <f>C20/C10</f>
        <v>0.29122526484109534</v>
      </c>
      <c r="D31" s="7">
        <f t="shared" ref="D31:O31" si="33">D20/D10</f>
        <v>0.33774951422010246</v>
      </c>
      <c r="E31" s="7">
        <f t="shared" si="33"/>
        <v>0.36483786691255571</v>
      </c>
      <c r="F31" s="7">
        <f t="shared" si="33"/>
        <v>0.34379839504434745</v>
      </c>
      <c r="G31" s="7">
        <f t="shared" si="33"/>
        <v>0.39290854376553708</v>
      </c>
      <c r="H31" s="7">
        <f t="shared" si="33"/>
        <v>0.35847007722007723</v>
      </c>
      <c r="I31" s="7">
        <f t="shared" si="33"/>
        <v>9.7852028639618144E-2</v>
      </c>
      <c r="J31" s="7">
        <f t="shared" si="33"/>
        <v>0.11465182937110099</v>
      </c>
      <c r="K31" s="7">
        <f t="shared" si="33"/>
        <v>0.23929928937365724</v>
      </c>
      <c r="L31" s="7">
        <f t="shared" si="33"/>
        <v>0.28406562847608452</v>
      </c>
      <c r="M31" s="7">
        <f t="shared" si="33"/>
        <v>0.45813282001924927</v>
      </c>
      <c r="N31" s="7">
        <f t="shared" si="33"/>
        <v>0.51009933774834437</v>
      </c>
      <c r="O31" s="7">
        <f t="shared" si="33"/>
        <v>0.55580690404017552</v>
      </c>
      <c r="P31" s="7">
        <f t="shared" ref="P31" si="34">P20/P10</f>
        <v>0.57137920442328372</v>
      </c>
      <c r="Q31" s="7">
        <f>Q20/Q10</f>
        <v>0.55256324900133158</v>
      </c>
      <c r="R31" s="7">
        <v>0.55256324900133158</v>
      </c>
      <c r="S31" s="7">
        <v>0.55256324900133158</v>
      </c>
      <c r="T31" s="7">
        <v>0.55256324900133158</v>
      </c>
      <c r="U31" s="7">
        <v>0.55256324900133158</v>
      </c>
      <c r="V31" s="7">
        <v>0.55256324900133158</v>
      </c>
      <c r="W31" s="7">
        <v>0.55256324900133158</v>
      </c>
    </row>
    <row r="32" spans="2:56" x14ac:dyDescent="0.25"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</row>
    <row r="33" spans="2:17" x14ac:dyDescent="0.25">
      <c r="B33" t="s">
        <v>74</v>
      </c>
    </row>
    <row r="34" spans="2:17" x14ac:dyDescent="0.25">
      <c r="B34" t="s">
        <v>81</v>
      </c>
      <c r="L34" s="5">
        <f t="shared" ref="L34:Q34" si="35">L35-L48</f>
        <v>4366</v>
      </c>
      <c r="M34" s="5">
        <f t="shared" si="35"/>
        <v>6318</v>
      </c>
      <c r="N34" s="5">
        <f t="shared" si="35"/>
        <v>8575</v>
      </c>
      <c r="O34" s="5">
        <f t="shared" si="35"/>
        <v>16275</v>
      </c>
      <c r="P34" s="5">
        <f t="shared" si="35"/>
        <v>21728</v>
      </c>
      <c r="Q34" s="5">
        <f t="shared" si="35"/>
        <v>26339</v>
      </c>
    </row>
    <row r="35" spans="2:17" s="2" customFormat="1" x14ac:dyDescent="0.25">
      <c r="B35" s="2" t="s">
        <v>38</v>
      </c>
      <c r="C35" s="5"/>
      <c r="D35" s="5"/>
      <c r="E35" s="5"/>
      <c r="F35" s="5"/>
      <c r="G35" s="5"/>
      <c r="H35" s="5"/>
      <c r="I35" s="5"/>
      <c r="J35" s="5"/>
      <c r="K35" s="5"/>
      <c r="L35" s="2">
        <f>5079+10241</f>
        <v>15320</v>
      </c>
      <c r="M35" s="2">
        <f>5783+10240</f>
        <v>16023</v>
      </c>
      <c r="N35" s="2">
        <f>5519+12762</f>
        <v>18281</v>
      </c>
      <c r="O35" s="2">
        <f>7280+18704</f>
        <v>25984</v>
      </c>
      <c r="P35" s="2">
        <f>7587+23851</f>
        <v>31438</v>
      </c>
      <c r="Q35" s="2">
        <f>8563+26237</f>
        <v>34800</v>
      </c>
    </row>
    <row r="36" spans="2:17" s="2" customFormat="1" x14ac:dyDescent="0.25">
      <c r="B36" s="2" t="s">
        <v>39</v>
      </c>
      <c r="C36" s="5"/>
      <c r="D36" s="5"/>
      <c r="E36" s="5"/>
      <c r="F36" s="5"/>
      <c r="G36" s="5"/>
      <c r="H36" s="5"/>
      <c r="I36" s="5"/>
      <c r="J36" s="5"/>
      <c r="K36" s="5"/>
      <c r="L36" s="2">
        <v>4080</v>
      </c>
      <c r="M36" s="2">
        <v>7066</v>
      </c>
      <c r="N36" s="2">
        <v>8309</v>
      </c>
      <c r="O36" s="2">
        <v>9999</v>
      </c>
      <c r="P36" s="2">
        <v>12365</v>
      </c>
      <c r="Q36" s="2">
        <v>14132</v>
      </c>
    </row>
    <row r="37" spans="2:17" s="2" customFormat="1" x14ac:dyDescent="0.25">
      <c r="B37" s="2" t="s">
        <v>40</v>
      </c>
      <c r="C37" s="5"/>
      <c r="D37" s="5"/>
      <c r="E37" s="5"/>
      <c r="F37" s="5"/>
      <c r="G37" s="5"/>
      <c r="H37" s="5"/>
      <c r="I37" s="5"/>
      <c r="J37" s="5"/>
      <c r="K37" s="5"/>
      <c r="L37" s="2">
        <v>4611</v>
      </c>
      <c r="M37" s="2">
        <v>4319</v>
      </c>
      <c r="N37" s="2">
        <v>4779</v>
      </c>
      <c r="O37" s="2">
        <v>5282</v>
      </c>
      <c r="P37" s="2">
        <v>5864</v>
      </c>
      <c r="Q37" s="2">
        <v>6675</v>
      </c>
    </row>
    <row r="38" spans="2:17" s="2" customFormat="1" x14ac:dyDescent="0.25">
      <c r="B38" s="2" t="s">
        <v>41</v>
      </c>
      <c r="C38" s="5"/>
      <c r="D38" s="5"/>
      <c r="E38" s="5"/>
      <c r="F38" s="5"/>
      <c r="G38" s="5"/>
      <c r="H38" s="5"/>
      <c r="I38" s="5"/>
      <c r="J38" s="5"/>
      <c r="K38" s="5"/>
      <c r="L38" s="2">
        <v>872</v>
      </c>
      <c r="M38" s="2">
        <v>1389</v>
      </c>
      <c r="N38" s="2">
        <v>1289</v>
      </c>
      <c r="O38" s="2">
        <v>3080</v>
      </c>
      <c r="P38" s="2">
        <v>4062</v>
      </c>
      <c r="Q38" s="2">
        <v>4026</v>
      </c>
    </row>
    <row r="39" spans="2:17" s="2" customFormat="1" x14ac:dyDescent="0.25">
      <c r="B39" s="2" t="s">
        <v>42</v>
      </c>
      <c r="C39" s="5"/>
      <c r="D39" s="5"/>
      <c r="E39" s="5"/>
      <c r="F39" s="5"/>
      <c r="G39" s="5"/>
      <c r="H39" s="5"/>
      <c r="I39" s="5"/>
      <c r="J39" s="5"/>
      <c r="K39" s="5"/>
      <c r="L39" s="2">
        <v>3740</v>
      </c>
      <c r="M39" s="2">
        <v>3799</v>
      </c>
      <c r="N39" s="2">
        <v>3844</v>
      </c>
      <c r="O39" s="2">
        <v>3914</v>
      </c>
      <c r="P39" s="2">
        <v>4006</v>
      </c>
      <c r="Q39" s="2">
        <v>4885</v>
      </c>
    </row>
    <row r="40" spans="2:17" s="2" customFormat="1" x14ac:dyDescent="0.25">
      <c r="B40" s="2" t="s">
        <v>43</v>
      </c>
      <c r="C40" s="5"/>
      <c r="D40" s="5"/>
      <c r="E40" s="5"/>
      <c r="F40" s="5"/>
      <c r="G40" s="5"/>
      <c r="H40" s="5"/>
      <c r="I40" s="5"/>
      <c r="J40" s="5"/>
      <c r="K40" s="5"/>
      <c r="L40" s="2">
        <v>1094</v>
      </c>
      <c r="M40" s="2">
        <v>1235</v>
      </c>
      <c r="N40" s="2">
        <v>1316</v>
      </c>
      <c r="O40" s="2">
        <v>1346</v>
      </c>
      <c r="P40" s="2">
        <v>1532</v>
      </c>
      <c r="Q40" s="2">
        <v>1556</v>
      </c>
    </row>
    <row r="41" spans="2:17" s="2" customFormat="1" x14ac:dyDescent="0.25">
      <c r="B41" s="2" t="s">
        <v>44</v>
      </c>
      <c r="C41" s="5"/>
      <c r="D41" s="5"/>
      <c r="E41" s="5"/>
      <c r="F41" s="5"/>
      <c r="G41" s="5"/>
      <c r="H41" s="5"/>
      <c r="I41" s="5"/>
      <c r="J41" s="5"/>
      <c r="K41" s="5"/>
      <c r="L41" s="2">
        <f>4430+1541</f>
        <v>5971</v>
      </c>
      <c r="M41" s="2">
        <f>4430+1395</f>
        <v>5825</v>
      </c>
      <c r="N41" s="2">
        <f>4430+1251</f>
        <v>5681</v>
      </c>
      <c r="O41" s="2">
        <f>4430+1112</f>
        <v>5542</v>
      </c>
      <c r="P41" s="2">
        <f>4453+986</f>
        <v>5439</v>
      </c>
      <c r="Q41" s="2">
        <f>4622+952</f>
        <v>5574</v>
      </c>
    </row>
    <row r="42" spans="2:17" s="2" customFormat="1" x14ac:dyDescent="0.25">
      <c r="B42" s="2" t="s">
        <v>9</v>
      </c>
      <c r="C42" s="5"/>
      <c r="D42" s="5"/>
      <c r="E42" s="5"/>
      <c r="F42" s="5"/>
      <c r="G42" s="5"/>
      <c r="H42" s="5"/>
      <c r="I42" s="5"/>
      <c r="J42" s="5"/>
      <c r="K42" s="5"/>
      <c r="L42" s="2">
        <v>4568</v>
      </c>
      <c r="M42" s="2">
        <v>5398</v>
      </c>
      <c r="N42" s="2">
        <v>5982</v>
      </c>
      <c r="O42" s="2">
        <v>6081</v>
      </c>
      <c r="P42" s="2">
        <v>7798</v>
      </c>
      <c r="Q42" s="2">
        <v>9578</v>
      </c>
    </row>
    <row r="43" spans="2:17" s="2" customFormat="1" x14ac:dyDescent="0.25">
      <c r="B43" s="2" t="s">
        <v>45</v>
      </c>
      <c r="C43" s="5"/>
      <c r="D43" s="5"/>
      <c r="E43" s="5"/>
      <c r="F43" s="5"/>
      <c r="G43" s="5"/>
      <c r="H43" s="5"/>
      <c r="I43" s="5"/>
      <c r="J43" s="5"/>
      <c r="K43" s="5"/>
      <c r="L43" s="2">
        <v>4204</v>
      </c>
      <c r="M43" s="2">
        <v>4501</v>
      </c>
      <c r="N43" s="2">
        <v>4667</v>
      </c>
      <c r="O43" s="2">
        <v>4500</v>
      </c>
      <c r="P43" s="2">
        <v>4568</v>
      </c>
      <c r="Q43" s="2">
        <v>4001</v>
      </c>
    </row>
    <row r="44" spans="2:17" s="2" customFormat="1" x14ac:dyDescent="0.25">
      <c r="B44" s="2" t="s">
        <v>37</v>
      </c>
      <c r="C44" s="5"/>
      <c r="D44" s="5"/>
      <c r="E44" s="5"/>
      <c r="F44" s="5"/>
      <c r="G44" s="5"/>
      <c r="H44" s="5"/>
      <c r="I44" s="5"/>
      <c r="J44" s="5"/>
      <c r="K44" s="5"/>
      <c r="L44" s="2">
        <f t="shared" ref="L44" si="36">SUM(L35:L43)</f>
        <v>44460</v>
      </c>
      <c r="M44" s="2">
        <f>SUM(M35:M43)</f>
        <v>49555</v>
      </c>
      <c r="N44" s="2">
        <f>SUM(N35:N43)</f>
        <v>54148</v>
      </c>
      <c r="O44" s="2">
        <f>SUM(O35:O43)</f>
        <v>65728</v>
      </c>
      <c r="P44" s="2">
        <f>SUM(P35:P43)</f>
        <v>77072</v>
      </c>
      <c r="Q44" s="2">
        <f>SUM(Q35:Q43)</f>
        <v>85227</v>
      </c>
    </row>
    <row r="45" spans="2:17" s="2" customFormat="1" x14ac:dyDescent="0.25">
      <c r="C45" s="5"/>
      <c r="D45" s="5"/>
      <c r="E45" s="5"/>
      <c r="F45" s="5"/>
      <c r="G45" s="5"/>
      <c r="H45" s="5"/>
      <c r="I45" s="5"/>
      <c r="J45" s="5"/>
      <c r="K45" s="5"/>
    </row>
    <row r="46" spans="2:17" s="2" customFormat="1" x14ac:dyDescent="0.25">
      <c r="B46" s="2" t="s">
        <v>36</v>
      </c>
      <c r="C46" s="5"/>
      <c r="D46" s="5"/>
      <c r="E46" s="5"/>
      <c r="F46" s="5"/>
      <c r="G46" s="5"/>
      <c r="H46" s="5"/>
      <c r="I46" s="5"/>
      <c r="J46" s="5"/>
      <c r="K46" s="5"/>
      <c r="L46" s="2">
        <v>1141</v>
      </c>
      <c r="M46" s="2">
        <v>1929</v>
      </c>
      <c r="N46" s="2">
        <v>2380</v>
      </c>
      <c r="O46" s="2">
        <v>2699</v>
      </c>
      <c r="P46" s="2">
        <v>2715</v>
      </c>
      <c r="Q46" s="2">
        <v>3680</v>
      </c>
    </row>
    <row r="47" spans="2:17" s="2" customFormat="1" x14ac:dyDescent="0.25">
      <c r="B47" s="2" t="s">
        <v>35</v>
      </c>
      <c r="C47" s="5"/>
      <c r="D47" s="5"/>
      <c r="E47" s="5"/>
      <c r="F47" s="5"/>
      <c r="G47" s="5"/>
      <c r="H47" s="5"/>
      <c r="I47" s="5"/>
      <c r="J47" s="5"/>
      <c r="K47" s="5"/>
      <c r="L47" s="2">
        <v>4869</v>
      </c>
      <c r="M47" s="2">
        <v>7156</v>
      </c>
      <c r="N47" s="2">
        <v>5472</v>
      </c>
      <c r="O47" s="2">
        <v>6682</v>
      </c>
      <c r="P47" s="2">
        <v>11258</v>
      </c>
      <c r="Q47" s="2">
        <v>10289</v>
      </c>
    </row>
    <row r="48" spans="2:17" s="2" customFormat="1" x14ac:dyDescent="0.25">
      <c r="B48" s="2" t="s">
        <v>34</v>
      </c>
      <c r="C48" s="5"/>
      <c r="D48" s="5"/>
      <c r="E48" s="5"/>
      <c r="F48" s="5"/>
      <c r="G48" s="5"/>
      <c r="H48" s="5"/>
      <c r="I48" s="5"/>
      <c r="J48" s="5"/>
      <c r="K48" s="5"/>
      <c r="L48" s="2">
        <f>1250+9704</f>
        <v>10954</v>
      </c>
      <c r="M48" s="2">
        <f>1249+8456</f>
        <v>9705</v>
      </c>
      <c r="N48" s="2">
        <f>1249+8457</f>
        <v>9706</v>
      </c>
      <c r="O48" s="2">
        <f>1250+8459</f>
        <v>9709</v>
      </c>
      <c r="P48" s="2">
        <f>1250+8460</f>
        <v>9710</v>
      </c>
      <c r="Q48" s="2">
        <v>8461</v>
      </c>
    </row>
    <row r="49" spans="2:17" s="2" customFormat="1" x14ac:dyDescent="0.25">
      <c r="B49" s="2" t="s">
        <v>33</v>
      </c>
      <c r="C49" s="5"/>
      <c r="D49" s="5"/>
      <c r="E49" s="5"/>
      <c r="F49" s="5"/>
      <c r="G49" s="5"/>
      <c r="H49" s="5"/>
      <c r="I49" s="5"/>
      <c r="J49" s="5"/>
      <c r="K49" s="5"/>
      <c r="L49" s="2">
        <f>939</f>
        <v>939</v>
      </c>
      <c r="M49" s="2">
        <v>1041</v>
      </c>
      <c r="N49" s="2">
        <v>1091</v>
      </c>
      <c r="O49" s="2">
        <v>1119</v>
      </c>
      <c r="P49" s="2">
        <v>1281</v>
      </c>
      <c r="Q49" s="2">
        <v>1304</v>
      </c>
    </row>
    <row r="50" spans="2:17" s="2" customFormat="1" x14ac:dyDescent="0.25">
      <c r="B50" s="2" t="s">
        <v>32</v>
      </c>
      <c r="C50" s="5"/>
      <c r="D50" s="5"/>
      <c r="E50" s="5"/>
      <c r="F50" s="5"/>
      <c r="G50" s="5"/>
      <c r="H50" s="5"/>
      <c r="I50" s="5"/>
      <c r="J50" s="5"/>
      <c r="K50" s="5"/>
      <c r="L50" s="2">
        <v>2037</v>
      </c>
      <c r="M50" s="2">
        <v>2223</v>
      </c>
      <c r="N50" s="2">
        <v>2234</v>
      </c>
      <c r="O50" s="2">
        <v>2541</v>
      </c>
      <c r="P50" s="2">
        <v>2966</v>
      </c>
      <c r="Q50" s="2">
        <v>3336</v>
      </c>
    </row>
    <row r="51" spans="2:17" s="2" customFormat="1" x14ac:dyDescent="0.25">
      <c r="B51" s="2" t="s">
        <v>31</v>
      </c>
      <c r="C51" s="5"/>
      <c r="D51" s="5"/>
      <c r="E51" s="5"/>
      <c r="F51" s="5"/>
      <c r="G51" s="5"/>
      <c r="H51" s="5"/>
      <c r="I51" s="5"/>
      <c r="J51" s="5"/>
      <c r="K51" s="5"/>
      <c r="L51" s="2">
        <v>24520</v>
      </c>
      <c r="M51" s="2">
        <v>27501</v>
      </c>
      <c r="N51" s="2">
        <v>33265</v>
      </c>
      <c r="O51" s="2">
        <v>42978</v>
      </c>
      <c r="P51" s="2">
        <v>49142</v>
      </c>
      <c r="Q51" s="2">
        <v>58157</v>
      </c>
    </row>
    <row r="52" spans="2:17" s="2" customFormat="1" x14ac:dyDescent="0.25">
      <c r="B52" s="2" t="s">
        <v>30</v>
      </c>
      <c r="C52" s="5"/>
      <c r="D52" s="5"/>
      <c r="E52" s="5"/>
      <c r="F52" s="5"/>
      <c r="G52" s="5"/>
      <c r="H52" s="5"/>
      <c r="I52" s="5"/>
      <c r="J52" s="5"/>
      <c r="K52" s="5"/>
      <c r="L52" s="2">
        <f t="shared" ref="L52" si="37">SUM(L46:L51)</f>
        <v>44460</v>
      </c>
      <c r="M52" s="2">
        <f>SUM(M46:M51)</f>
        <v>49555</v>
      </c>
      <c r="N52" s="2">
        <f>SUM(N46:N51)</f>
        <v>54148</v>
      </c>
      <c r="O52" s="2">
        <f>SUM(O46:O51)</f>
        <v>65728</v>
      </c>
      <c r="P52" s="2">
        <f>SUM(P46:P51)</f>
        <v>77072</v>
      </c>
      <c r="Q52" s="2">
        <f>SUM(Q46:Q51)</f>
        <v>85227</v>
      </c>
    </row>
    <row r="53" spans="2:17" x14ac:dyDescent="0.25">
      <c r="L53" s="5"/>
      <c r="M53" s="2"/>
      <c r="N53" s="2"/>
    </row>
    <row r="54" spans="2:17" x14ac:dyDescent="0.25">
      <c r="B54" s="2" t="s">
        <v>82</v>
      </c>
      <c r="L54" s="5">
        <f t="shared" ref="L54:Q54" si="38">L20</f>
        <v>2043</v>
      </c>
      <c r="M54" s="5">
        <f t="shared" si="38"/>
        <v>6188</v>
      </c>
      <c r="N54" s="5">
        <f t="shared" si="38"/>
        <v>9243</v>
      </c>
      <c r="O54" s="5">
        <f t="shared" si="38"/>
        <v>12285</v>
      </c>
      <c r="P54" s="5">
        <f t="shared" si="38"/>
        <v>14881</v>
      </c>
      <c r="Q54" s="5">
        <f t="shared" si="38"/>
        <v>16599</v>
      </c>
    </row>
    <row r="55" spans="2:17" x14ac:dyDescent="0.25">
      <c r="B55" s="2" t="s">
        <v>8</v>
      </c>
      <c r="L55" s="5">
        <f>L20</f>
        <v>2043</v>
      </c>
      <c r="M55" s="5">
        <f>M20</f>
        <v>6188</v>
      </c>
      <c r="N55" s="5">
        <f>N20</f>
        <v>9243</v>
      </c>
      <c r="O55" s="5">
        <f>O20</f>
        <v>12285</v>
      </c>
      <c r="P55">
        <v>14881</v>
      </c>
      <c r="Q55" s="2">
        <f>31480-P55</f>
        <v>16599</v>
      </c>
    </row>
    <row r="56" spans="2:17" x14ac:dyDescent="0.25">
      <c r="B56" s="2" t="s">
        <v>53</v>
      </c>
      <c r="L56" s="5">
        <v>735</v>
      </c>
      <c r="M56" s="2">
        <f>1576-L56</f>
        <v>841</v>
      </c>
      <c r="N56" s="2">
        <f>2555-M56-L56</f>
        <v>979</v>
      </c>
      <c r="O56" s="2">
        <f>3539-N56-M56-L56</f>
        <v>984</v>
      </c>
      <c r="P56">
        <v>1011</v>
      </c>
      <c r="Q56">
        <f>2164-P56</f>
        <v>1153</v>
      </c>
    </row>
    <row r="57" spans="2:17" x14ac:dyDescent="0.25">
      <c r="B57" s="2" t="s">
        <v>55</v>
      </c>
      <c r="L57" s="5">
        <v>384</v>
      </c>
      <c r="M57" s="2">
        <f>749-L57</f>
        <v>365</v>
      </c>
      <c r="N57" s="2">
        <f>1121-M57-L57</f>
        <v>372</v>
      </c>
      <c r="O57" s="2">
        <f>1508-N57-M57-L57</f>
        <v>387</v>
      </c>
      <c r="P57">
        <v>410</v>
      </c>
      <c r="Q57">
        <f>843-P57</f>
        <v>433</v>
      </c>
    </row>
    <row r="58" spans="2:17" x14ac:dyDescent="0.25">
      <c r="B58" s="2" t="s">
        <v>56</v>
      </c>
      <c r="L58" s="5">
        <v>14</v>
      </c>
      <c r="M58" s="2">
        <f>-45-L58</f>
        <v>-59</v>
      </c>
      <c r="N58" s="2">
        <f>24-M58-L58</f>
        <v>69</v>
      </c>
      <c r="O58">
        <v>-238</v>
      </c>
      <c r="P58">
        <v>-69</v>
      </c>
      <c r="Q58">
        <f>-264-P58</f>
        <v>-195</v>
      </c>
    </row>
    <row r="59" spans="2:17" x14ac:dyDescent="0.25">
      <c r="B59" s="2" t="s">
        <v>57</v>
      </c>
      <c r="L59" s="5">
        <v>-1135</v>
      </c>
      <c r="M59" s="2">
        <f>-1881-L59</f>
        <v>-746</v>
      </c>
      <c r="N59" s="2">
        <f>-2411-M59-L59</f>
        <v>-530</v>
      </c>
      <c r="O59" s="2">
        <f>-2489-N59-M59-L59</f>
        <v>-78</v>
      </c>
      <c r="P59">
        <v>-1577</v>
      </c>
      <c r="Q59">
        <f>-3276-P59</f>
        <v>-1699</v>
      </c>
    </row>
    <row r="60" spans="2:17" x14ac:dyDescent="0.25">
      <c r="B60" s="2" t="s">
        <v>46</v>
      </c>
      <c r="L60" s="5">
        <v>-34</v>
      </c>
      <c r="M60" s="2">
        <f>-102-L60</f>
        <v>-68</v>
      </c>
      <c r="N60" s="2">
        <f>-170-M60-L60</f>
        <v>-68</v>
      </c>
      <c r="O60">
        <v>-278</v>
      </c>
      <c r="P60">
        <v>-145</v>
      </c>
      <c r="Q60">
        <f>-288-P60</f>
        <v>-143</v>
      </c>
    </row>
    <row r="61" spans="2:17" x14ac:dyDescent="0.25">
      <c r="B61" s="2" t="s">
        <v>58</v>
      </c>
      <c r="L61" s="5">
        <f>-252+566-215+11+689+105</f>
        <v>904</v>
      </c>
      <c r="M61" s="2">
        <f>-3239+861-592+789+2675+236-L61</f>
        <v>-174</v>
      </c>
      <c r="N61" s="2">
        <f>-4482+405-337+1250+953+208-M61-L61</f>
        <v>-2733</v>
      </c>
      <c r="O61" s="2">
        <f>-6172-98-1522+1531+2025+514-N61-M61-L61</f>
        <v>-1719</v>
      </c>
      <c r="P61">
        <f>-2366-577-726-22+4202+323</f>
        <v>834</v>
      </c>
      <c r="Q61">
        <f>-4133-1380-12+801+3314+584-P61</f>
        <v>-1660</v>
      </c>
    </row>
    <row r="62" spans="2:17" x14ac:dyDescent="0.25">
      <c r="B62" t="s">
        <v>54</v>
      </c>
      <c r="L62" s="5">
        <f t="shared" ref="L62:Q62" si="39">SUM(L55:L61)</f>
        <v>2911</v>
      </c>
      <c r="M62" s="5">
        <f t="shared" si="39"/>
        <v>6347</v>
      </c>
      <c r="N62" s="5">
        <f t="shared" si="39"/>
        <v>7332</v>
      </c>
      <c r="O62" s="5">
        <f t="shared" si="39"/>
        <v>11343</v>
      </c>
      <c r="P62" s="5">
        <f t="shared" si="39"/>
        <v>15345</v>
      </c>
      <c r="Q62" s="5">
        <f t="shared" si="39"/>
        <v>14488</v>
      </c>
    </row>
    <row r="63" spans="2:17" x14ac:dyDescent="0.25">
      <c r="L63" s="5"/>
      <c r="M63" s="2"/>
      <c r="N63" s="2"/>
    </row>
    <row r="64" spans="2:17" x14ac:dyDescent="0.25">
      <c r="B64" s="2" t="s">
        <v>59</v>
      </c>
      <c r="L64" s="5">
        <f>2512-2801-221</f>
        <v>-510</v>
      </c>
      <c r="M64" s="2">
        <f>5111-5343-L64-435</f>
        <v>-157</v>
      </c>
      <c r="N64" s="2">
        <f>8001-10688-M64-L64-872</f>
        <v>-2892</v>
      </c>
      <c r="O64" s="2">
        <f>9732+50-18211-N64-M64-L64</f>
        <v>-4870</v>
      </c>
      <c r="P64">
        <f>4004+149-9303</f>
        <v>-5150</v>
      </c>
      <c r="Q64">
        <f>8098+164-15047-P64</f>
        <v>-1635</v>
      </c>
    </row>
    <row r="65" spans="2:17" x14ac:dyDescent="0.25">
      <c r="B65" s="2" t="s">
        <v>60</v>
      </c>
      <c r="L65" s="5">
        <v>-248</v>
      </c>
      <c r="M65" s="2">
        <f>-537-L65</f>
        <v>-289</v>
      </c>
      <c r="N65" s="2">
        <f>-815-M65-L65</f>
        <v>-278</v>
      </c>
      <c r="O65" s="2">
        <f>-1069-N65-M65-L65</f>
        <v>-254</v>
      </c>
      <c r="P65">
        <v>-369</v>
      </c>
      <c r="Q65">
        <f>-1346-P65</f>
        <v>-977</v>
      </c>
    </row>
    <row r="66" spans="2:17" x14ac:dyDescent="0.25">
      <c r="B66" s="2" t="s">
        <v>61</v>
      </c>
      <c r="L66" s="5">
        <v>-83</v>
      </c>
      <c r="M66" s="2">
        <f>-83-L66</f>
        <v>0</v>
      </c>
      <c r="N66" s="2">
        <f>-83-M66-L66</f>
        <v>0</v>
      </c>
      <c r="O66" s="2">
        <f>-83-N66-M66-L66</f>
        <v>0</v>
      </c>
      <c r="P66">
        <f>-39-135</f>
        <v>-174</v>
      </c>
      <c r="Q66">
        <f>-317-P66-534+105</f>
        <v>-572</v>
      </c>
    </row>
    <row r="67" spans="2:17" x14ac:dyDescent="0.25">
      <c r="B67" s="2" t="s">
        <v>62</v>
      </c>
      <c r="L67" s="5">
        <f t="shared" ref="L67:Q67" si="40">SUM(L64:L66)</f>
        <v>-841</v>
      </c>
      <c r="M67" s="5">
        <f t="shared" si="40"/>
        <v>-446</v>
      </c>
      <c r="N67" s="5">
        <f t="shared" si="40"/>
        <v>-3170</v>
      </c>
      <c r="O67" s="5">
        <f t="shared" si="40"/>
        <v>-5124</v>
      </c>
      <c r="P67" s="5">
        <f t="shared" si="40"/>
        <v>-5693</v>
      </c>
      <c r="Q67" s="5">
        <f t="shared" si="40"/>
        <v>-3184</v>
      </c>
    </row>
    <row r="69" spans="2:17" x14ac:dyDescent="0.25">
      <c r="B69" s="2" t="s">
        <v>65</v>
      </c>
      <c r="L69" s="5">
        <f>246</f>
        <v>246</v>
      </c>
      <c r="M69" s="2">
        <f>247-L69</f>
        <v>1</v>
      </c>
      <c r="N69" s="2">
        <f>403-M69-L69</f>
        <v>156</v>
      </c>
      <c r="O69" s="2">
        <f>403-N69-M69-L69</f>
        <v>0</v>
      </c>
      <c r="P69">
        <v>285</v>
      </c>
      <c r="Q69">
        <f>285-P69</f>
        <v>0</v>
      </c>
    </row>
    <row r="70" spans="2:17" x14ac:dyDescent="0.25">
      <c r="B70" s="2" t="s">
        <v>66</v>
      </c>
      <c r="L70" s="5">
        <v>-507</v>
      </c>
      <c r="M70" s="2">
        <f>-1179-L70</f>
        <v>-672</v>
      </c>
      <c r="N70" s="2">
        <f>-1942-M70-L70</f>
        <v>-763</v>
      </c>
      <c r="O70" s="2">
        <f>-2783-N70-M70-L70</f>
        <v>-841</v>
      </c>
      <c r="P70">
        <v>-1752</v>
      </c>
      <c r="Q70">
        <f>-3389-P70</f>
        <v>-1637</v>
      </c>
    </row>
    <row r="71" spans="2:17" x14ac:dyDescent="0.25">
      <c r="B71" s="2" t="s">
        <v>67</v>
      </c>
      <c r="L71" s="5">
        <v>-99</v>
      </c>
      <c r="M71" s="2">
        <f>-199-L71</f>
        <v>-100</v>
      </c>
      <c r="N71" s="2">
        <f>-296-M71-L71</f>
        <v>-97</v>
      </c>
      <c r="O71" s="2">
        <f>-395-N71-M71-L71</f>
        <v>-99</v>
      </c>
      <c r="P71">
        <v>-98</v>
      </c>
      <c r="Q71">
        <f>-344-P71</f>
        <v>-246</v>
      </c>
    </row>
    <row r="72" spans="2:17" x14ac:dyDescent="0.25">
      <c r="B72" s="2" t="s">
        <v>69</v>
      </c>
      <c r="L72" s="5">
        <v>0</v>
      </c>
      <c r="M72" s="2">
        <f>-3067-L72</f>
        <v>-3067</v>
      </c>
      <c r="N72" s="2">
        <f>-6874-M72-L72</f>
        <v>-3807</v>
      </c>
      <c r="O72" s="2">
        <f>-9533-N72-M72-L72</f>
        <v>-2659</v>
      </c>
      <c r="P72">
        <v>-7740</v>
      </c>
      <c r="Q72">
        <f>-14898-P72</f>
        <v>-7158</v>
      </c>
    </row>
    <row r="73" spans="2:17" x14ac:dyDescent="0.25">
      <c r="B73" s="2" t="s">
        <v>34</v>
      </c>
      <c r="L73" s="5">
        <v>0</v>
      </c>
      <c r="M73" s="2">
        <f>-1250-L73</f>
        <v>-1250</v>
      </c>
      <c r="N73" s="2">
        <f>-1250-M73-L73</f>
        <v>0</v>
      </c>
      <c r="O73" s="2">
        <f>-1250-N73-M73-L73</f>
        <v>0</v>
      </c>
      <c r="P73">
        <v>0</v>
      </c>
      <c r="Q73">
        <f>-1250-P73</f>
        <v>-1250</v>
      </c>
    </row>
    <row r="74" spans="2:17" x14ac:dyDescent="0.25">
      <c r="B74" s="2" t="s">
        <v>68</v>
      </c>
      <c r="L74" s="5">
        <v>-20</v>
      </c>
      <c r="M74" s="2">
        <f>-31-L74</f>
        <v>-11</v>
      </c>
      <c r="N74" s="2">
        <f>-44-M74-L74</f>
        <v>-13</v>
      </c>
      <c r="O74" s="2">
        <f>-74-N74-M74-L74</f>
        <v>-30</v>
      </c>
      <c r="P74">
        <v>-40</v>
      </c>
      <c r="Q74">
        <f>-59-P74-10</f>
        <v>-29</v>
      </c>
    </row>
    <row r="75" spans="2:17" x14ac:dyDescent="0.25">
      <c r="B75" t="s">
        <v>64</v>
      </c>
      <c r="L75" s="5">
        <f t="shared" ref="L75:Q75" si="41">SUM(L69:L74)</f>
        <v>-380</v>
      </c>
      <c r="M75" s="5">
        <f t="shared" si="41"/>
        <v>-5099</v>
      </c>
      <c r="N75" s="5">
        <f t="shared" si="41"/>
        <v>-4524</v>
      </c>
      <c r="O75" s="5">
        <f t="shared" si="41"/>
        <v>-3629</v>
      </c>
      <c r="P75" s="5">
        <f t="shared" si="41"/>
        <v>-9345</v>
      </c>
      <c r="Q75" s="5">
        <f>SUM(Q69:Q74)</f>
        <v>-10320</v>
      </c>
    </row>
    <row r="76" spans="2:17" x14ac:dyDescent="0.25">
      <c r="B76" t="s">
        <v>63</v>
      </c>
      <c r="L76" s="5">
        <f t="shared" ref="L76:Q76" si="42">L75+L67+L62</f>
        <v>1690</v>
      </c>
      <c r="M76" s="5">
        <f t="shared" si="42"/>
        <v>802</v>
      </c>
      <c r="N76" s="5">
        <f t="shared" si="42"/>
        <v>-362</v>
      </c>
      <c r="O76" s="5">
        <f t="shared" si="42"/>
        <v>2590</v>
      </c>
      <c r="P76" s="5">
        <f t="shared" si="42"/>
        <v>307</v>
      </c>
      <c r="Q76" s="5">
        <f t="shared" si="42"/>
        <v>984</v>
      </c>
    </row>
    <row r="78" spans="2:17" x14ac:dyDescent="0.25">
      <c r="B78" t="s">
        <v>70</v>
      </c>
      <c r="L78" s="5">
        <f t="shared" ref="L78:Q78" si="43">(L36/L10)*90</f>
        <v>51.056729699666299</v>
      </c>
      <c r="M78" s="5">
        <f t="shared" si="43"/>
        <v>47.082253646257499</v>
      </c>
      <c r="N78" s="5">
        <f t="shared" si="43"/>
        <v>41.269867549668874</v>
      </c>
      <c r="O78" s="5">
        <f t="shared" si="43"/>
        <v>40.714382662986928</v>
      </c>
      <c r="P78" s="5">
        <f t="shared" si="43"/>
        <v>42.729611426816156</v>
      </c>
      <c r="Q78" s="5">
        <f>(Q36/Q10)*90</f>
        <v>42.339547270306255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Sebastian Szewczyk</cp:lastModifiedBy>
  <dcterms:created xsi:type="dcterms:W3CDTF">2023-08-16T02:45:30Z</dcterms:created>
  <dcterms:modified xsi:type="dcterms:W3CDTF">2024-11-11T12:01:34Z</dcterms:modified>
</cp:coreProperties>
</file>