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eb6a9f0be765fac/Pulpit/inwestycje/modele/"/>
    </mc:Choice>
  </mc:AlternateContent>
  <xr:revisionPtr revIDLastSave="943" documentId="13_ncr:1_{48741BDA-4B74-406A-A28F-7234CF5E0D3A}" xr6:coauthVersionLast="47" xr6:coauthVersionMax="47" xr10:uidLastSave="{6323DB22-A84C-43FF-A277-952B82D2F281}"/>
  <bookViews>
    <workbookView xWindow="19080" yWindow="0" windowWidth="19380" windowHeight="21705" activeTab="1" xr2:uid="{4C738B13-F7F2-4EF0-BC23-FFCDB8FDE18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1" i="2" l="1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AL25" i="2" l="1"/>
  <c r="AK25" i="2"/>
  <c r="AK20" i="2"/>
  <c r="AK18" i="2"/>
  <c r="AL23" i="2"/>
  <c r="AJ20" i="2"/>
  <c r="AJ19" i="2"/>
  <c r="AJ18" i="2"/>
  <c r="AJ21" i="2" s="1"/>
  <c r="AJ16" i="2"/>
  <c r="AI15" i="2"/>
  <c r="V20" i="2"/>
  <c r="W20" i="2" s="1"/>
  <c r="V19" i="2"/>
  <c r="AK19" i="2" s="1"/>
  <c r="V18" i="2"/>
  <c r="V21" i="2" s="1"/>
  <c r="Z32" i="2"/>
  <c r="Y10" i="2"/>
  <c r="X10" i="2"/>
  <c r="Y8" i="2"/>
  <c r="Y12" i="2" s="1"/>
  <c r="X8" i="2"/>
  <c r="X12" i="2" s="1"/>
  <c r="W8" i="2"/>
  <c r="W12" i="2" s="1"/>
  <c r="V8" i="2"/>
  <c r="V12" i="2" s="1"/>
  <c r="Z6" i="2"/>
  <c r="Y6" i="2"/>
  <c r="X6" i="2"/>
  <c r="W6" i="2"/>
  <c r="V6" i="2"/>
  <c r="U10" i="2"/>
  <c r="U9" i="2"/>
  <c r="Y9" i="2" s="1"/>
  <c r="Y13" i="2" s="1"/>
  <c r="U8" i="2"/>
  <c r="U3" i="2"/>
  <c r="Y32" i="2" s="1"/>
  <c r="U57" i="2"/>
  <c r="U53" i="2"/>
  <c r="U51" i="2"/>
  <c r="U48" i="2"/>
  <c r="U46" i="2"/>
  <c r="U41" i="2"/>
  <c r="U43" i="2" s="1"/>
  <c r="U36" i="2"/>
  <c r="U23" i="2"/>
  <c r="U21" i="2"/>
  <c r="U17" i="2"/>
  <c r="U33" i="2" s="1"/>
  <c r="U15" i="2"/>
  <c r="U30" i="2" s="1"/>
  <c r="L6" i="1"/>
  <c r="L5" i="1"/>
  <c r="T10" i="2"/>
  <c r="T9" i="2"/>
  <c r="X9" i="2" s="1"/>
  <c r="X13" i="2" s="1"/>
  <c r="T8" i="2"/>
  <c r="T3" i="2"/>
  <c r="T60" i="2"/>
  <c r="T57" i="2"/>
  <c r="T48" i="2"/>
  <c r="T51" i="2"/>
  <c r="T46" i="2"/>
  <c r="T41" i="2"/>
  <c r="T36" i="2"/>
  <c r="T43" i="2" s="1"/>
  <c r="T23" i="2"/>
  <c r="T21" i="2"/>
  <c r="T15" i="2"/>
  <c r="T53" i="2" s="1"/>
  <c r="S10" i="2"/>
  <c r="W10" i="2" s="1"/>
  <c r="S9" i="2"/>
  <c r="W9" i="2" s="1"/>
  <c r="W13" i="2" s="1"/>
  <c r="S8" i="2"/>
  <c r="S3" i="2"/>
  <c r="S32" i="2" s="1"/>
  <c r="S60" i="2"/>
  <c r="S57" i="2"/>
  <c r="Q57" i="2"/>
  <c r="P57" i="2"/>
  <c r="O57" i="2"/>
  <c r="S46" i="2"/>
  <c r="S51" i="2" s="1"/>
  <c r="S41" i="2"/>
  <c r="S36" i="2"/>
  <c r="AK36" i="2" s="1"/>
  <c r="S23" i="2"/>
  <c r="AK23" i="2" s="1"/>
  <c r="S18" i="2"/>
  <c r="S21" i="2" s="1"/>
  <c r="S15" i="2"/>
  <c r="S53" i="2" s="1"/>
  <c r="Q15" i="2"/>
  <c r="Q30" i="2" s="1"/>
  <c r="P15" i="2"/>
  <c r="P53" i="2" s="1"/>
  <c r="O15" i="2"/>
  <c r="O53" i="2" s="1"/>
  <c r="R60" i="2"/>
  <c r="R3" i="2"/>
  <c r="V32" i="2" s="1"/>
  <c r="R55" i="2"/>
  <c r="R57" i="2" s="1"/>
  <c r="R56" i="2"/>
  <c r="R46" i="2"/>
  <c r="R51" i="2" s="1"/>
  <c r="R41" i="2"/>
  <c r="R36" i="2"/>
  <c r="R25" i="2"/>
  <c r="AJ25" i="2" s="1"/>
  <c r="R20" i="2"/>
  <c r="R19" i="2"/>
  <c r="R18" i="2"/>
  <c r="R16" i="2"/>
  <c r="R14" i="2"/>
  <c r="R10" i="2" s="1"/>
  <c r="V10" i="2" s="1"/>
  <c r="R12" i="2"/>
  <c r="R8" i="2" s="1"/>
  <c r="R13" i="2"/>
  <c r="Q10" i="2"/>
  <c r="Q9" i="2"/>
  <c r="Q8" i="2"/>
  <c r="Q3" i="2"/>
  <c r="Q60" i="2"/>
  <c r="Q46" i="2"/>
  <c r="Q51" i="2" s="1"/>
  <c r="Q41" i="2"/>
  <c r="Q36" i="2"/>
  <c r="Q23" i="2"/>
  <c r="Q21" i="2"/>
  <c r="P10" i="2"/>
  <c r="P9" i="2"/>
  <c r="P8" i="2"/>
  <c r="P3" i="2"/>
  <c r="O60" i="2"/>
  <c r="P60" i="2"/>
  <c r="P46" i="2"/>
  <c r="P51" i="2" s="1"/>
  <c r="P41" i="2"/>
  <c r="P36" i="2"/>
  <c r="P35" i="2" s="1"/>
  <c r="O28" i="2"/>
  <c r="P23" i="2"/>
  <c r="P21" i="2"/>
  <c r="I9" i="2"/>
  <c r="J9" i="2"/>
  <c r="K9" i="2"/>
  <c r="L9" i="2"/>
  <c r="M9" i="2"/>
  <c r="N9" i="2"/>
  <c r="O9" i="2"/>
  <c r="O10" i="2"/>
  <c r="O8" i="2"/>
  <c r="M8" i="2"/>
  <c r="O46" i="2"/>
  <c r="O51" i="2" s="1"/>
  <c r="O41" i="2"/>
  <c r="O36" i="2"/>
  <c r="AJ36" i="2" s="1"/>
  <c r="O23" i="2"/>
  <c r="O21" i="2"/>
  <c r="N60" i="2"/>
  <c r="AF30" i="2"/>
  <c r="AE30" i="2"/>
  <c r="AD30" i="2"/>
  <c r="X20" i="2" l="1"/>
  <c r="Y20" i="2" s="1"/>
  <c r="Z20" i="2" s="1"/>
  <c r="AL20" i="2" s="1"/>
  <c r="AM20" i="2" s="1"/>
  <c r="AN20" i="2" s="1"/>
  <c r="AO20" i="2" s="1"/>
  <c r="AP20" i="2" s="1"/>
  <c r="AQ20" i="2" s="1"/>
  <c r="AK21" i="2"/>
  <c r="V14" i="2"/>
  <c r="Z10" i="2"/>
  <c r="Z14" i="2" s="1"/>
  <c r="Z8" i="2"/>
  <c r="Z12" i="2" s="1"/>
  <c r="T17" i="2"/>
  <c r="T32" i="2"/>
  <c r="U32" i="2"/>
  <c r="W32" i="2"/>
  <c r="W19" i="2"/>
  <c r="S30" i="2"/>
  <c r="T30" i="2"/>
  <c r="X32" i="2"/>
  <c r="W14" i="2"/>
  <c r="W15" i="2" s="1"/>
  <c r="S17" i="2"/>
  <c r="S33" i="2" s="1"/>
  <c r="X14" i="2"/>
  <c r="X15" i="2" s="1"/>
  <c r="W18" i="2"/>
  <c r="Y14" i="2"/>
  <c r="Y15" i="2" s="1"/>
  <c r="U22" i="2"/>
  <c r="U24" i="2" s="1"/>
  <c r="U26" i="2" s="1"/>
  <c r="U27" i="2" s="1"/>
  <c r="R15" i="2"/>
  <c r="AJ15" i="2"/>
  <c r="AJ30" i="2" s="1"/>
  <c r="AJ17" i="2"/>
  <c r="AJ22" i="2" s="1"/>
  <c r="W30" i="2"/>
  <c r="U35" i="2"/>
  <c r="T35" i="2"/>
  <c r="S43" i="2"/>
  <c r="S35" i="2"/>
  <c r="P17" i="2"/>
  <c r="P22" i="2" s="1"/>
  <c r="P24" i="2" s="1"/>
  <c r="P26" i="2" s="1"/>
  <c r="P27" i="2" s="1"/>
  <c r="O17" i="2"/>
  <c r="O33" i="2" s="1"/>
  <c r="O30" i="2"/>
  <c r="O43" i="2"/>
  <c r="Q17" i="2"/>
  <c r="Q33" i="2" s="1"/>
  <c r="P30" i="2"/>
  <c r="R21" i="2"/>
  <c r="P43" i="2"/>
  <c r="R30" i="2"/>
  <c r="R23" i="2"/>
  <c r="AJ23" i="2" s="1"/>
  <c r="Q53" i="2"/>
  <c r="R9" i="2"/>
  <c r="V9" i="2" s="1"/>
  <c r="R43" i="2"/>
  <c r="R35" i="2"/>
  <c r="Q43" i="2"/>
  <c r="Q35" i="2"/>
  <c r="O35" i="2"/>
  <c r="O22" i="2"/>
  <c r="O24" i="2" s="1"/>
  <c r="O26" i="2" s="1"/>
  <c r="O27" i="2" s="1"/>
  <c r="L8" i="2"/>
  <c r="K8" i="2"/>
  <c r="J8" i="2"/>
  <c r="I8" i="2"/>
  <c r="N8" i="2"/>
  <c r="AI28" i="2"/>
  <c r="AI25" i="2"/>
  <c r="AI20" i="2"/>
  <c r="AI19" i="2"/>
  <c r="AI18" i="2"/>
  <c r="AI16" i="2"/>
  <c r="J57" i="2"/>
  <c r="N30" i="2"/>
  <c r="N57" i="2"/>
  <c r="N23" i="2"/>
  <c r="N21" i="2"/>
  <c r="N17" i="2"/>
  <c r="N33" i="2" s="1"/>
  <c r="N3" i="2"/>
  <c r="R32" i="2" s="1"/>
  <c r="M3" i="2"/>
  <c r="Q32" i="2" s="1"/>
  <c r="L3" i="2"/>
  <c r="K3" i="2"/>
  <c r="O32" i="2" s="1"/>
  <c r="J3" i="2"/>
  <c r="J32" i="2" s="1"/>
  <c r="I3" i="2"/>
  <c r="I32" i="2" s="1"/>
  <c r="H32" i="2"/>
  <c r="M60" i="2"/>
  <c r="L60" i="2"/>
  <c r="K60" i="2"/>
  <c r="M23" i="2"/>
  <c r="M21" i="2"/>
  <c r="M17" i="2"/>
  <c r="M33" i="2" s="1"/>
  <c r="M30" i="2"/>
  <c r="L4" i="1"/>
  <c r="AG30" i="2"/>
  <c r="AF23" i="2"/>
  <c r="AF21" i="2"/>
  <c r="AF17" i="2"/>
  <c r="AH25" i="2"/>
  <c r="AH19" i="2"/>
  <c r="AH20" i="2"/>
  <c r="AH18" i="2"/>
  <c r="AH16" i="2"/>
  <c r="AH15" i="2"/>
  <c r="AG23" i="2"/>
  <c r="AG17" i="2"/>
  <c r="AG21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I30" i="2"/>
  <c r="F23" i="2"/>
  <c r="J23" i="2"/>
  <c r="E23" i="2"/>
  <c r="E21" i="2"/>
  <c r="E17" i="2"/>
  <c r="I23" i="2"/>
  <c r="I21" i="2"/>
  <c r="I17" i="2"/>
  <c r="F21" i="2"/>
  <c r="F17" i="2"/>
  <c r="F33" i="2" s="1"/>
  <c r="J30" i="2"/>
  <c r="J21" i="2"/>
  <c r="J17" i="2"/>
  <c r="J33" i="2" s="1"/>
  <c r="G23" i="2"/>
  <c r="G21" i="2"/>
  <c r="G17" i="2"/>
  <c r="G33" i="2" s="1"/>
  <c r="K30" i="2"/>
  <c r="H23" i="2"/>
  <c r="L23" i="2"/>
  <c r="K23" i="2"/>
  <c r="K21" i="2"/>
  <c r="K17" i="2"/>
  <c r="K33" i="2" s="1"/>
  <c r="L57" i="2"/>
  <c r="L30" i="2"/>
  <c r="H21" i="2"/>
  <c r="H17" i="2"/>
  <c r="H33" i="2" s="1"/>
  <c r="L21" i="2"/>
  <c r="L17" i="2"/>
  <c r="L33" i="2" s="1"/>
  <c r="AJ24" i="2" l="1"/>
  <c r="AJ26" i="2" s="1"/>
  <c r="AJ27" i="2" s="1"/>
  <c r="W16" i="2"/>
  <c r="W17" i="2"/>
  <c r="W33" i="2" s="1"/>
  <c r="X16" i="2"/>
  <c r="X17" i="2"/>
  <c r="X33" i="2" s="1"/>
  <c r="S22" i="2"/>
  <c r="S24" i="2" s="1"/>
  <c r="S26" i="2" s="1"/>
  <c r="S27" i="2" s="1"/>
  <c r="T33" i="2"/>
  <c r="T22" i="2"/>
  <c r="T24" i="2" s="1"/>
  <c r="T26" i="2" s="1"/>
  <c r="T27" i="2" s="1"/>
  <c r="P33" i="2"/>
  <c r="Z9" i="2"/>
  <c r="Z13" i="2" s="1"/>
  <c r="Z15" i="2" s="1"/>
  <c r="V13" i="2"/>
  <c r="V15" i="2" s="1"/>
  <c r="X30" i="2"/>
  <c r="X19" i="2"/>
  <c r="Y19" i="2" s="1"/>
  <c r="Z19" i="2" s="1"/>
  <c r="W21" i="2"/>
  <c r="W22" i="2" s="1"/>
  <c r="W24" i="2" s="1"/>
  <c r="W26" i="2" s="1"/>
  <c r="W27" i="2" s="1"/>
  <c r="X18" i="2"/>
  <c r="Y16" i="2"/>
  <c r="Y17" i="2" s="1"/>
  <c r="Y33" i="2" s="1"/>
  <c r="Y30" i="2"/>
  <c r="R17" i="2"/>
  <c r="Q22" i="2"/>
  <c r="Q24" i="2" s="1"/>
  <c r="Q26" i="2" s="1"/>
  <c r="Q27" i="2" s="1"/>
  <c r="R53" i="2"/>
  <c r="R33" i="2"/>
  <c r="R22" i="2"/>
  <c r="R24" i="2" s="1"/>
  <c r="R26" i="2" s="1"/>
  <c r="R27" i="2" s="1"/>
  <c r="L32" i="2"/>
  <c r="P32" i="2"/>
  <c r="AH17" i="2"/>
  <c r="AI21" i="2"/>
  <c r="K32" i="2"/>
  <c r="I22" i="2"/>
  <c r="I24" i="2" s="1"/>
  <c r="I26" i="2" s="1"/>
  <c r="I27" i="2" s="1"/>
  <c r="AI23" i="2"/>
  <c r="AI30" i="2"/>
  <c r="N32" i="2"/>
  <c r="AI17" i="2"/>
  <c r="M32" i="2"/>
  <c r="N22" i="2"/>
  <c r="N24" i="2" s="1"/>
  <c r="N26" i="2" s="1"/>
  <c r="N27" i="2" s="1"/>
  <c r="AH23" i="2"/>
  <c r="AH30" i="2"/>
  <c r="E22" i="2"/>
  <c r="E24" i="2" s="1"/>
  <c r="E26" i="2" s="1"/>
  <c r="E27" i="2" s="1"/>
  <c r="I33" i="2"/>
  <c r="AG22" i="2"/>
  <c r="AG24" i="2" s="1"/>
  <c r="AG26" i="2" s="1"/>
  <c r="AG27" i="2" s="1"/>
  <c r="AH21" i="2"/>
  <c r="AH22" i="2" s="1"/>
  <c r="M22" i="2"/>
  <c r="M24" i="2" s="1"/>
  <c r="M26" i="2" s="1"/>
  <c r="M27" i="2" s="1"/>
  <c r="L7" i="1"/>
  <c r="AF22" i="2"/>
  <c r="AF24" i="2" s="1"/>
  <c r="AF26" i="2" s="1"/>
  <c r="AF27" i="2" s="1"/>
  <c r="K22" i="2"/>
  <c r="K24" i="2" s="1"/>
  <c r="K26" i="2" s="1"/>
  <c r="K27" i="2" s="1"/>
  <c r="F22" i="2"/>
  <c r="F24" i="2" s="1"/>
  <c r="F26" i="2" s="1"/>
  <c r="F27" i="2" s="1"/>
  <c r="J22" i="2"/>
  <c r="J24" i="2" s="1"/>
  <c r="J26" i="2" s="1"/>
  <c r="J27" i="2" s="1"/>
  <c r="G22" i="2"/>
  <c r="G24" i="2" s="1"/>
  <c r="G26" i="2" s="1"/>
  <c r="G27" i="2" s="1"/>
  <c r="L22" i="2"/>
  <c r="L24" i="2" s="1"/>
  <c r="L26" i="2" s="1"/>
  <c r="L27" i="2" s="1"/>
  <c r="H22" i="2"/>
  <c r="H24" i="2" s="1"/>
  <c r="H26" i="2" s="1"/>
  <c r="H27" i="2" s="1"/>
  <c r="Z16" i="2" l="1"/>
  <c r="Z17" i="2" s="1"/>
  <c r="Z33" i="2" s="1"/>
  <c r="Z30" i="2"/>
  <c r="AL15" i="2"/>
  <c r="Y18" i="2"/>
  <c r="X21" i="2"/>
  <c r="X22" i="2" s="1"/>
  <c r="X24" i="2" s="1"/>
  <c r="X26" i="2" s="1"/>
  <c r="X27" i="2" s="1"/>
  <c r="AL19" i="2"/>
  <c r="AM19" i="2" s="1"/>
  <c r="AN19" i="2" s="1"/>
  <c r="AO19" i="2" s="1"/>
  <c r="AP19" i="2" s="1"/>
  <c r="AQ19" i="2" s="1"/>
  <c r="AL16" i="2"/>
  <c r="V16" i="2"/>
  <c r="AK16" i="2" s="1"/>
  <c r="V17" i="2"/>
  <c r="V30" i="2"/>
  <c r="AK15" i="2"/>
  <c r="AI22" i="2"/>
  <c r="AI24" i="2" s="1"/>
  <c r="AI26" i="2" s="1"/>
  <c r="AI27" i="2" s="1"/>
  <c r="AH24" i="2"/>
  <c r="AH26" i="2" s="1"/>
  <c r="AH27" i="2" s="1"/>
  <c r="AK30" i="2" l="1"/>
  <c r="AK17" i="2"/>
  <c r="AK22" i="2" s="1"/>
  <c r="AK24" i="2" s="1"/>
  <c r="AK26" i="2" s="1"/>
  <c r="V33" i="2"/>
  <c r="V22" i="2"/>
  <c r="V24" i="2" s="1"/>
  <c r="V26" i="2" s="1"/>
  <c r="V27" i="2" s="1"/>
  <c r="Z18" i="2"/>
  <c r="Z21" i="2" s="1"/>
  <c r="Z22" i="2" s="1"/>
  <c r="Z24" i="2" s="1"/>
  <c r="Z26" i="2" s="1"/>
  <c r="Z27" i="2" s="1"/>
  <c r="Y21" i="2"/>
  <c r="Y22" i="2" s="1"/>
  <c r="Y24" i="2" s="1"/>
  <c r="Y26" i="2" s="1"/>
  <c r="Y27" i="2" s="1"/>
  <c r="AL18" i="2"/>
  <c r="AL30" i="2"/>
  <c r="AL17" i="2"/>
  <c r="AM15" i="2"/>
  <c r="AL21" i="2" l="1"/>
  <c r="AL22" i="2" s="1"/>
  <c r="AL24" i="2" s="1"/>
  <c r="AL26" i="2" s="1"/>
  <c r="AL27" i="2" s="1"/>
  <c r="AM18" i="2"/>
  <c r="AK27" i="2"/>
  <c r="AL36" i="2"/>
  <c r="AN15" i="2"/>
  <c r="AM16" i="2"/>
  <c r="AM17" i="2" s="1"/>
  <c r="AN16" i="2" l="1"/>
  <c r="AN17" i="2" s="1"/>
  <c r="AO15" i="2"/>
  <c r="AM36" i="2"/>
  <c r="AN18" i="2"/>
  <c r="AM21" i="2"/>
  <c r="AM22" i="2" s="1"/>
  <c r="AN21" i="2" l="1"/>
  <c r="AO18" i="2"/>
  <c r="AP15" i="2"/>
  <c r="AO16" i="2"/>
  <c r="AO17" i="2" s="1"/>
  <c r="AN22" i="2"/>
  <c r="AQ15" i="2" l="1"/>
  <c r="AQ16" i="2" s="1"/>
  <c r="AQ17" i="2" s="1"/>
  <c r="AP16" i="2"/>
  <c r="AP17" i="2" s="1"/>
  <c r="AO21" i="2"/>
  <c r="AO22" i="2" s="1"/>
  <c r="AP18" i="2"/>
  <c r="AP21" i="2" l="1"/>
  <c r="AQ18" i="2"/>
  <c r="AQ21" i="2" s="1"/>
  <c r="AQ22" i="2" s="1"/>
  <c r="AP22" i="2"/>
  <c r="AM23" i="2"/>
  <c r="AM24" i="2" s="1"/>
  <c r="AM26" i="2" s="1"/>
  <c r="AN36" i="2" s="1"/>
  <c r="AN23" i="2" l="1"/>
  <c r="AM27" i="2"/>
  <c r="AN24" i="2"/>
  <c r="AN25" i="2" l="1"/>
  <c r="AN26" i="2"/>
  <c r="AO36" i="2" s="1"/>
  <c r="AO23" i="2" l="1"/>
  <c r="AN27" i="2"/>
  <c r="AO24" i="2"/>
  <c r="AO25" i="2" l="1"/>
  <c r="AO26" i="2" s="1"/>
  <c r="AP36" i="2" s="1"/>
  <c r="AP23" i="2" l="1"/>
  <c r="AO27" i="2"/>
  <c r="AP24" i="2" l="1"/>
  <c r="AP25" i="2" l="1"/>
  <c r="AP26" i="2" s="1"/>
  <c r="AQ36" i="2" s="1"/>
  <c r="AQ23" i="2" s="1"/>
  <c r="AP27" i="2" l="1"/>
  <c r="AQ24" i="2"/>
  <c r="AQ25" i="2" l="1"/>
  <c r="AQ26" i="2"/>
  <c r="AR26" i="2" l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AQ27" i="2"/>
  <c r="AU36" i="2" l="1"/>
  <c r="AU37" i="2" s="1"/>
  <c r="AU38" i="2" s="1"/>
</calcChain>
</file>

<file path=xl/sharedStrings.xml><?xml version="1.0" encoding="utf-8"?>
<sst xmlns="http://schemas.openxmlformats.org/spreadsheetml/2006/main" count="99" uniqueCount="91">
  <si>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</si>
  <si>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</si>
  <si>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</si>
  <si>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</si>
  <si>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</si>
  <si>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</si>
  <si>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</si>
  <si>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</si>
  <si>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</si>
  <si>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</si>
  <si>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</si>
  <si>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</si>
  <si>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</si>
  <si>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</si>
  <si>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</si>
  <si>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</si>
  <si>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</si>
  <si>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</si>
  <si>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</si>
  <si>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</si>
  <si>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COGS</t>
  </si>
  <si>
    <t>Gross Margin</t>
  </si>
  <si>
    <t>R&amp;D</t>
  </si>
  <si>
    <t>S&amp;M</t>
  </si>
  <si>
    <t>G&amp;A</t>
  </si>
  <si>
    <t>OpEx</t>
  </si>
  <si>
    <t>OpInc</t>
  </si>
  <si>
    <t>Interest</t>
  </si>
  <si>
    <t>Pretax</t>
  </si>
  <si>
    <t>Taxes</t>
  </si>
  <si>
    <t>Net Income</t>
  </si>
  <si>
    <t>EPS</t>
  </si>
  <si>
    <t>Revenue Growth</t>
  </si>
  <si>
    <t>FCF</t>
  </si>
  <si>
    <t>CapEx</t>
  </si>
  <si>
    <t>CFFO</t>
  </si>
  <si>
    <t>DAU</t>
  </si>
  <si>
    <t>US DAU</t>
  </si>
  <si>
    <t>EU DAU</t>
  </si>
  <si>
    <t>ROW DAU</t>
  </si>
  <si>
    <t>Headcount</t>
  </si>
  <si>
    <t>DAU Growth</t>
  </si>
  <si>
    <t>Q123</t>
  </si>
  <si>
    <t>Q223</t>
  </si>
  <si>
    <t>Q323</t>
  </si>
  <si>
    <t>Q423</t>
  </si>
  <si>
    <t>US Revenue</t>
  </si>
  <si>
    <t>EU Revenue</t>
  </si>
  <si>
    <t>US ARPU</t>
  </si>
  <si>
    <t>Snapchat+</t>
  </si>
  <si>
    <t>2 million paying subscribers</t>
  </si>
  <si>
    <t>Custom Story Expiration</t>
  </si>
  <si>
    <t>Custom Notification Sounds</t>
  </si>
  <si>
    <t>BigCommerce</t>
  </si>
  <si>
    <t>Smartly.io</t>
  </si>
  <si>
    <t>300,000 AR creators, 3 million AR lenses</t>
  </si>
  <si>
    <t>Lens Studio</t>
  </si>
  <si>
    <t>Spotlight</t>
  </si>
  <si>
    <t>Bitmoji</t>
  </si>
  <si>
    <t>Net Cash</t>
  </si>
  <si>
    <t>Total Assets</t>
  </si>
  <si>
    <t>Other</t>
  </si>
  <si>
    <t>Goodwill</t>
  </si>
  <si>
    <t>Leases</t>
  </si>
  <si>
    <t>PP&amp;E</t>
  </si>
  <si>
    <t>Prepaids</t>
  </si>
  <si>
    <t>AR</t>
  </si>
  <si>
    <t>AP</t>
  </si>
  <si>
    <t>AL</t>
  </si>
  <si>
    <t>Convertible notes</t>
  </si>
  <si>
    <t>SE</t>
  </si>
  <si>
    <t>Total L+SE</t>
  </si>
  <si>
    <t>ROW Revenue</t>
  </si>
  <si>
    <t>EU ARPU</t>
  </si>
  <si>
    <t>ROW ARPU</t>
  </si>
  <si>
    <t>DSO</t>
  </si>
  <si>
    <t>Q124</t>
  </si>
  <si>
    <t>Q224</t>
  </si>
  <si>
    <t>Q324</t>
  </si>
  <si>
    <t>Q424</t>
  </si>
  <si>
    <t>Q125</t>
  </si>
  <si>
    <t>Q225</t>
  </si>
  <si>
    <t>Q325</t>
  </si>
  <si>
    <t>Q425</t>
  </si>
  <si>
    <t>ROIC</t>
  </si>
  <si>
    <t>terminal</t>
  </si>
  <si>
    <t>Discount</t>
  </si>
  <si>
    <t>NPV</t>
  </si>
  <si>
    <t>share</t>
  </si>
  <si>
    <t>upside</t>
  </si>
  <si>
    <t>ROW DAU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</si>
</sst>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zł&quot;;[Red]\-#,##0.00\ &quot;zł&quot;"/>
  </numFmts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1"/>
    <xf numFmtId="0" fontId="3" fillId="0" borderId="0" xfId="0" applyFont="1"/>
    <xf numFmtId="3" fontId="4" fillId="0" borderId="0" xfId="0" applyNumberFormat="1" applyFont="1"/>
    <xf numFmtId="8" fontId="0" fillId="0" borderId="0" xfId="0" applyNumberFormat="1"/>
    <xf numFmtId="10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20457</xdr:colOff>
      <xdr:row>0</xdr:row>
      <xdr:rowOff>3811</xdr:rowOff>
    </xdr:from>
    <xdr:to>
      <xdr:col>21</xdr:col>
      <xdr:colOff>20457</xdr:colOff>
      <xdr:row>63</xdr:row>
      <xdr:rowOff>172945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5DE861D2-15EA-13E3-B7EF-52CC528A2769}"/>
            </a:ext>
          </a:extLst>
        </xdr:cNvPr>
        <xdr:cNvCxnSpPr/>
      </xdr:nvCxnSpPr>
      <xdr:spPr>
        <a:xfrm>
          <a:off x="13234230" y="3811"/>
          <a:ext cx="0" cy="1090640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29441</xdr:colOff>
      <xdr:row>0</xdr:row>
      <xdr:rowOff>0</xdr:rowOff>
    </xdr:from>
    <xdr:to>
      <xdr:col>36</xdr:col>
      <xdr:colOff>29441</xdr:colOff>
      <xdr:row>58</xdr:row>
      <xdr:rowOff>64770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12D1156-06F8-4683-87B3-11DBEC0957F5}"/>
            </a:ext>
          </a:extLst>
        </xdr:cNvPr>
        <xdr:cNvCxnSpPr/>
      </xdr:nvCxnSpPr>
      <xdr:spPr>
        <a:xfrm>
          <a:off x="22335259" y="0"/>
          <a:ext cx="0" cy="99361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85157-91F5-47CC-BA2A-C0CCFCCECC0F}">
  <dimension ref="B2:M15"/>
  <sheetViews>
    <sheetView zoomScale="160" zoomScaleNormal="160" workbookViewId="0">
      <selection activeCell="L7" sqref="L7"/>
    </sheetView>
  </sheetViews>
  <sheetFormatPr defaultRowHeight="13.2" x14ac:dyDescent="0.25"/>
  <sheetData>
    <row r="2" spans="2:13" x14ac:dyDescent="0.25">
      <c r="B2" t="s">
        <v>49</v>
      </c>
      <c r="K2" t="s">
        <v>0</v>
      </c>
      <c r="L2" s="6">
        <v>11.46</v>
      </c>
    </row>
    <row r="3" spans="2:13" x14ac:dyDescent="0.25">
      <c r="C3" t="s">
        <v>50</v>
      </c>
      <c r="K3" t="s">
        <v>1</v>
      </c>
      <c r="L3" s="2">
        <v>1663.011</v>
      </c>
      <c r="M3" s="1" t="s">
        <v>78</v>
      </c>
    </row>
    <row r="4" spans="2:13" x14ac:dyDescent="0.25">
      <c r="C4" t="s">
        <v>51</v>
      </c>
      <c r="K4" t="s">
        <v>2</v>
      </c>
      <c r="L4" s="2">
        <f>+L2*L3</f>
        <v>19058.106060000002</v>
      </c>
      <c r="M4" s="1"/>
    </row>
    <row r="5" spans="2:13" x14ac:dyDescent="0.25">
      <c r="C5" t="s">
        <v>52</v>
      </c>
      <c r="K5" t="s">
        <v>3</v>
      </c>
      <c r="L5" s="2">
        <f>964.967+2227.162</f>
        <v>3192.1289999999999</v>
      </c>
      <c r="M5" s="1" t="s">
        <v>78</v>
      </c>
    </row>
    <row r="6" spans="2:13" x14ac:dyDescent="0.25">
      <c r="K6" t="s">
        <v>4</v>
      </c>
      <c r="L6" s="2">
        <f>3605.137+36.191</f>
        <v>3641.328</v>
      </c>
      <c r="M6" s="1" t="s">
        <v>78</v>
      </c>
    </row>
    <row r="7" spans="2:13" x14ac:dyDescent="0.25">
      <c r="B7" t="s">
        <v>53</v>
      </c>
      <c r="K7" t="s">
        <v>5</v>
      </c>
      <c r="L7" s="2">
        <f>+L4-L5+L6</f>
        <v>19507.305060000002</v>
      </c>
    </row>
    <row r="8" spans="2:13" x14ac:dyDescent="0.25">
      <c r="B8" t="s">
        <v>54</v>
      </c>
    </row>
    <row r="10" spans="2:13" x14ac:dyDescent="0.25">
      <c r="B10" t="s">
        <v>55</v>
      </c>
    </row>
    <row r="11" spans="2:13" x14ac:dyDescent="0.25">
      <c r="B11" t="s">
        <v>56</v>
      </c>
    </row>
    <row r="13" spans="2:13" x14ac:dyDescent="0.25">
      <c r="B13" s="11" t="s">
        <v>57</v>
      </c>
    </row>
    <row r="15" spans="2:13" x14ac:dyDescent="0.25">
      <c r="B15" s="11" t="s">
        <v>58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A503D-F2D4-4640-BE5F-CC163C3A9620}">
  <dimension ref="A1:XFD60"/>
  <sheetViews>
    <sheetView tabSelected="1" zoomScale="110" zoomScaleNormal="110" workbookViewId="0">
      <pane xSplit="2" ySplit="2" topLeftCell="AJ3" activePane="bottomRight" state="frozen"/>
      <selection pane="topRight" activeCell="C1" sqref="C1"/>
      <selection pane="bottomLeft" activeCell="A3" sqref="A3"/>
      <selection pane="bottomRight" activeCell="AU34" sqref="AU34"/>
    </sheetView>
  </sheetViews>
  <sheetFormatPr defaultRowHeight="13.2" x14ac:dyDescent="0.25"/>
  <cols>
    <col min="1" max="1" width="5" bestFit="1" customWidth="1"/>
    <col min="2" max="2" width="15.109375" customWidth="1"/>
    <col min="3" max="14" width="9.109375" style="1"/>
    <col min="15" max="15" width="8.88671875" style="2"/>
    <col min="47" max="47" width="10.88671875" bestFit="1" customWidth="1"/>
  </cols>
  <sheetData>
    <row r="1" spans="1:43" x14ac:dyDescent="0.25">
      <c r="A1" s="10" t="s">
        <v>7</v>
      </c>
      <c r="O1"/>
    </row>
    <row r="2" spans="1:43" x14ac:dyDescent="0.25"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s="1" t="s">
        <v>17</v>
      </c>
      <c r="L2" s="1" t="s">
        <v>6</v>
      </c>
      <c r="M2" s="1" t="s">
        <v>18</v>
      </c>
      <c r="N2" s="1" t="s">
        <v>19</v>
      </c>
      <c r="O2" s="1" t="s">
        <v>42</v>
      </c>
      <c r="P2" s="1" t="s">
        <v>43</v>
      </c>
      <c r="Q2" s="1" t="s">
        <v>44</v>
      </c>
      <c r="R2" s="1" t="s">
        <v>45</v>
      </c>
      <c r="S2" s="1" t="s">
        <v>76</v>
      </c>
      <c r="T2" s="1" t="s">
        <v>77</v>
      </c>
      <c r="U2" s="1" t="s">
        <v>78</v>
      </c>
      <c r="V2" s="1" t="s">
        <v>79</v>
      </c>
      <c r="W2" s="1" t="s">
        <v>80</v>
      </c>
      <c r="X2" s="1" t="s">
        <v>81</v>
      </c>
      <c r="Y2" s="1" t="s">
        <v>82</v>
      </c>
      <c r="Z2" s="1" t="s">
        <v>83</v>
      </c>
      <c r="AA2" s="1"/>
      <c r="AB2" s="1"/>
      <c r="AC2">
        <v>2016</v>
      </c>
      <c r="AD2">
        <v>2017</v>
      </c>
      <c r="AE2">
        <f>+AD2+1</f>
        <v>2018</v>
      </c>
      <c r="AF2">
        <f t="shared" ref="AF2:AL2" si="0">+AE2+1</f>
        <v>2019</v>
      </c>
      <c r="AG2">
        <f t="shared" si="0"/>
        <v>2020</v>
      </c>
      <c r="AH2">
        <f t="shared" si="0"/>
        <v>2021</v>
      </c>
      <c r="AI2">
        <f t="shared" si="0"/>
        <v>2022</v>
      </c>
      <c r="AJ2">
        <f t="shared" si="0"/>
        <v>2023</v>
      </c>
      <c r="AK2">
        <f t="shared" si="0"/>
        <v>2024</v>
      </c>
      <c r="AL2">
        <f t="shared" si="0"/>
        <v>2025</v>
      </c>
      <c r="AM2">
        <f t="shared" ref="AM2" si="1">+AL2+1</f>
        <v>2026</v>
      </c>
      <c r="AN2">
        <f t="shared" ref="AN2" si="2">+AM2+1</f>
        <v>2027</v>
      </c>
      <c r="AO2">
        <f t="shared" ref="AO2" si="3">+AN2+1</f>
        <v>2028</v>
      </c>
      <c r="AP2">
        <f t="shared" ref="AP2" si="4">+AO2+1</f>
        <v>2029</v>
      </c>
      <c r="AQ2">
        <f t="shared" ref="AQ2" si="5">+AP2+1</f>
        <v>2030</v>
      </c>
    </row>
    <row r="3" spans="1:43" s="2" customFormat="1" x14ac:dyDescent="0.25">
      <c r="B3" s="2" t="s">
        <v>36</v>
      </c>
      <c r="C3" s="3"/>
      <c r="D3" s="3">
        <v>238</v>
      </c>
      <c r="E3" s="3">
        <v>249</v>
      </c>
      <c r="F3" s="3">
        <v>265</v>
      </c>
      <c r="G3" s="3">
        <v>280</v>
      </c>
      <c r="H3" s="3">
        <v>293</v>
      </c>
      <c r="I3" s="3">
        <f t="shared" ref="I3:U3" si="6">SUM(I4:I6)</f>
        <v>306</v>
      </c>
      <c r="J3" s="3">
        <f t="shared" si="6"/>
        <v>319</v>
      </c>
      <c r="K3" s="3">
        <f t="shared" si="6"/>
        <v>332</v>
      </c>
      <c r="L3" s="3">
        <f t="shared" si="6"/>
        <v>347</v>
      </c>
      <c r="M3" s="3">
        <f t="shared" si="6"/>
        <v>363</v>
      </c>
      <c r="N3" s="3">
        <f t="shared" si="6"/>
        <v>375</v>
      </c>
      <c r="O3" s="3">
        <v>383</v>
      </c>
      <c r="P3" s="3">
        <f t="shared" si="6"/>
        <v>397</v>
      </c>
      <c r="Q3" s="3">
        <f t="shared" si="6"/>
        <v>407</v>
      </c>
      <c r="R3" s="3">
        <f t="shared" si="6"/>
        <v>414</v>
      </c>
      <c r="S3" s="3">
        <f t="shared" si="6"/>
        <v>422</v>
      </c>
      <c r="T3" s="3">
        <f t="shared" si="6"/>
        <v>432</v>
      </c>
      <c r="U3" s="3">
        <f t="shared" si="6"/>
        <v>443</v>
      </c>
      <c r="V3" s="3">
        <v>451</v>
      </c>
      <c r="W3" s="3">
        <v>460</v>
      </c>
      <c r="X3" s="3">
        <v>467</v>
      </c>
      <c r="Y3" s="3">
        <v>475</v>
      </c>
      <c r="Z3" s="3">
        <v>480</v>
      </c>
      <c r="AA3" s="3"/>
    </row>
    <row r="4" spans="1:43" s="2" customFormat="1" x14ac:dyDescent="0.25">
      <c r="B4" s="2" t="s">
        <v>37</v>
      </c>
      <c r="C4" s="3"/>
      <c r="D4" s="3">
        <v>90</v>
      </c>
      <c r="E4" s="3">
        <v>90</v>
      </c>
      <c r="F4" s="3">
        <v>92</v>
      </c>
      <c r="G4" s="3">
        <v>93</v>
      </c>
      <c r="H4" s="3">
        <v>95</v>
      </c>
      <c r="I4" s="3">
        <v>96</v>
      </c>
      <c r="J4" s="3">
        <v>97</v>
      </c>
      <c r="K4" s="3">
        <v>98</v>
      </c>
      <c r="L4" s="3">
        <v>99</v>
      </c>
      <c r="M4" s="3">
        <v>100</v>
      </c>
      <c r="N4" s="3">
        <v>100</v>
      </c>
      <c r="O4" s="3">
        <v>100</v>
      </c>
      <c r="P4" s="3">
        <v>101</v>
      </c>
      <c r="Q4" s="3">
        <v>101</v>
      </c>
      <c r="R4" s="3">
        <v>100</v>
      </c>
      <c r="S4" s="3">
        <v>100</v>
      </c>
      <c r="T4" s="3">
        <v>100</v>
      </c>
      <c r="U4" s="3">
        <v>100</v>
      </c>
      <c r="V4" s="3">
        <v>100</v>
      </c>
      <c r="W4" s="3">
        <v>100</v>
      </c>
      <c r="X4" s="3">
        <v>100</v>
      </c>
      <c r="Y4" s="3">
        <v>100</v>
      </c>
      <c r="Z4" s="3">
        <v>100</v>
      </c>
      <c r="AA4" s="3"/>
    </row>
    <row r="5" spans="1:43" s="2" customFormat="1" x14ac:dyDescent="0.25">
      <c r="B5" s="2" t="s">
        <v>38</v>
      </c>
      <c r="C5" s="3"/>
      <c r="D5" s="3">
        <v>71</v>
      </c>
      <c r="E5" s="3">
        <v>72</v>
      </c>
      <c r="F5" s="3">
        <v>74</v>
      </c>
      <c r="G5" s="3">
        <v>77</v>
      </c>
      <c r="H5" s="3">
        <v>78</v>
      </c>
      <c r="I5" s="3">
        <v>80</v>
      </c>
      <c r="J5" s="3">
        <v>82</v>
      </c>
      <c r="K5" s="3">
        <v>84</v>
      </c>
      <c r="L5" s="3">
        <v>86</v>
      </c>
      <c r="M5" s="3">
        <v>88</v>
      </c>
      <c r="N5" s="3">
        <v>92</v>
      </c>
      <c r="O5" s="3">
        <v>93</v>
      </c>
      <c r="P5" s="3">
        <v>94</v>
      </c>
      <c r="Q5" s="3">
        <v>95</v>
      </c>
      <c r="R5" s="3">
        <v>96</v>
      </c>
      <c r="S5" s="3">
        <v>96</v>
      </c>
      <c r="T5" s="3">
        <v>97</v>
      </c>
      <c r="U5" s="3">
        <v>99</v>
      </c>
      <c r="V5" s="3">
        <v>100</v>
      </c>
      <c r="W5" s="3">
        <v>100</v>
      </c>
      <c r="X5" s="3">
        <v>101</v>
      </c>
      <c r="Y5" s="3">
        <v>102</v>
      </c>
      <c r="Z5" s="3">
        <v>103</v>
      </c>
      <c r="AA5" s="3"/>
    </row>
    <row r="6" spans="1:43" s="2" customFormat="1" x14ac:dyDescent="0.25">
      <c r="B6" s="2" t="s">
        <v>39</v>
      </c>
      <c r="C6" s="3"/>
      <c r="D6" s="3">
        <v>77</v>
      </c>
      <c r="E6" s="3">
        <v>87</v>
      </c>
      <c r="F6" s="3">
        <v>99</v>
      </c>
      <c r="G6" s="3">
        <v>111</v>
      </c>
      <c r="H6" s="3">
        <v>120</v>
      </c>
      <c r="I6" s="3">
        <v>130</v>
      </c>
      <c r="J6" s="3">
        <v>140</v>
      </c>
      <c r="K6" s="3">
        <v>150</v>
      </c>
      <c r="L6" s="3">
        <v>162</v>
      </c>
      <c r="M6" s="3">
        <v>175</v>
      </c>
      <c r="N6" s="3">
        <v>183</v>
      </c>
      <c r="O6" s="3">
        <v>190</v>
      </c>
      <c r="P6" s="3">
        <v>202</v>
      </c>
      <c r="Q6" s="3">
        <v>211</v>
      </c>
      <c r="R6" s="3">
        <v>218</v>
      </c>
      <c r="S6" s="3">
        <v>226</v>
      </c>
      <c r="T6" s="3">
        <v>235</v>
      </c>
      <c r="U6" s="3">
        <v>244</v>
      </c>
      <c r="V6" s="3">
        <f>V3-V4-V5</f>
        <v>251</v>
      </c>
      <c r="W6" s="3">
        <f>W3-W4-W5</f>
        <v>260</v>
      </c>
      <c r="X6" s="3">
        <f>X3-X4-X5</f>
        <v>266</v>
      </c>
      <c r="Y6" s="3">
        <f>Y3-Y4-Y5</f>
        <v>273</v>
      </c>
      <c r="Z6" s="3">
        <f>Z3-Z4-Z5</f>
        <v>277</v>
      </c>
      <c r="AA6" s="3"/>
    </row>
    <row r="7" spans="1:43" s="2" customFormat="1" x14ac:dyDescent="0.2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43" s="2" customFormat="1" x14ac:dyDescent="0.25">
      <c r="B8" s="2" t="s">
        <v>48</v>
      </c>
      <c r="C8" s="3"/>
      <c r="D8" s="3"/>
      <c r="E8" s="3"/>
      <c r="F8" s="3"/>
      <c r="G8" s="3"/>
      <c r="H8" s="3"/>
      <c r="I8" s="4">
        <f>+I12/I4</f>
        <v>8.1970520833333342</v>
      </c>
      <c r="J8" s="4">
        <f>+J12/J4</f>
        <v>9.6090412371134022</v>
      </c>
      <c r="K8" s="4">
        <f>+K12/K4</f>
        <v>7.7373571428571424</v>
      </c>
      <c r="L8" s="4">
        <f>+L12/L4</f>
        <v>7.9361717171717174</v>
      </c>
      <c r="M8" s="4">
        <f>+M12/M4</f>
        <v>8.1160199999999989</v>
      </c>
      <c r="N8" s="4">
        <f>+N12/N4</f>
        <v>8.8030999999999988</v>
      </c>
      <c r="O8" s="4">
        <f>+O12/O4</f>
        <v>6.3255999999999997</v>
      </c>
      <c r="P8" s="4">
        <f>+P12/P4</f>
        <v>6.644267326732674</v>
      </c>
      <c r="Q8" s="4">
        <f>+Q12/Q4</f>
        <v>7.6340594059405937</v>
      </c>
      <c r="R8" s="4">
        <f>+R12/R4</f>
        <v>8.7763000000000009</v>
      </c>
      <c r="S8" s="4">
        <f>+S12/S4</f>
        <v>7.3338800000000006</v>
      </c>
      <c r="T8" s="4">
        <f>+T12/T4</f>
        <v>7.4155800000000003</v>
      </c>
      <c r="U8" s="4">
        <f>+U12/U4</f>
        <v>8.2617899999999995</v>
      </c>
      <c r="V8" s="4">
        <f>R8*1.02</f>
        <v>8.9518260000000005</v>
      </c>
      <c r="W8" s="4">
        <f>S8*1.02</f>
        <v>7.4805576000000009</v>
      </c>
      <c r="X8" s="4">
        <f>T8*1.02</f>
        <v>7.5638916000000007</v>
      </c>
      <c r="Y8" s="4">
        <f>U8*1.02</f>
        <v>8.4270257999999991</v>
      </c>
      <c r="Z8" s="4">
        <f>V8*1.02</f>
        <v>9.1308625200000009</v>
      </c>
      <c r="AA8" s="4"/>
    </row>
    <row r="9" spans="1:43" s="2" customFormat="1" x14ac:dyDescent="0.25">
      <c r="B9" s="2" t="s">
        <v>73</v>
      </c>
      <c r="C9" s="3"/>
      <c r="D9" s="3"/>
      <c r="E9" s="3"/>
      <c r="F9" s="3"/>
      <c r="G9" s="3"/>
      <c r="H9" s="3"/>
      <c r="I9" s="4">
        <f>I13/I5</f>
        <v>1.9140125000000001</v>
      </c>
      <c r="J9" s="4">
        <f>J13/J5</f>
        <v>2.5477073170731708</v>
      </c>
      <c r="K9" s="4">
        <f>K13/K5</f>
        <v>1.9301428571428572</v>
      </c>
      <c r="L9" s="4">
        <f>L13/L5</f>
        <v>1.9778720930232558</v>
      </c>
      <c r="M9" s="4">
        <f>M13/M5</f>
        <v>1.8340454545454543</v>
      </c>
      <c r="N9" s="4">
        <f>N13/N5</f>
        <v>2.3755652173913044</v>
      </c>
      <c r="O9" s="4">
        <f>O13/O5</f>
        <v>1.6732795698924732</v>
      </c>
      <c r="P9" s="4">
        <f>P13/P5</f>
        <v>1.906744680851064</v>
      </c>
      <c r="Q9" s="4">
        <f>Q13/Q5</f>
        <v>2.0550736842105262</v>
      </c>
      <c r="R9" s="4">
        <f>R13/R5</f>
        <v>2.5208020833333333</v>
      </c>
      <c r="S9" s="4">
        <f>S13/S5</f>
        <v>2.0842916666666667</v>
      </c>
      <c r="T9" s="4">
        <f>T13/T5</f>
        <v>2.4245979381443301</v>
      </c>
      <c r="U9" s="4">
        <f>U13/U5</f>
        <v>2.4377979797979799</v>
      </c>
      <c r="V9" s="4">
        <f>R9*1.02</f>
        <v>2.5712181250000001</v>
      </c>
      <c r="W9" s="4">
        <f>S9*1.02</f>
        <v>2.1259774999999999</v>
      </c>
      <c r="X9" s="4">
        <f>T9*1.02</f>
        <v>2.4730898969072168</v>
      </c>
      <c r="Y9" s="4">
        <f>U9*1.02</f>
        <v>2.4865539393939393</v>
      </c>
      <c r="Z9" s="4">
        <f>V9*1.02</f>
        <v>2.6226424875000003</v>
      </c>
      <c r="AA9" s="4"/>
    </row>
    <row r="10" spans="1:43" s="2" customFormat="1" x14ac:dyDescent="0.25">
      <c r="B10" s="2" t="s">
        <v>74</v>
      </c>
      <c r="C10" s="3"/>
      <c r="D10" s="3"/>
      <c r="E10" s="3"/>
      <c r="F10" s="3"/>
      <c r="G10" s="3"/>
      <c r="H10" s="3"/>
      <c r="I10" s="4"/>
      <c r="J10" s="4"/>
      <c r="K10" s="4"/>
      <c r="L10" s="4"/>
      <c r="M10" s="4"/>
      <c r="N10" s="4"/>
      <c r="O10" s="4">
        <f>O14/O6</f>
        <v>1.0549105263157894</v>
      </c>
      <c r="P10" s="4">
        <f>P14/P6</f>
        <v>1.0760594059405941</v>
      </c>
      <c r="Q10" s="4">
        <f>Q14/Q6</f>
        <v>1.0534549763033174</v>
      </c>
      <c r="R10" s="4">
        <f>R14/R6</f>
        <v>1.1085321100917429</v>
      </c>
      <c r="S10" s="4">
        <f>S14/S6</f>
        <v>1.1561637168141594</v>
      </c>
      <c r="T10" s="4">
        <f>T14/T6</f>
        <v>1.1063574468085107</v>
      </c>
      <c r="U10" s="4">
        <f>U14/U6</f>
        <v>1.250217213114754</v>
      </c>
      <c r="V10" s="4">
        <f>R10*1.05</f>
        <v>1.16395871559633</v>
      </c>
      <c r="W10" s="4">
        <f>S10*1.05</f>
        <v>1.2139719026548674</v>
      </c>
      <c r="X10" s="4">
        <f>T10*1.05</f>
        <v>1.1616753191489362</v>
      </c>
      <c r="Y10" s="4">
        <f>U10*1.05</f>
        <v>1.3127280737704918</v>
      </c>
      <c r="Z10" s="4">
        <f>V10*1.05</f>
        <v>1.2221566513761466</v>
      </c>
      <c r="AA10" s="4"/>
    </row>
    <row r="11" spans="1:43" s="2" customFormat="1" x14ac:dyDescent="0.25"/>
    <row r="12" spans="1:43" s="2" customFormat="1" x14ac:dyDescent="0.25">
      <c r="B12" s="2" t="s">
        <v>46</v>
      </c>
      <c r="C12" s="3"/>
      <c r="D12" s="3"/>
      <c r="E12" s="3"/>
      <c r="F12" s="3"/>
      <c r="G12" s="3"/>
      <c r="H12" s="3"/>
      <c r="I12" s="3">
        <v>786.91700000000003</v>
      </c>
      <c r="J12" s="3">
        <v>932.077</v>
      </c>
      <c r="K12" s="3">
        <v>758.26099999999997</v>
      </c>
      <c r="L12" s="3">
        <v>785.68100000000004</v>
      </c>
      <c r="M12" s="3">
        <v>811.60199999999998</v>
      </c>
      <c r="N12" s="3">
        <v>880.31</v>
      </c>
      <c r="O12" s="2">
        <v>632.55999999999995</v>
      </c>
      <c r="P12" s="2">
        <v>671.07100000000003</v>
      </c>
      <c r="Q12" s="2">
        <v>771.04</v>
      </c>
      <c r="R12" s="2">
        <f>2952.301-Q12-P12-O12</f>
        <v>877.63000000000011</v>
      </c>
      <c r="S12" s="2">
        <v>733.38800000000003</v>
      </c>
      <c r="T12" s="2">
        <v>741.55799999999999</v>
      </c>
      <c r="U12" s="2">
        <v>826.17899999999997</v>
      </c>
      <c r="V12" s="2">
        <f>V8*V4</f>
        <v>895.18260000000009</v>
      </c>
      <c r="W12" s="2">
        <f>W8*W4</f>
        <v>748.05576000000008</v>
      </c>
      <c r="X12" s="2">
        <f>X8*X4</f>
        <v>756.38916000000006</v>
      </c>
      <c r="Y12" s="2">
        <f>Y8*Y4</f>
        <v>842.7025799999999</v>
      </c>
      <c r="Z12" s="2">
        <f>Z8*Z4</f>
        <v>913.08625200000006</v>
      </c>
    </row>
    <row r="13" spans="1:43" s="2" customFormat="1" x14ac:dyDescent="0.25">
      <c r="B13" s="2" t="s">
        <v>47</v>
      </c>
      <c r="C13" s="3"/>
      <c r="D13" s="3"/>
      <c r="E13" s="3"/>
      <c r="F13" s="3"/>
      <c r="G13" s="3"/>
      <c r="H13" s="3"/>
      <c r="I13" s="3">
        <v>153.12100000000001</v>
      </c>
      <c r="J13" s="3">
        <v>208.91200000000001</v>
      </c>
      <c r="K13" s="3">
        <v>162.13200000000001</v>
      </c>
      <c r="L13" s="3">
        <v>170.09700000000001</v>
      </c>
      <c r="M13" s="3">
        <v>161.39599999999999</v>
      </c>
      <c r="N13" s="3">
        <v>218.55199999999999</v>
      </c>
      <c r="O13" s="2">
        <v>155.61500000000001</v>
      </c>
      <c r="P13" s="2">
        <v>179.23400000000001</v>
      </c>
      <c r="Q13" s="2">
        <v>195.232</v>
      </c>
      <c r="R13" s="2">
        <f>772.078-Q13-O13-P13</f>
        <v>241.99699999999999</v>
      </c>
      <c r="S13" s="2">
        <v>200.09200000000001</v>
      </c>
      <c r="T13" s="2">
        <v>235.18600000000001</v>
      </c>
      <c r="U13" s="2">
        <v>241.34200000000001</v>
      </c>
      <c r="V13" s="2">
        <f>V9*V5</f>
        <v>257.12181250000003</v>
      </c>
      <c r="W13" s="2">
        <f>W9*W5</f>
        <v>212.59774999999999</v>
      </c>
      <c r="X13" s="2">
        <f>X9*X5</f>
        <v>249.78207958762889</v>
      </c>
      <c r="Y13" s="2">
        <f>Y9*Y5</f>
        <v>253.6285018181818</v>
      </c>
      <c r="Z13" s="2">
        <f>Z9*Z5</f>
        <v>270.13217621250004</v>
      </c>
    </row>
    <row r="14" spans="1:43" s="2" customFormat="1" x14ac:dyDescent="0.25">
      <c r="B14" s="2" t="s">
        <v>72</v>
      </c>
      <c r="C14" s="3"/>
      <c r="D14" s="3"/>
      <c r="E14" s="3"/>
      <c r="F14" s="3"/>
      <c r="G14" s="3"/>
      <c r="H14" s="3"/>
      <c r="I14" s="3"/>
      <c r="J14" s="3"/>
      <c r="K14" s="3">
        <v>154.40799999999999</v>
      </c>
      <c r="L14" s="3"/>
      <c r="M14" s="3"/>
      <c r="N14" s="3"/>
      <c r="O14" s="2">
        <v>200.43299999999999</v>
      </c>
      <c r="P14" s="2">
        <v>217.364</v>
      </c>
      <c r="Q14" s="2">
        <v>222.279</v>
      </c>
      <c r="R14" s="2">
        <f>881.736-Q14-P14-O14</f>
        <v>241.65999999999997</v>
      </c>
      <c r="S14" s="2">
        <v>261.29300000000001</v>
      </c>
      <c r="T14" s="2">
        <v>259.99400000000003</v>
      </c>
      <c r="U14" s="2">
        <v>305.053</v>
      </c>
      <c r="V14" s="2">
        <f>V10*V6</f>
        <v>292.15363761467881</v>
      </c>
      <c r="W14" s="2">
        <f>W10*W6</f>
        <v>315.63269469026551</v>
      </c>
      <c r="X14" s="2">
        <f>X10*X6</f>
        <v>309.00563489361701</v>
      </c>
      <c r="Y14" s="2">
        <f>Y10*Y6</f>
        <v>358.37476413934428</v>
      </c>
      <c r="Z14" s="2">
        <f>Z10*Z6</f>
        <v>338.53739243119259</v>
      </c>
    </row>
    <row r="15" spans="1:43" s="7" customFormat="1" x14ac:dyDescent="0.25">
      <c r="B15" s="7" t="s">
        <v>8</v>
      </c>
      <c r="C15" s="8"/>
      <c r="D15" s="8"/>
      <c r="E15" s="8">
        <v>678.66800000000001</v>
      </c>
      <c r="F15" s="8">
        <v>911.322</v>
      </c>
      <c r="G15" s="8">
        <v>769.58399999999995</v>
      </c>
      <c r="H15" s="8">
        <v>982.10799999999995</v>
      </c>
      <c r="I15" s="8">
        <v>1067.471</v>
      </c>
      <c r="J15" s="8">
        <v>1297.885</v>
      </c>
      <c r="K15" s="8">
        <v>1062.7270000000001</v>
      </c>
      <c r="L15" s="8">
        <v>1110.9090000000001</v>
      </c>
      <c r="M15" s="8">
        <v>1128.4760000000001</v>
      </c>
      <c r="N15" s="8">
        <v>1300</v>
      </c>
      <c r="O15" s="7">
        <f>SUM(O12:O14)</f>
        <v>988.60799999999995</v>
      </c>
      <c r="P15" s="7">
        <f>SUM(P12:P14)</f>
        <v>1067.6690000000001</v>
      </c>
      <c r="Q15" s="7">
        <f>SUM(Q12:Q14)</f>
        <v>1188.5509999999999</v>
      </c>
      <c r="R15" s="7">
        <f>SUM(R12:R14)</f>
        <v>1361.2870000000003</v>
      </c>
      <c r="S15" s="7">
        <f>SUM(S12:S14)</f>
        <v>1194.7730000000001</v>
      </c>
      <c r="T15" s="7">
        <f>SUM(T12:T14)</f>
        <v>1236.7380000000001</v>
      </c>
      <c r="U15" s="7">
        <f>SUM(U12:U14)</f>
        <v>1372.5740000000001</v>
      </c>
      <c r="V15" s="7">
        <f>SUM(V12:V14)</f>
        <v>1444.4580501146788</v>
      </c>
      <c r="W15" s="7">
        <f>SUM(W12:W14)</f>
        <v>1276.2862046902655</v>
      </c>
      <c r="X15" s="7">
        <f>SUM(X12:X14)</f>
        <v>1315.1768744812459</v>
      </c>
      <c r="Y15" s="7">
        <f>SUM(Y12:Y14)</f>
        <v>1454.705845957526</v>
      </c>
      <c r="Z15" s="7">
        <f>SUM(Z12:Z14)</f>
        <v>1521.7558206436927</v>
      </c>
      <c r="AC15" s="7">
        <v>404.48200000000003</v>
      </c>
      <c r="AD15" s="7">
        <v>824.94899999999996</v>
      </c>
      <c r="AE15" s="7">
        <v>1180.4459999999999</v>
      </c>
      <c r="AF15" s="7">
        <v>1715.5340000000001</v>
      </c>
      <c r="AG15" s="7">
        <v>2506.6260000000002</v>
      </c>
      <c r="AH15" s="7">
        <f>SUM(G15:J15)</f>
        <v>4117.0479999999998</v>
      </c>
      <c r="AI15" s="7">
        <f>SUM(K15:N15)</f>
        <v>4602.112000000001</v>
      </c>
      <c r="AJ15" s="7">
        <f>SUM(O15:R15)</f>
        <v>4606.1149999999998</v>
      </c>
      <c r="AK15" s="7">
        <f>SUM(S15:V15)</f>
        <v>5248.5430501146793</v>
      </c>
      <c r="AL15" s="7">
        <f>SUM(W15:Z15)</f>
        <v>5567.9247457727306</v>
      </c>
      <c r="AM15" s="7">
        <f>AL15*(1+AM30)</f>
        <v>6681.5096949272765</v>
      </c>
      <c r="AN15" s="7">
        <f>AM15*(1+AN30)</f>
        <v>8017.8116339127318</v>
      </c>
      <c r="AO15" s="7">
        <f>AN15*(1+AO30)</f>
        <v>9621.3739606952786</v>
      </c>
      <c r="AP15" s="7">
        <f>AO15*(1+AP30)</f>
        <v>11545.648752834333</v>
      </c>
      <c r="AQ15" s="7">
        <f>AP15*(1+AQ30)</f>
        <v>13854.778503401199</v>
      </c>
    </row>
    <row r="16" spans="1:43" s="2" customFormat="1" x14ac:dyDescent="0.25">
      <c r="B16" s="2" t="s">
        <v>20</v>
      </c>
      <c r="C16" s="3"/>
      <c r="D16" s="3"/>
      <c r="E16" s="3">
        <v>293.09500000000003</v>
      </c>
      <c r="F16" s="3">
        <v>385.54599999999999</v>
      </c>
      <c r="G16" s="3">
        <v>412.601</v>
      </c>
      <c r="H16" s="3">
        <v>445.02100000000002</v>
      </c>
      <c r="I16" s="3">
        <v>443.47300000000001</v>
      </c>
      <c r="J16" s="3">
        <v>449.15100000000001</v>
      </c>
      <c r="K16" s="3">
        <v>420.89699999999999</v>
      </c>
      <c r="L16" s="3">
        <v>446.37700000000001</v>
      </c>
      <c r="M16" s="3">
        <v>466.75700000000001</v>
      </c>
      <c r="N16" s="3">
        <v>481.31099999999998</v>
      </c>
      <c r="O16" s="2">
        <v>439.98599999999999</v>
      </c>
      <c r="P16" s="2">
        <v>496.87400000000002</v>
      </c>
      <c r="Q16" s="2">
        <v>555.75300000000004</v>
      </c>
      <c r="R16" s="2">
        <f>2114.117-Q16-P16-O16</f>
        <v>621.50400000000002</v>
      </c>
      <c r="S16" s="2">
        <v>574.74900000000002</v>
      </c>
      <c r="T16" s="2">
        <v>588.92100000000005</v>
      </c>
      <c r="U16" s="2">
        <v>638.90700000000004</v>
      </c>
      <c r="V16" s="2">
        <f>V15*0.45</f>
        <v>650.00612255160547</v>
      </c>
      <c r="W16" s="2">
        <f>W15*0.45</f>
        <v>574.32879211061947</v>
      </c>
      <c r="X16" s="2">
        <f>X15*0.45</f>
        <v>591.82959351656064</v>
      </c>
      <c r="Y16" s="2">
        <f>Y15*0.45</f>
        <v>654.61763068088669</v>
      </c>
      <c r="Z16" s="2">
        <f>Z15*0.45</f>
        <v>684.79011928966167</v>
      </c>
      <c r="AF16" s="2">
        <v>895.83799999999997</v>
      </c>
      <c r="AG16" s="2">
        <v>1182.5050000000001</v>
      </c>
      <c r="AH16" s="2">
        <f>SUM(G16:J16)</f>
        <v>1750.2460000000001</v>
      </c>
      <c r="AI16" s="2">
        <f>SUM(K16:N16)</f>
        <v>1815.3419999999999</v>
      </c>
      <c r="AJ16" s="12">
        <f>SUM(O16:R16)</f>
        <v>2114.1170000000002</v>
      </c>
      <c r="AK16" s="12">
        <f>SUM(S16:V16)</f>
        <v>2452.5831225516058</v>
      </c>
      <c r="AL16" s="12">
        <f>SUM(W16:Z16)</f>
        <v>2505.5661355977281</v>
      </c>
      <c r="AM16" s="2">
        <f>AM15*0.45</f>
        <v>3006.6793627172747</v>
      </c>
      <c r="AN16" s="2">
        <f>AN15*0.45</f>
        <v>3608.0152352607292</v>
      </c>
      <c r="AO16" s="2">
        <f>AO15*0.45</f>
        <v>4329.6182823128756</v>
      </c>
      <c r="AP16" s="2">
        <f>AP15*0.45</f>
        <v>5195.54193877545</v>
      </c>
      <c r="AQ16" s="2">
        <f>AQ15*0.45</f>
        <v>6234.65032653054</v>
      </c>
    </row>
    <row r="17" spans="2:109 16384:16384" s="2" customFormat="1" x14ac:dyDescent="0.25">
      <c r="B17" s="2" t="s">
        <v>21</v>
      </c>
      <c r="C17" s="3"/>
      <c r="D17" s="3"/>
      <c r="E17" s="3">
        <f t="shared" ref="E17" si="7">+E15-E16</f>
        <v>385.57299999999998</v>
      </c>
      <c r="F17" s="3">
        <f t="shared" ref="F17:G17" si="8">+F15-F16</f>
        <v>525.77600000000007</v>
      </c>
      <c r="G17" s="3">
        <f t="shared" si="8"/>
        <v>356.98299999999995</v>
      </c>
      <c r="H17" s="3">
        <f>+H15-H16</f>
        <v>537.08699999999999</v>
      </c>
      <c r="I17" s="3">
        <f t="shared" ref="I17" si="9">+I15-I16</f>
        <v>623.99800000000005</v>
      </c>
      <c r="J17" s="3">
        <f t="shared" ref="J17" si="10">+J15-J16</f>
        <v>848.73399999999992</v>
      </c>
      <c r="K17" s="3">
        <f>+K15-K16</f>
        <v>641.83000000000015</v>
      </c>
      <c r="L17" s="3">
        <f>+L15-L16</f>
        <v>664.53200000000015</v>
      </c>
      <c r="M17" s="3">
        <f>+M15-M16</f>
        <v>661.71900000000005</v>
      </c>
      <c r="N17" s="3">
        <f>+N15-N16</f>
        <v>818.68900000000008</v>
      </c>
      <c r="O17" s="3">
        <f>+O15-O16</f>
        <v>548.62199999999996</v>
      </c>
      <c r="P17" s="3">
        <f>+P15-P16</f>
        <v>570.79500000000007</v>
      </c>
      <c r="Q17" s="3">
        <f>+Q15-Q16</f>
        <v>632.79799999999989</v>
      </c>
      <c r="R17" s="3">
        <f>+R15-R16</f>
        <v>739.78300000000024</v>
      </c>
      <c r="S17" s="3">
        <f>+S15-S16</f>
        <v>620.02400000000011</v>
      </c>
      <c r="T17" s="3">
        <f>+T15-T16</f>
        <v>647.81700000000001</v>
      </c>
      <c r="U17" s="3">
        <f>+U15-U16</f>
        <v>733.66700000000003</v>
      </c>
      <c r="V17" s="3">
        <f>+V15-V16</f>
        <v>794.45192756307335</v>
      </c>
      <c r="W17" s="3">
        <f>+W15-W16</f>
        <v>701.95741257964607</v>
      </c>
      <c r="X17" s="3">
        <f>+X15-X16</f>
        <v>723.3472809646853</v>
      </c>
      <c r="Y17" s="3">
        <f>+Y15-Y16</f>
        <v>800.08821527663929</v>
      </c>
      <c r="Z17" s="3">
        <f>+Z15-Z16</f>
        <v>836.96570135403101</v>
      </c>
      <c r="AA17" s="3"/>
      <c r="AF17" s="2">
        <f t="shared" ref="AF17" si="11">+AF15-AF16</f>
        <v>819.69600000000014</v>
      </c>
      <c r="AG17" s="2">
        <f>+AG15-AG16</f>
        <v>1324.1210000000001</v>
      </c>
      <c r="AH17" s="2">
        <f>+AH15-AH16</f>
        <v>2366.8019999999997</v>
      </c>
      <c r="AI17" s="2">
        <f>+AI15-AI16</f>
        <v>2786.7700000000013</v>
      </c>
      <c r="AJ17" s="12">
        <f>+AJ15-AJ16</f>
        <v>2491.9979999999996</v>
      </c>
      <c r="AK17" s="12">
        <f>+AK15-AK16</f>
        <v>2795.9599275630735</v>
      </c>
      <c r="AL17" s="12">
        <f>+AL15-AL16</f>
        <v>3062.3586101750025</v>
      </c>
      <c r="AM17" s="12">
        <f>+AM15-AM16</f>
        <v>3674.8303322100019</v>
      </c>
      <c r="AN17" s="12">
        <f>+AN15-AN16</f>
        <v>4409.7963986520026</v>
      </c>
      <c r="AO17" s="12">
        <f>+AO15-AO16</f>
        <v>5291.7556783824029</v>
      </c>
      <c r="AP17" s="12">
        <f>+AP15-AP16</f>
        <v>6350.1068140588832</v>
      </c>
      <c r="AQ17" s="12">
        <f>+AQ15-AQ16</f>
        <v>7620.1281768706594</v>
      </c>
    </row>
    <row r="18" spans="2:109 16384:16384" s="2" customFormat="1" x14ac:dyDescent="0.25">
      <c r="B18" s="2" t="s">
        <v>22</v>
      </c>
      <c r="C18" s="3"/>
      <c r="D18" s="3"/>
      <c r="E18" s="3">
        <v>283.63900000000001</v>
      </c>
      <c r="F18" s="3">
        <v>318.44600000000003</v>
      </c>
      <c r="G18" s="3">
        <v>348.58</v>
      </c>
      <c r="H18" s="3">
        <v>370.67099999999999</v>
      </c>
      <c r="I18" s="3">
        <v>412.02100000000002</v>
      </c>
      <c r="J18" s="3">
        <v>434.19499999999999</v>
      </c>
      <c r="K18" s="3">
        <v>455.56299999999999</v>
      </c>
      <c r="L18" s="3">
        <v>505.03699999999998</v>
      </c>
      <c r="M18" s="3">
        <v>564.25800000000004</v>
      </c>
      <c r="N18" s="3">
        <v>584.94200000000001</v>
      </c>
      <c r="O18" s="2">
        <v>455.11200000000002</v>
      </c>
      <c r="P18" s="2">
        <v>477.66300000000001</v>
      </c>
      <c r="Q18" s="2">
        <v>494.55900000000003</v>
      </c>
      <c r="R18" s="2">
        <f>1910.862-Q18-P18-O18</f>
        <v>483.52800000000008</v>
      </c>
      <c r="S18" s="2">
        <f>449.759</f>
        <v>449.75900000000001</v>
      </c>
      <c r="T18" s="2">
        <v>406.19600000000003</v>
      </c>
      <c r="U18" s="2">
        <v>412.791</v>
      </c>
      <c r="V18" s="2">
        <f>U18*1.02</f>
        <v>421.04682000000003</v>
      </c>
      <c r="W18" s="2">
        <f>V18*0.99</f>
        <v>416.83635180000005</v>
      </c>
      <c r="X18" s="2">
        <f>W18*0.99</f>
        <v>412.66798828200007</v>
      </c>
      <c r="Y18" s="2">
        <f>X18*0.99</f>
        <v>408.54130839918008</v>
      </c>
      <c r="Z18" s="2">
        <f>Y18*0.99</f>
        <v>404.45589531518829</v>
      </c>
      <c r="AF18" s="2">
        <v>883.50900000000001</v>
      </c>
      <c r="AG18" s="2">
        <v>1101.5609999999999</v>
      </c>
      <c r="AH18" s="2">
        <f>SUM(G18:J18)</f>
        <v>1565.4669999999999</v>
      </c>
      <c r="AI18" s="2">
        <f t="shared" ref="AI18:AJ20" si="12">SUM(K18:N18)</f>
        <v>2109.8000000000002</v>
      </c>
      <c r="AJ18" s="12">
        <f>SUM(O18:R18)</f>
        <v>1910.8620000000001</v>
      </c>
      <c r="AK18" s="12">
        <f>SUM(S18:V18)</f>
        <v>1689.7928200000001</v>
      </c>
      <c r="AL18" s="12">
        <f>SUM(W18:Z18)</f>
        <v>1642.5015437963684</v>
      </c>
      <c r="AM18" s="2">
        <f>AL18*1.07</f>
        <v>1757.4766518621143</v>
      </c>
      <c r="AN18" s="2">
        <f>AM18*1.07</f>
        <v>1880.5000174924623</v>
      </c>
      <c r="AO18" s="2">
        <f>AN18*1.07</f>
        <v>2012.1350187169348</v>
      </c>
      <c r="AP18" s="2">
        <f>AO18*1.07</f>
        <v>2152.9844700271206</v>
      </c>
      <c r="AQ18" s="2">
        <f>AP18*1.07</f>
        <v>2303.6933829290192</v>
      </c>
    </row>
    <row r="19" spans="2:109 16384:16384" s="2" customFormat="1" x14ac:dyDescent="0.25">
      <c r="B19" s="2" t="s">
        <v>23</v>
      </c>
      <c r="C19" s="3"/>
      <c r="D19" s="3"/>
      <c r="E19" s="3">
        <v>143.511</v>
      </c>
      <c r="F19" s="3">
        <v>157.63399999999999</v>
      </c>
      <c r="G19" s="3">
        <v>150.286</v>
      </c>
      <c r="H19" s="3">
        <v>179.72399999999999</v>
      </c>
      <c r="I19" s="3">
        <v>217.52600000000001</v>
      </c>
      <c r="J19" s="3">
        <v>245.22800000000001</v>
      </c>
      <c r="K19" s="3">
        <v>241.886</v>
      </c>
      <c r="L19" s="3">
        <v>311.37400000000002</v>
      </c>
      <c r="M19" s="3">
        <v>270.33600000000001</v>
      </c>
      <c r="N19" s="3">
        <v>295.14999999999998</v>
      </c>
      <c r="O19" s="2">
        <v>268.43299999999999</v>
      </c>
      <c r="P19" s="2">
        <v>280.59699999999998</v>
      </c>
      <c r="Q19" s="2">
        <v>297.25099999999998</v>
      </c>
      <c r="R19" s="2">
        <f>1122.092-Q19-P19-O19</f>
        <v>275.81100000000015</v>
      </c>
      <c r="S19" s="2">
        <v>276.03399999999999</v>
      </c>
      <c r="T19" s="2">
        <v>266.32</v>
      </c>
      <c r="U19" s="2">
        <v>273.10700000000003</v>
      </c>
      <c r="V19" s="2">
        <f>U19*1.03</f>
        <v>281.30021000000005</v>
      </c>
      <c r="W19" s="2">
        <f>V19*1.03</f>
        <v>289.73921630000007</v>
      </c>
      <c r="X19" s="2">
        <f>W19*1.03</f>
        <v>298.43139278900009</v>
      </c>
      <c r="Y19" s="2">
        <f>X19*1.03</f>
        <v>307.38433457267007</v>
      </c>
      <c r="Z19" s="2">
        <f>Y19*1.03</f>
        <v>316.60586460985019</v>
      </c>
      <c r="AF19" s="2">
        <v>458.59800000000001</v>
      </c>
      <c r="AG19" s="2">
        <v>555.46799999999996</v>
      </c>
      <c r="AH19" s="2">
        <f>SUM(G19:J19)</f>
        <v>792.76400000000012</v>
      </c>
      <c r="AI19" s="2">
        <f t="shared" si="12"/>
        <v>1118.7460000000001</v>
      </c>
      <c r="AJ19" s="12">
        <f>SUM(O19:R19)</f>
        <v>1122.0920000000001</v>
      </c>
      <c r="AK19" s="12">
        <f>SUM(S19:V19)</f>
        <v>1096.7612100000001</v>
      </c>
      <c r="AL19" s="12">
        <f>SUM(W19:Z19)</f>
        <v>1212.1608082715204</v>
      </c>
      <c r="AM19" s="2">
        <f>AL19*1.1</f>
        <v>1333.3768890986726</v>
      </c>
      <c r="AN19" s="2">
        <f>AM19*1.1</f>
        <v>1466.71457800854</v>
      </c>
      <c r="AO19" s="2">
        <f>AN19*1.1</f>
        <v>1613.3860358093941</v>
      </c>
      <c r="AP19" s="2">
        <f>AO19*1.1</f>
        <v>1774.7246393903338</v>
      </c>
      <c r="AQ19" s="2">
        <f>AP19*1.1</f>
        <v>1952.1971033293673</v>
      </c>
    </row>
    <row r="20" spans="2:109 16384:16384" s="2" customFormat="1" x14ac:dyDescent="0.25">
      <c r="B20" s="2" t="s">
        <v>24</v>
      </c>
      <c r="C20" s="3"/>
      <c r="D20" s="3"/>
      <c r="E20" s="3">
        <v>126.28700000000001</v>
      </c>
      <c r="F20" s="3">
        <v>146.93199999999999</v>
      </c>
      <c r="G20" s="3">
        <v>161.72300000000001</v>
      </c>
      <c r="H20" s="3">
        <v>179.20400000000001</v>
      </c>
      <c r="I20" s="3">
        <v>175.27500000000001</v>
      </c>
      <c r="J20" s="3">
        <v>194.43799999999999</v>
      </c>
      <c r="K20" s="3">
        <v>215.90799999999999</v>
      </c>
      <c r="L20" s="3">
        <v>249.06100000000001</v>
      </c>
      <c r="M20" s="3">
        <v>262.36700000000002</v>
      </c>
      <c r="N20" s="3">
        <v>225.929</v>
      </c>
      <c r="O20" s="2">
        <v>190.321</v>
      </c>
      <c r="P20" s="2">
        <v>216.874</v>
      </c>
      <c r="Q20" s="2">
        <v>221.05099999999999</v>
      </c>
      <c r="R20" s="2">
        <f>857.423-Q20-O20-P20</f>
        <v>229.17700000000005</v>
      </c>
      <c r="S20" s="2">
        <v>227.46299999999999</v>
      </c>
      <c r="T20" s="2">
        <v>229.30600000000001</v>
      </c>
      <c r="U20" s="2">
        <v>220.97900000000001</v>
      </c>
      <c r="V20" s="2">
        <f>U20*1</f>
        <v>220.97900000000001</v>
      </c>
      <c r="W20" s="2">
        <f>V20*1</f>
        <v>220.97900000000001</v>
      </c>
      <c r="X20" s="2">
        <f>W20*1</f>
        <v>220.97900000000001</v>
      </c>
      <c r="Y20" s="2">
        <f>X20*1</f>
        <v>220.97900000000001</v>
      </c>
      <c r="Z20" s="2">
        <f>Y20*1</f>
        <v>220.97900000000001</v>
      </c>
      <c r="AF20" s="2">
        <v>580.91700000000003</v>
      </c>
      <c r="AG20" s="2">
        <v>529.16399999999999</v>
      </c>
      <c r="AH20" s="2">
        <f>SUM(G20:J20)</f>
        <v>710.64</v>
      </c>
      <c r="AI20" s="2">
        <f t="shared" si="12"/>
        <v>953.26499999999999</v>
      </c>
      <c r="AJ20" s="12">
        <f>SUM(O20:R20)</f>
        <v>857.423</v>
      </c>
      <c r="AK20" s="12">
        <f>SUM(S20:V20)</f>
        <v>898.72700000000009</v>
      </c>
      <c r="AL20" s="12">
        <f>SUM(W20:Z20)</f>
        <v>883.91600000000005</v>
      </c>
      <c r="AM20" s="2">
        <f>AL20*1.04</f>
        <v>919.27264000000014</v>
      </c>
      <c r="AN20" s="2">
        <f>AM20*1.04</f>
        <v>956.04354560000013</v>
      </c>
      <c r="AO20" s="2">
        <f>AN20*1.04</f>
        <v>994.28528742400022</v>
      </c>
      <c r="AP20" s="2">
        <f>AO20*1.04</f>
        <v>1034.0566989209603</v>
      </c>
      <c r="AQ20" s="2">
        <f>AP20*1.04</f>
        <v>1075.4189668777988</v>
      </c>
    </row>
    <row r="21" spans="2:109 16384:16384" s="2" customFormat="1" x14ac:dyDescent="0.25">
      <c r="B21" s="2" t="s">
        <v>25</v>
      </c>
      <c r="C21" s="3"/>
      <c r="D21" s="3"/>
      <c r="E21" s="3">
        <f t="shared" ref="E21" si="13">SUM(E18:E20)</f>
        <v>553.43700000000001</v>
      </c>
      <c r="F21" s="3">
        <f t="shared" ref="F21:G21" si="14">SUM(F18:F20)</f>
        <v>623.01200000000006</v>
      </c>
      <c r="G21" s="3">
        <f t="shared" si="14"/>
        <v>660.58899999999994</v>
      </c>
      <c r="H21" s="3">
        <f>SUM(H18:H20)</f>
        <v>729.59899999999993</v>
      </c>
      <c r="I21" s="3">
        <f t="shared" ref="I21" si="15">SUM(I18:I20)</f>
        <v>804.822</v>
      </c>
      <c r="J21" s="3">
        <f t="shared" ref="J21" si="16">SUM(J18:J20)</f>
        <v>873.86099999999999</v>
      </c>
      <c r="K21" s="3">
        <f t="shared" ref="K21" si="17">SUM(K18:K20)</f>
        <v>913.35699999999997</v>
      </c>
      <c r="L21" s="3">
        <f>SUM(L18:L20)</f>
        <v>1065.472</v>
      </c>
      <c r="M21" s="3">
        <f>SUM(M18:M20)</f>
        <v>1096.961</v>
      </c>
      <c r="N21" s="3">
        <f>SUM(N18:N20)</f>
        <v>1106.021</v>
      </c>
      <c r="O21" s="3">
        <f>SUM(O18:O20)</f>
        <v>913.8660000000001</v>
      </c>
      <c r="P21" s="3">
        <f>SUM(P18:P20)</f>
        <v>975.13400000000001</v>
      </c>
      <c r="Q21" s="3">
        <f>SUM(Q18:Q20)</f>
        <v>1012.8609999999999</v>
      </c>
      <c r="R21" s="3">
        <f>SUM(R18:R20)</f>
        <v>988.51600000000019</v>
      </c>
      <c r="S21" s="3">
        <f>SUM(S18:S20)</f>
        <v>953.25599999999997</v>
      </c>
      <c r="T21" s="3">
        <f>SUM(T18:T20)</f>
        <v>901.82200000000012</v>
      </c>
      <c r="U21" s="3">
        <f>SUM(U18:U20)</f>
        <v>906.87700000000007</v>
      </c>
      <c r="V21" s="3">
        <f>SUM(V18:V20)</f>
        <v>923.32603000000017</v>
      </c>
      <c r="W21" s="3">
        <f>SUM(W18:W20)</f>
        <v>927.5545681000001</v>
      </c>
      <c r="X21" s="3">
        <f>SUM(X18:X20)</f>
        <v>932.07838107100019</v>
      </c>
      <c r="Y21" s="3">
        <f>SUM(Y18:Y20)</f>
        <v>936.90464297185019</v>
      </c>
      <c r="Z21" s="3">
        <f>SUM(Z18:Z20)</f>
        <v>942.04075992503851</v>
      </c>
      <c r="AA21" s="3"/>
      <c r="AF21" s="2">
        <f t="shared" ref="AF21" si="18">SUM(AF18:AF20)</f>
        <v>1923.0239999999999</v>
      </c>
      <c r="AG21" s="2">
        <f>SUM(AG18:AG20)</f>
        <v>2186.1930000000002</v>
      </c>
      <c r="AH21" s="2">
        <f t="shared" ref="AH21:AI21" si="19">SUM(AH18:AH20)</f>
        <v>3068.8709999999996</v>
      </c>
      <c r="AI21" s="2">
        <f t="shared" si="19"/>
        <v>4181.8110000000006</v>
      </c>
      <c r="AJ21" s="12">
        <f>SUM(AJ18:AJ20)</f>
        <v>3890.3770000000004</v>
      </c>
      <c r="AK21" s="12">
        <f>SUM(AK18:AK20)</f>
        <v>3685.2810300000001</v>
      </c>
      <c r="AL21" s="12">
        <f>SUM(AL18:AL20)</f>
        <v>3738.5783520678888</v>
      </c>
      <c r="AM21" s="12">
        <f>SUM(AM18:AM20)</f>
        <v>4010.1261809607868</v>
      </c>
      <c r="AN21" s="12">
        <f>SUM(AN18:AN20)</f>
        <v>4303.2581411010024</v>
      </c>
      <c r="AO21" s="12">
        <f>SUM(AO18:AO20)</f>
        <v>4619.8063419503287</v>
      </c>
      <c r="AP21" s="12">
        <f>SUM(AP18:AP20)</f>
        <v>4961.7658083384149</v>
      </c>
      <c r="AQ21" s="12">
        <f>SUM(AQ18:AQ20)</f>
        <v>5331.3094531361858</v>
      </c>
    </row>
    <row r="22" spans="2:109 16384:16384" s="2" customFormat="1" x14ac:dyDescent="0.25">
      <c r="B22" s="2" t="s">
        <v>26</v>
      </c>
      <c r="C22" s="3"/>
      <c r="D22" s="3"/>
      <c r="E22" s="3">
        <f t="shared" ref="E22" si="20">E17-E21</f>
        <v>-167.86400000000003</v>
      </c>
      <c r="F22" s="3">
        <f t="shared" ref="F22:G22" si="21">F17-F21</f>
        <v>-97.23599999999999</v>
      </c>
      <c r="G22" s="3">
        <f t="shared" si="21"/>
        <v>-303.60599999999999</v>
      </c>
      <c r="H22" s="3">
        <f>H17-H21</f>
        <v>-192.51199999999994</v>
      </c>
      <c r="I22" s="3">
        <f t="shared" ref="I22" si="22">I17-I21</f>
        <v>-180.82399999999996</v>
      </c>
      <c r="J22" s="3">
        <f t="shared" ref="J22" si="23">J17-J21</f>
        <v>-25.127000000000066</v>
      </c>
      <c r="K22" s="3">
        <f t="shared" ref="K22" si="24">K17-K21</f>
        <v>-271.52699999999982</v>
      </c>
      <c r="L22" s="3">
        <f>L17-L21</f>
        <v>-400.93999999999983</v>
      </c>
      <c r="M22" s="3">
        <f>M17-M21</f>
        <v>-435.24199999999996</v>
      </c>
      <c r="N22" s="3">
        <f>N17-N21</f>
        <v>-287.33199999999988</v>
      </c>
      <c r="O22" s="3">
        <f>O17-O21</f>
        <v>-365.24400000000014</v>
      </c>
      <c r="P22" s="3">
        <f>P17-P21</f>
        <v>-404.33899999999994</v>
      </c>
      <c r="Q22" s="3">
        <f>Q17-Q21</f>
        <v>-380.06299999999999</v>
      </c>
      <c r="R22" s="3">
        <f>R17-R21</f>
        <v>-248.73299999999995</v>
      </c>
      <c r="S22" s="3">
        <f>S17-S21</f>
        <v>-333.23199999999986</v>
      </c>
      <c r="T22" s="3">
        <f>T17-T21</f>
        <v>-254.00500000000011</v>
      </c>
      <c r="U22" s="3">
        <f>U17-U21</f>
        <v>-173.21000000000004</v>
      </c>
      <c r="V22" s="3">
        <f>V17-V21</f>
        <v>-128.87410243692682</v>
      </c>
      <c r="W22" s="3">
        <f>W17-W21</f>
        <v>-225.59715552035402</v>
      </c>
      <c r="X22" s="3">
        <f>X17-X21</f>
        <v>-208.7311001063149</v>
      </c>
      <c r="Y22" s="3">
        <f>Y17-Y21</f>
        <v>-136.8164276952109</v>
      </c>
      <c r="Z22" s="3">
        <f>Z17-Z21</f>
        <v>-105.0750585710075</v>
      </c>
      <c r="AA22" s="3"/>
      <c r="AF22" s="2">
        <f t="shared" ref="AF22" si="25">+AF17-AF21</f>
        <v>-1103.3279999999997</v>
      </c>
      <c r="AG22" s="2">
        <f>+AG17-AG21</f>
        <v>-862.07200000000012</v>
      </c>
      <c r="AH22" s="2">
        <f t="shared" ref="AH22:AI22" si="26">+AH17-AH21</f>
        <v>-702.06899999999996</v>
      </c>
      <c r="AI22" s="2">
        <f t="shared" si="26"/>
        <v>-1395.0409999999993</v>
      </c>
      <c r="AJ22" s="12">
        <f>+AJ17-AJ21</f>
        <v>-1398.3790000000008</v>
      </c>
      <c r="AK22" s="12">
        <f>+AK17-AK21</f>
        <v>-889.32110243692659</v>
      </c>
      <c r="AL22" s="12">
        <f>+AL17-AL21</f>
        <v>-676.2197418928863</v>
      </c>
      <c r="AM22" s="12">
        <f>+AM17-AM21</f>
        <v>-335.2958487507849</v>
      </c>
      <c r="AN22" s="12">
        <f>+AN17-AN21</f>
        <v>106.53825755100024</v>
      </c>
      <c r="AO22" s="12">
        <f>+AO17-AO21</f>
        <v>671.94933643207423</v>
      </c>
      <c r="AP22" s="12">
        <f>+AP17-AP21</f>
        <v>1388.3410057204683</v>
      </c>
      <c r="AQ22" s="12">
        <f>+AQ17-AQ21</f>
        <v>2288.8187237344737</v>
      </c>
    </row>
    <row r="23" spans="2:109 16384:16384" s="2" customFormat="1" x14ac:dyDescent="0.25">
      <c r="B23" s="2" t="s">
        <v>27</v>
      </c>
      <c r="C23" s="3"/>
      <c r="D23" s="3"/>
      <c r="E23" s="3">
        <f t="shared" ref="E23" si="27">2.801-28.212</f>
        <v>-25.411000000000001</v>
      </c>
      <c r="F23" s="3">
        <f>1.969-29.176</f>
        <v>-27.206999999999997</v>
      </c>
      <c r="G23" s="3">
        <f>1.137-5.031</f>
        <v>-3.8939999999999997</v>
      </c>
      <c r="H23" s="3">
        <f>1.251-4.564</f>
        <v>-3.3130000000000002</v>
      </c>
      <c r="I23" s="3">
        <f t="shared" ref="I23" si="28">1.257-4.031</f>
        <v>-2.774</v>
      </c>
      <c r="J23" s="3">
        <f>1.554-4.05</f>
        <v>-2.4959999999999996</v>
      </c>
      <c r="K23" s="3">
        <f>3.123-5.173</f>
        <v>-2.0499999999999998</v>
      </c>
      <c r="L23" s="3">
        <f>8.331-5.549</f>
        <v>2.7819999999999991</v>
      </c>
      <c r="M23" s="3">
        <f>18.445-5.425</f>
        <v>13.02</v>
      </c>
      <c r="N23" s="3">
        <f>28.698-5.312</f>
        <v>23.385999999999999</v>
      </c>
      <c r="O23" s="2">
        <f>37.948-5.885</f>
        <v>32.063000000000002</v>
      </c>
      <c r="P23" s="2">
        <f>43.144-5.343</f>
        <v>37.801000000000002</v>
      </c>
      <c r="Q23" s="2">
        <f>43.939-5.521</f>
        <v>38.417999999999999</v>
      </c>
      <c r="R23" s="2">
        <f>168.394-22.024-Q23-P23-O23</f>
        <v>38.087999999999994</v>
      </c>
      <c r="S23" s="2">
        <f>39.898-4.743</f>
        <v>35.155000000000001</v>
      </c>
      <c r="T23" s="2">
        <f>36.462-5.113</f>
        <v>31.349000000000004</v>
      </c>
      <c r="U23" s="2">
        <f>38.533-5.883</f>
        <v>32.65</v>
      </c>
      <c r="V23" s="2">
        <v>35</v>
      </c>
      <c r="W23" s="2">
        <v>35</v>
      </c>
      <c r="X23" s="2">
        <v>35</v>
      </c>
      <c r="Y23" s="2">
        <v>35</v>
      </c>
      <c r="Z23" s="2">
        <v>35</v>
      </c>
      <c r="AF23" s="2">
        <f>36.042-24.994</f>
        <v>11.048000000000002</v>
      </c>
      <c r="AG23" s="2">
        <f>18.127-97.228</f>
        <v>-79.100999999999999</v>
      </c>
      <c r="AH23" s="2">
        <f>SUM(G23:J23)</f>
        <v>-12.477</v>
      </c>
      <c r="AI23" s="2">
        <f t="shared" ref="AI23:AJ25" si="29">SUM(K23:N23)</f>
        <v>37.137999999999998</v>
      </c>
      <c r="AJ23" s="12">
        <f>SUM(O23:R23)</f>
        <v>146.37</v>
      </c>
      <c r="AK23" s="12">
        <f>SUM(S23:V23)</f>
        <v>134.154</v>
      </c>
      <c r="AL23" s="12">
        <f>SUM(W23:Z23)</f>
        <v>140</v>
      </c>
      <c r="AM23" s="2">
        <f>AM36*$AU$35</f>
        <v>110.42565155670189</v>
      </c>
      <c r="AN23" s="2">
        <f>AN36*$AU$35</f>
        <v>108.17694958476106</v>
      </c>
      <c r="AO23" s="2">
        <f>AO36*$AU$35</f>
        <v>109.98055732470146</v>
      </c>
      <c r="AP23" s="2">
        <f>AO23+AP36*AX35</f>
        <v>109.98055732470146</v>
      </c>
      <c r="AQ23" s="2">
        <f>AP23+AQ36*AY35</f>
        <v>109.98055732470146</v>
      </c>
    </row>
    <row r="24" spans="2:109 16384:16384" s="2" customFormat="1" x14ac:dyDescent="0.25">
      <c r="B24" s="2" t="s">
        <v>28</v>
      </c>
      <c r="C24" s="3"/>
      <c r="D24" s="3"/>
      <c r="E24" s="3">
        <f t="shared" ref="E24" si="30">+E22+E23</f>
        <v>-193.27500000000003</v>
      </c>
      <c r="F24" s="3">
        <f t="shared" ref="F24:G24" si="31">+F22+F23</f>
        <v>-124.44299999999998</v>
      </c>
      <c r="G24" s="3">
        <f t="shared" si="31"/>
        <v>-307.5</v>
      </c>
      <c r="H24" s="3">
        <f>+H22+H23</f>
        <v>-195.82499999999993</v>
      </c>
      <c r="I24" s="3">
        <f t="shared" ref="I24" si="32">+I22+I23</f>
        <v>-183.59799999999996</v>
      </c>
      <c r="J24" s="3">
        <f t="shared" ref="J24" si="33">+J22+J23</f>
        <v>-27.623000000000065</v>
      </c>
      <c r="K24" s="3">
        <f>+K22+K23</f>
        <v>-273.57699999999983</v>
      </c>
      <c r="L24" s="3">
        <f>+L22+L23</f>
        <v>-398.15799999999984</v>
      </c>
      <c r="M24" s="3">
        <f>+M22+M23</f>
        <v>-422.22199999999998</v>
      </c>
      <c r="N24" s="3">
        <f>+N22+N23</f>
        <v>-263.94599999999986</v>
      </c>
      <c r="O24" s="3">
        <f>+O22+O23</f>
        <v>-333.18100000000015</v>
      </c>
      <c r="P24" s="3">
        <f>+P22+P23</f>
        <v>-366.53799999999995</v>
      </c>
      <c r="Q24" s="3">
        <f>+Q22+Q23</f>
        <v>-341.64499999999998</v>
      </c>
      <c r="R24" s="3">
        <f>+R22+R23</f>
        <v>-210.64499999999995</v>
      </c>
      <c r="S24" s="3">
        <f>+S22+S23</f>
        <v>-298.07699999999988</v>
      </c>
      <c r="T24" s="3">
        <f>+T22+T23</f>
        <v>-222.65600000000012</v>
      </c>
      <c r="U24" s="3">
        <f>+U22+U23</f>
        <v>-140.56000000000003</v>
      </c>
      <c r="V24" s="3">
        <f>+V22+V23</f>
        <v>-93.874102436926819</v>
      </c>
      <c r="W24" s="3">
        <f>+W22+W23</f>
        <v>-190.59715552035402</v>
      </c>
      <c r="X24" s="3">
        <f>+X22+X23</f>
        <v>-173.7311001063149</v>
      </c>
      <c r="Y24" s="3">
        <f>+Y22+Y23</f>
        <v>-101.8164276952109</v>
      </c>
      <c r="Z24" s="3">
        <f>+Z22+Z23</f>
        <v>-70.075058571007503</v>
      </c>
      <c r="AA24" s="3"/>
      <c r="AF24" s="2">
        <f t="shared" ref="AF24" si="34">+AF22+AF23</f>
        <v>-1092.2799999999997</v>
      </c>
      <c r="AG24" s="2">
        <f>+AG22+AG23</f>
        <v>-941.17300000000012</v>
      </c>
      <c r="AH24" s="2">
        <f>+AH22+AH23</f>
        <v>-714.54599999999994</v>
      </c>
      <c r="AI24" s="2">
        <f>+AI22+AI23</f>
        <v>-1357.9029999999993</v>
      </c>
      <c r="AJ24" s="12">
        <f>+AJ22+AJ23</f>
        <v>-1252.0090000000009</v>
      </c>
      <c r="AK24" s="12">
        <f>+AK22+AK23</f>
        <v>-755.1671024369266</v>
      </c>
      <c r="AL24" s="12">
        <f>+AL22+AL23</f>
        <v>-536.2197418928863</v>
      </c>
      <c r="AM24" s="12">
        <f>+AM22+AM23</f>
        <v>-224.870197194083</v>
      </c>
      <c r="AN24" s="12">
        <f>+AN22+AN23</f>
        <v>214.71520713576132</v>
      </c>
      <c r="AO24" s="12">
        <f t="shared" ref="AO24:AQ24" si="35">+AO22+AO23</f>
        <v>781.92989375677575</v>
      </c>
      <c r="AP24" s="12">
        <f t="shared" si="35"/>
        <v>1498.3215630451698</v>
      </c>
      <c r="AQ24" s="12">
        <f t="shared" si="35"/>
        <v>2398.799281059175</v>
      </c>
    </row>
    <row r="25" spans="2:109 16384:16384" s="2" customFormat="1" x14ac:dyDescent="0.25">
      <c r="B25" s="2" t="s">
        <v>29</v>
      </c>
      <c r="C25" s="3"/>
      <c r="D25" s="3"/>
      <c r="E25" s="3">
        <v>0.90900000000000003</v>
      </c>
      <c r="F25" s="3">
        <v>18.126999999999999</v>
      </c>
      <c r="G25" s="3">
        <v>1.44</v>
      </c>
      <c r="H25" s="3">
        <v>-1.879</v>
      </c>
      <c r="I25" s="3">
        <v>0.99199999999999999</v>
      </c>
      <c r="J25" s="3">
        <v>13.031000000000001</v>
      </c>
      <c r="K25" s="3">
        <v>8.51</v>
      </c>
      <c r="L25" s="3">
        <v>6.9989999999999997</v>
      </c>
      <c r="M25" s="3">
        <v>9.2409999999999997</v>
      </c>
      <c r="N25" s="3">
        <v>4.2060000000000004</v>
      </c>
      <c r="O25" s="2">
        <v>6.8449999999999998</v>
      </c>
      <c r="P25" s="2">
        <v>12.093</v>
      </c>
      <c r="Q25" s="2">
        <v>5.8490000000000002</v>
      </c>
      <c r="R25" s="2">
        <f>28.062-Q25-P25-O25</f>
        <v>3.2750000000000012</v>
      </c>
      <c r="S25" s="2">
        <v>6.9320000000000004</v>
      </c>
      <c r="T25" s="2">
        <v>5.202</v>
      </c>
      <c r="U25" s="2">
        <v>8.3320000000000007</v>
      </c>
      <c r="V25" s="2">
        <v>6</v>
      </c>
      <c r="W25" s="2">
        <v>6</v>
      </c>
      <c r="X25" s="2">
        <v>6</v>
      </c>
      <c r="Y25" s="2">
        <v>6</v>
      </c>
      <c r="Z25" s="2">
        <v>6</v>
      </c>
      <c r="AF25" s="2">
        <v>0.39300000000000002</v>
      </c>
      <c r="AG25" s="2">
        <v>18.654</v>
      </c>
      <c r="AH25" s="2">
        <f>SUM(G25:J25)</f>
        <v>13.584</v>
      </c>
      <c r="AI25" s="2">
        <f t="shared" si="29"/>
        <v>28.956</v>
      </c>
      <c r="AJ25" s="12">
        <f>SUM(O25:R25)</f>
        <v>28.062000000000001</v>
      </c>
      <c r="AK25" s="12">
        <f>SUM(S25:V25)</f>
        <v>26.466000000000001</v>
      </c>
      <c r="AL25" s="12">
        <f>SUM(W25:Z25)</f>
        <v>24</v>
      </c>
      <c r="AM25" s="2">
        <v>0</v>
      </c>
      <c r="AN25" s="2">
        <f>AN24*0.16</f>
        <v>34.354433141721813</v>
      </c>
      <c r="AO25" s="2">
        <f>AO24*0.16</f>
        <v>125.10878300108412</v>
      </c>
      <c r="AP25" s="2">
        <f>AP24*0.16</f>
        <v>239.73145008722716</v>
      </c>
      <c r="AQ25" s="2">
        <f>AQ24*0.16</f>
        <v>383.80788496946798</v>
      </c>
    </row>
    <row r="26" spans="2:109 16384:16384" s="2" customFormat="1" x14ac:dyDescent="0.25">
      <c r="B26" s="2" t="s">
        <v>30</v>
      </c>
      <c r="C26" s="3"/>
      <c r="D26" s="3"/>
      <c r="E26" s="3">
        <f t="shared" ref="E26" si="36">+E24-E25</f>
        <v>-194.18400000000003</v>
      </c>
      <c r="F26" s="3">
        <f t="shared" ref="F26:G26" si="37">+F24-F25</f>
        <v>-142.57</v>
      </c>
      <c r="G26" s="3">
        <f t="shared" si="37"/>
        <v>-308.94</v>
      </c>
      <c r="H26" s="3">
        <f>+H24-H25</f>
        <v>-193.94599999999994</v>
      </c>
      <c r="I26" s="3">
        <f t="shared" ref="I26" si="38">+I24-I25</f>
        <v>-184.58999999999995</v>
      </c>
      <c r="J26" s="3">
        <f t="shared" ref="J26" si="39">+J24-J25</f>
        <v>-40.654000000000067</v>
      </c>
      <c r="K26" s="3">
        <f>+K24-K25</f>
        <v>-282.08699999999982</v>
      </c>
      <c r="L26" s="3">
        <f>+L24-L25</f>
        <v>-405.15699999999987</v>
      </c>
      <c r="M26" s="3">
        <f>+M24-M25</f>
        <v>-431.46299999999997</v>
      </c>
      <c r="N26" s="3">
        <f>+N24-N25</f>
        <v>-268.15199999999987</v>
      </c>
      <c r="O26" s="3">
        <f>+O24-O25</f>
        <v>-340.02600000000018</v>
      </c>
      <c r="P26" s="3">
        <f>+P24-P25</f>
        <v>-378.63099999999997</v>
      </c>
      <c r="Q26" s="3">
        <f>+Q24-Q25</f>
        <v>-347.49399999999997</v>
      </c>
      <c r="R26" s="3">
        <f>+R24-R25</f>
        <v>-213.91999999999996</v>
      </c>
      <c r="S26" s="3">
        <f>+S24-S25</f>
        <v>-305.0089999999999</v>
      </c>
      <c r="T26" s="3">
        <f>+T24-T25</f>
        <v>-227.85800000000012</v>
      </c>
      <c r="U26" s="3">
        <f>+U24-U25</f>
        <v>-148.89200000000002</v>
      </c>
      <c r="V26" s="3">
        <f>+V24-V25</f>
        <v>-99.874102436926819</v>
      </c>
      <c r="W26" s="3">
        <f>+W24-W25</f>
        <v>-196.59715552035402</v>
      </c>
      <c r="X26" s="3">
        <f>+X24-X25</f>
        <v>-179.7311001063149</v>
      </c>
      <c r="Y26" s="3">
        <f>+Y24-Y25</f>
        <v>-107.8164276952109</v>
      </c>
      <c r="Z26" s="3">
        <f>+Z24-Z25</f>
        <v>-76.075058571007503</v>
      </c>
      <c r="AA26" s="3"/>
      <c r="AF26" s="2">
        <f t="shared" ref="AF26" si="40">+AF24-AF25</f>
        <v>-1092.6729999999998</v>
      </c>
      <c r="AG26" s="2">
        <f>+AG24-AG25</f>
        <v>-959.82700000000011</v>
      </c>
      <c r="AH26" s="2">
        <f>+AH24-AH25</f>
        <v>-728.12999999999988</v>
      </c>
      <c r="AI26" s="2">
        <f>+AI24-AI25</f>
        <v>-1386.8589999999992</v>
      </c>
      <c r="AJ26" s="2">
        <f>+AJ24-AJ25</f>
        <v>-1280.0710000000008</v>
      </c>
      <c r="AK26" s="2">
        <f>+AK24-AK25</f>
        <v>-781.63310243692661</v>
      </c>
      <c r="AL26" s="2">
        <f>+AL24-AL25</f>
        <v>-560.2197418928863</v>
      </c>
      <c r="AM26" s="2">
        <f>+AM24-AM25</f>
        <v>-224.870197194083</v>
      </c>
      <c r="AN26" s="2">
        <f>+AN24-AN25</f>
        <v>180.3607739940395</v>
      </c>
      <c r="AO26" s="2">
        <f>+AO24-AO25</f>
        <v>656.82111075569162</v>
      </c>
      <c r="AP26" s="2">
        <f>+AP24-AP25</f>
        <v>1258.5901129579427</v>
      </c>
      <c r="AQ26" s="2">
        <f>+AQ24-AQ25</f>
        <v>2014.991396089707</v>
      </c>
      <c r="AR26" s="2">
        <f>AQ26*(1+$AU$34)</f>
        <v>1974.6915681679129</v>
      </c>
      <c r="AS26" s="2">
        <f t="shared" ref="AS26:DD26" si="41">AR26*(1+$AU$34)</f>
        <v>1935.1977368045546</v>
      </c>
      <c r="AT26" s="2">
        <f t="shared" si="41"/>
        <v>1896.4937820684634</v>
      </c>
      <c r="AU26" s="2">
        <f t="shared" si="41"/>
        <v>1858.563906427094</v>
      </c>
      <c r="AV26" s="2">
        <f t="shared" si="41"/>
        <v>1821.3926282985522</v>
      </c>
      <c r="AW26" s="2">
        <f t="shared" si="41"/>
        <v>1784.9647757325811</v>
      </c>
      <c r="AX26" s="2">
        <f t="shared" si="41"/>
        <v>1749.2654802179295</v>
      </c>
      <c r="AY26" s="2">
        <f t="shared" si="41"/>
        <v>1714.2801706135708</v>
      </c>
      <c r="AZ26" s="2">
        <f t="shared" si="41"/>
        <v>1679.9945672012993</v>
      </c>
      <c r="BA26" s="2">
        <f t="shared" si="41"/>
        <v>1646.3946758572733</v>
      </c>
      <c r="BB26" s="2">
        <f t="shared" si="41"/>
        <v>1613.4667823401278</v>
      </c>
      <c r="BC26" s="2">
        <f t="shared" si="41"/>
        <v>1581.1974466933252</v>
      </c>
      <c r="BD26" s="2">
        <f t="shared" si="41"/>
        <v>1549.5734977594586</v>
      </c>
      <c r="BE26" s="2">
        <f t="shared" si="41"/>
        <v>1518.5820278042695</v>
      </c>
      <c r="BF26" s="2">
        <f t="shared" si="41"/>
        <v>1488.2103872481841</v>
      </c>
      <c r="BG26" s="2">
        <f t="shared" si="41"/>
        <v>1458.4461795032205</v>
      </c>
      <c r="BH26" s="2">
        <f t="shared" si="41"/>
        <v>1429.2772559131561</v>
      </c>
      <c r="BI26" s="2">
        <f t="shared" si="41"/>
        <v>1400.691710794893</v>
      </c>
      <c r="BJ26" s="2">
        <f t="shared" si="41"/>
        <v>1372.677876578995</v>
      </c>
      <c r="BK26" s="2">
        <f t="shared" si="41"/>
        <v>1345.2243190474151</v>
      </c>
      <c r="BL26" s="2">
        <f t="shared" si="41"/>
        <v>1318.3198326664667</v>
      </c>
      <c r="BM26" s="2">
        <f t="shared" si="41"/>
        <v>1291.9534360131374</v>
      </c>
      <c r="BN26" s="2">
        <f t="shared" si="41"/>
        <v>1266.1143672928747</v>
      </c>
      <c r="BO26" s="2">
        <f t="shared" si="41"/>
        <v>1240.7920799470171</v>
      </c>
      <c r="BP26" s="2">
        <f t="shared" si="41"/>
        <v>1215.9762383480768</v>
      </c>
      <c r="BQ26" s="2">
        <f t="shared" si="41"/>
        <v>1191.6567135811151</v>
      </c>
      <c r="BR26" s="2">
        <f t="shared" si="41"/>
        <v>1167.8235793094927</v>
      </c>
      <c r="BS26" s="2">
        <f t="shared" si="41"/>
        <v>1144.4671077233029</v>
      </c>
      <c r="BT26" s="2">
        <f t="shared" si="41"/>
        <v>1121.5777655688369</v>
      </c>
      <c r="BU26" s="2">
        <f t="shared" si="41"/>
        <v>1099.1462102574601</v>
      </c>
      <c r="BV26" s="2">
        <f t="shared" si="41"/>
        <v>1077.1632860523109</v>
      </c>
      <c r="BW26" s="2">
        <f t="shared" si="41"/>
        <v>1055.6200203312646</v>
      </c>
      <c r="BX26" s="2">
        <f t="shared" si="41"/>
        <v>1034.5076199246394</v>
      </c>
      <c r="BY26" s="2">
        <f t="shared" si="41"/>
        <v>1013.8174675261465</v>
      </c>
      <c r="BZ26" s="2">
        <f t="shared" si="41"/>
        <v>993.54111817562352</v>
      </c>
      <c r="CA26" s="2">
        <f t="shared" si="41"/>
        <v>973.67029581211102</v>
      </c>
      <c r="CB26" s="2">
        <f t="shared" si="41"/>
        <v>954.19688989586882</v>
      </c>
      <c r="CC26" s="2">
        <f t="shared" si="41"/>
        <v>935.11295209795139</v>
      </c>
      <c r="CD26" s="2">
        <f t="shared" si="41"/>
        <v>916.4106930559924</v>
      </c>
      <c r="CE26" s="2">
        <f t="shared" si="41"/>
        <v>898.08247919487258</v>
      </c>
      <c r="CF26" s="2">
        <f t="shared" si="41"/>
        <v>880.12082961097508</v>
      </c>
      <c r="CG26" s="2">
        <f t="shared" si="41"/>
        <v>862.51841301875561</v>
      </c>
      <c r="CH26" s="2">
        <f t="shared" si="41"/>
        <v>845.26804475838048</v>
      </c>
      <c r="CI26" s="2">
        <f t="shared" si="41"/>
        <v>828.36268386321285</v>
      </c>
      <c r="CJ26" s="2">
        <f t="shared" si="41"/>
        <v>811.79543018594859</v>
      </c>
      <c r="CK26" s="2">
        <f t="shared" si="41"/>
        <v>795.55952158222965</v>
      </c>
      <c r="CL26" s="2">
        <f t="shared" si="41"/>
        <v>779.64833115058502</v>
      </c>
      <c r="CM26" s="2">
        <f t="shared" si="41"/>
        <v>764.05536452757326</v>
      </c>
      <c r="CN26" s="2">
        <f t="shared" si="41"/>
        <v>748.77425723702174</v>
      </c>
      <c r="CO26" s="2">
        <f t="shared" si="41"/>
        <v>733.7987720922813</v>
      </c>
      <c r="CP26" s="2">
        <f t="shared" si="41"/>
        <v>719.1227966504357</v>
      </c>
      <c r="CQ26" s="2">
        <f t="shared" si="41"/>
        <v>704.74034071742699</v>
      </c>
      <c r="CR26" s="2">
        <f t="shared" si="41"/>
        <v>690.64553390307844</v>
      </c>
      <c r="CS26" s="2">
        <f t="shared" si="41"/>
        <v>676.83262322501685</v>
      </c>
      <c r="CT26" s="2">
        <f t="shared" si="41"/>
        <v>663.29597076051652</v>
      </c>
      <c r="CU26" s="2">
        <f t="shared" si="41"/>
        <v>650.03005134530622</v>
      </c>
      <c r="CV26" s="2">
        <f t="shared" si="41"/>
        <v>637.02945031840011</v>
      </c>
      <c r="CW26" s="2">
        <f t="shared" si="41"/>
        <v>624.28886131203205</v>
      </c>
      <c r="CX26" s="2">
        <f t="shared" si="41"/>
        <v>611.8030840857914</v>
      </c>
      <c r="CY26" s="2">
        <f t="shared" si="41"/>
        <v>599.5670224040756</v>
      </c>
      <c r="CZ26" s="2">
        <f t="shared" si="41"/>
        <v>587.57568195599413</v>
      </c>
      <c r="DA26" s="2">
        <f t="shared" si="41"/>
        <v>575.82416831687419</v>
      </c>
      <c r="DB26" s="2">
        <f t="shared" si="41"/>
        <v>564.30768495053667</v>
      </c>
      <c r="DC26" s="2">
        <f t="shared" si="41"/>
        <v>553.02153125152597</v>
      </c>
      <c r="DD26" s="2">
        <f t="shared" si="41"/>
        <v>541.96110062649541</v>
      </c>
      <c r="DE26" s="2">
        <f t="shared" ref="DE26" si="42">DD26*(1+$AU$34)</f>
        <v>531.12187861396546</v>
      </c>
    </row>
    <row r="27" spans="2:109 16384:16384" x14ac:dyDescent="0.25">
      <c r="B27" s="2" t="s">
        <v>31</v>
      </c>
      <c r="E27" s="4">
        <f t="shared" ref="E27" si="43">+E26/E28</f>
        <v>-0.1324204525306529</v>
      </c>
      <c r="F27" s="4">
        <f t="shared" ref="F27:G27" si="44">+F26/F28</f>
        <v>-9.6053499447879331E-2</v>
      </c>
      <c r="G27" s="4">
        <f t="shared" si="44"/>
        <v>-0.20573561102690666</v>
      </c>
      <c r="H27" s="4">
        <f>+H26/H28</f>
        <v>-0.12535014096122496</v>
      </c>
      <c r="I27" s="4">
        <f t="shared" ref="I27" si="45">+I26/I28</f>
        <v>-0.11675772913522489</v>
      </c>
      <c r="J27" s="4">
        <f t="shared" ref="J27" si="46">+J26/J28</f>
        <v>-2.4360064450448516E-2</v>
      </c>
      <c r="K27" s="4">
        <f t="shared" ref="K27" si="47">+K26/K28</f>
        <v>-0.1742231703407976</v>
      </c>
      <c r="L27" s="4">
        <f t="shared" ref="L27:T27" si="48">+L26/L28</f>
        <v>-0.24823667087382201</v>
      </c>
      <c r="M27" s="4">
        <f t="shared" si="48"/>
        <v>-0.26823551792545086</v>
      </c>
      <c r="N27" s="4">
        <f t="shared" si="48"/>
        <v>-0.17037606988575382</v>
      </c>
      <c r="O27" s="4">
        <f t="shared" si="48"/>
        <v>-0.21501988781879017</v>
      </c>
      <c r="P27" s="4">
        <f t="shared" si="48"/>
        <v>-0.23617615577118362</v>
      </c>
      <c r="Q27" s="4">
        <f t="shared" si="48"/>
        <v>-0.21372185665073923</v>
      </c>
      <c r="R27" s="4">
        <f t="shared" si="48"/>
        <v>-0.13266323680437381</v>
      </c>
      <c r="S27" s="4">
        <f>+S26/S28</f>
        <v>-0.18514714514561539</v>
      </c>
      <c r="T27" s="4">
        <f>+T26/T28</f>
        <v>-0.13853773493132035</v>
      </c>
      <c r="U27" s="4">
        <f>+U26/U28</f>
        <v>-8.9531578564423217E-2</v>
      </c>
      <c r="V27" s="4">
        <f>+V26/V28</f>
        <v>-6.0056188706464855E-2</v>
      </c>
      <c r="W27" s="4">
        <f>+W26/W28</f>
        <v>-0.11821759177801833</v>
      </c>
      <c r="X27" s="4">
        <f>+X26/X28</f>
        <v>-0.10807571333341445</v>
      </c>
      <c r="Y27" s="4">
        <f>+Y26/Y28</f>
        <v>-6.4832059255898425E-2</v>
      </c>
      <c r="Z27" s="4">
        <f>+Z26/Z28</f>
        <v>-4.5745373043838862E-2</v>
      </c>
      <c r="AA27" s="4"/>
      <c r="AF27" s="6">
        <f t="shared" ref="AF27" si="49">+AF26/AF28</f>
        <v>-0.79440435286471001</v>
      </c>
      <c r="AG27" s="6">
        <f>+AG26/AG28</f>
        <v>-0.65936086798521398</v>
      </c>
      <c r="AH27" s="6">
        <f>+AH26/AH28</f>
        <v>-0.46705028938477744</v>
      </c>
      <c r="AI27" s="6">
        <f>+AI26/AI28</f>
        <v>-0.86225210257491069</v>
      </c>
      <c r="AJ27" s="6">
        <f>+AJ26/AJ28</f>
        <v>-0.79384051140338308</v>
      </c>
      <c r="AK27" s="6">
        <f>+AK26/AK28</f>
        <v>-0.47001078311383787</v>
      </c>
      <c r="AL27" s="6">
        <f>+AL26/AL28</f>
        <v>-0.33687073741116946</v>
      </c>
      <c r="AM27" s="6">
        <f>+AM26/AM28</f>
        <v>-0.13521870702844599</v>
      </c>
      <c r="AN27" s="6">
        <f>+AN26/AN28</f>
        <v>0.10845434816368593</v>
      </c>
      <c r="AO27" s="6">
        <f>+AO26/AO28</f>
        <v>0.39495896945702202</v>
      </c>
      <c r="AP27" s="6">
        <f>+AP26/AP28</f>
        <v>0.75681406374217775</v>
      </c>
      <c r="AQ27" s="6">
        <f>+AQ26/AQ28</f>
        <v>1.2116524761951106</v>
      </c>
    </row>
    <row r="28" spans="2:109 16384:16384" s="2" customFormat="1" x14ac:dyDescent="0.25">
      <c r="B28" s="2" t="s">
        <v>1</v>
      </c>
      <c r="C28" s="3"/>
      <c r="D28" s="3"/>
      <c r="E28" s="3">
        <v>1466.42</v>
      </c>
      <c r="F28" s="3">
        <v>1484.277</v>
      </c>
      <c r="G28" s="3">
        <v>1501.636</v>
      </c>
      <c r="H28" s="3">
        <v>1547.2339999999999</v>
      </c>
      <c r="I28" s="3">
        <v>1580.9659999999999</v>
      </c>
      <c r="J28" s="3">
        <v>1668.8789999999999</v>
      </c>
      <c r="K28" s="3">
        <v>1619.1130000000001</v>
      </c>
      <c r="L28" s="3">
        <v>1632.14</v>
      </c>
      <c r="M28" s="3">
        <v>1608.5229999999999</v>
      </c>
      <c r="N28" s="3">
        <v>1573.883</v>
      </c>
      <c r="O28" s="3">
        <f>1581.37</f>
        <v>1581.37</v>
      </c>
      <c r="P28" s="3">
        <v>1603.172</v>
      </c>
      <c r="Q28" s="3">
        <v>1625.9169999999999</v>
      </c>
      <c r="R28" s="3">
        <v>1612.5039999999999</v>
      </c>
      <c r="S28" s="3">
        <v>1647.3869999999999</v>
      </c>
      <c r="T28" s="3">
        <v>1644.7360000000001</v>
      </c>
      <c r="U28" s="3">
        <v>1663.011</v>
      </c>
      <c r="V28" s="3">
        <v>1663.011</v>
      </c>
      <c r="W28" s="3">
        <v>1663.011</v>
      </c>
      <c r="X28" s="3">
        <v>1663.011</v>
      </c>
      <c r="Y28" s="3">
        <v>1663.011</v>
      </c>
      <c r="Z28" s="3">
        <v>1663.011</v>
      </c>
      <c r="AA28" s="3"/>
      <c r="AF28" s="2">
        <v>1375.462</v>
      </c>
      <c r="AG28" s="2">
        <v>1455.693</v>
      </c>
      <c r="AH28" s="2">
        <v>1558.9970000000001</v>
      </c>
      <c r="AI28" s="2">
        <f>AVERAGE(K28:N28)</f>
        <v>1608.4147499999999</v>
      </c>
      <c r="AJ28" s="3">
        <v>1612.5039999999999</v>
      </c>
      <c r="AK28" s="3">
        <v>1663.011</v>
      </c>
      <c r="AL28" s="3">
        <v>1663.011</v>
      </c>
      <c r="AM28" s="3">
        <v>1663.011</v>
      </c>
      <c r="AN28" s="3">
        <v>1663.011</v>
      </c>
      <c r="AO28" s="3">
        <v>1663.011</v>
      </c>
      <c r="AP28" s="3">
        <v>1663.011</v>
      </c>
      <c r="AQ28" s="3">
        <v>1663.011</v>
      </c>
      <c r="AR28" s="3">
        <v>1663.011</v>
      </c>
      <c r="AS28" s="3">
        <v>1663.011</v>
      </c>
      <c r="AT28" s="3">
        <v>1663.011</v>
      </c>
      <c r="AU28" s="3">
        <v>1663.011</v>
      </c>
      <c r="AV28" s="3">
        <v>1663.011</v>
      </c>
      <c r="AW28" s="3">
        <v>1663.011</v>
      </c>
      <c r="AX28" s="3">
        <v>1663.011</v>
      </c>
      <c r="AY28" s="3">
        <v>1663.011</v>
      </c>
      <c r="AZ28" s="3">
        <v>1663.011</v>
      </c>
      <c r="BA28" s="3">
        <v>1663.011</v>
      </c>
      <c r="BB28" s="3">
        <v>1663.011</v>
      </c>
      <c r="BC28" s="3">
        <v>1663.011</v>
      </c>
      <c r="BD28" s="3">
        <v>1663.011</v>
      </c>
      <c r="BE28" s="3">
        <v>1663.011</v>
      </c>
      <c r="BF28" s="3">
        <v>1663.011</v>
      </c>
      <c r="BG28" s="3">
        <v>1663.011</v>
      </c>
      <c r="BH28" s="3">
        <v>1663.011</v>
      </c>
      <c r="BI28" s="3">
        <v>1663.011</v>
      </c>
      <c r="BJ28" s="3">
        <v>1663.011</v>
      </c>
      <c r="BK28" s="3">
        <v>1663.011</v>
      </c>
    </row>
    <row r="29" spans="2:109 16384:16384" x14ac:dyDescent="0.25">
      <c r="O29"/>
    </row>
    <row r="30" spans="2:109 16384:16384" x14ac:dyDescent="0.25">
      <c r="B30" s="2" t="s">
        <v>32</v>
      </c>
      <c r="I30" s="5">
        <f t="shared" ref="I30:J30" si="50">+I15/E15-1</f>
        <v>0.57289131062610887</v>
      </c>
      <c r="J30" s="5">
        <f t="shared" si="50"/>
        <v>0.42417828166114724</v>
      </c>
      <c r="K30" s="5">
        <f>+K15/G15-1</f>
        <v>0.38091098567537807</v>
      </c>
      <c r="L30" s="5">
        <f>+L15/H15-1</f>
        <v>0.13114749090731381</v>
      </c>
      <c r="M30" s="5">
        <f>+M15/I15-1</f>
        <v>5.7149093511673854E-2</v>
      </c>
      <c r="N30" s="5">
        <f>+N15/J15-1</f>
        <v>1.6295742689067527E-3</v>
      </c>
      <c r="O30" s="5">
        <f>+O15/K15-1</f>
        <v>-6.9744158189262273E-2</v>
      </c>
      <c r="P30" s="5">
        <f>+P15/L15-1</f>
        <v>-3.8923080108271724E-2</v>
      </c>
      <c r="Q30" s="5">
        <f>+Q15/M15-1</f>
        <v>5.3235514091571012E-2</v>
      </c>
      <c r="R30" s="5">
        <f>+R15/N15-1</f>
        <v>4.7143846153846258E-2</v>
      </c>
      <c r="S30" s="5">
        <f>+S15/O15-1</f>
        <v>0.20854069560432476</v>
      </c>
      <c r="T30" s="5">
        <f>+T15/P15-1</f>
        <v>0.1583533848037173</v>
      </c>
      <c r="U30" s="5">
        <f>+U15/Q15-1</f>
        <v>0.15482970440477528</v>
      </c>
      <c r="V30" s="5">
        <f>+V15/R15-1</f>
        <v>6.1097366032790035E-2</v>
      </c>
      <c r="W30" s="5">
        <f>+W15/S15-1</f>
        <v>6.8224846636361303E-2</v>
      </c>
      <c r="X30" s="5">
        <f>+X15/T15-1</f>
        <v>6.342400288601624E-2</v>
      </c>
      <c r="Y30" s="5">
        <f>+Y15/U15-1</f>
        <v>5.9837827292026358E-2</v>
      </c>
      <c r="Z30" s="5">
        <f>+Z15/V15-1</f>
        <v>5.3513337076751322E-2</v>
      </c>
      <c r="AA30" s="5"/>
      <c r="AD30" s="9">
        <f t="shared" ref="AD30:AF30" si="51">+AD15/AC15-1</f>
        <v>1.0395196819635975</v>
      </c>
      <c r="AE30" s="9">
        <f t="shared" si="51"/>
        <v>0.43093209398399179</v>
      </c>
      <c r="AF30" s="9">
        <f t="shared" si="51"/>
        <v>0.45329307736228519</v>
      </c>
      <c r="AG30" s="9">
        <f>+AG15/AF15-1</f>
        <v>0.4611345505247928</v>
      </c>
      <c r="AH30" s="9">
        <f>+AH15/AG15-1</f>
        <v>0.64246600809215226</v>
      </c>
      <c r="AI30" s="9">
        <f>+AI15/AH15-1</f>
        <v>0.11781839803665184</v>
      </c>
      <c r="AJ30" s="9">
        <f>+AJ15/AI15-1</f>
        <v>8.6981803137309299E-4</v>
      </c>
      <c r="AK30" s="9">
        <f>+AK15/AJ15-1</f>
        <v>0.13947286381574919</v>
      </c>
      <c r="AL30" s="9">
        <f>+AL15/AK15-1</f>
        <v>6.0851495854849169E-2</v>
      </c>
      <c r="AM30" s="9">
        <v>0.2</v>
      </c>
      <c r="AN30" s="9">
        <v>0.2</v>
      </c>
      <c r="AO30" s="9">
        <v>0.2</v>
      </c>
      <c r="AP30" s="9">
        <v>0.2</v>
      </c>
      <c r="AQ30" s="9">
        <v>0.2</v>
      </c>
      <c r="XFD30" s="9"/>
    </row>
    <row r="31" spans="2:109 16384:16384" x14ac:dyDescent="0.25">
      <c r="B31" s="2" t="s">
        <v>90</v>
      </c>
      <c r="H31" s="5">
        <f>H6/D6-1</f>
        <v>0.55844155844155852</v>
      </c>
      <c r="I31" s="5">
        <f>I6/E6-1</f>
        <v>0.49425287356321834</v>
      </c>
      <c r="J31" s="5">
        <f>J6/F6-1</f>
        <v>0.41414141414141414</v>
      </c>
      <c r="K31" s="5">
        <f>K6/G6-1</f>
        <v>0.35135135135135132</v>
      </c>
      <c r="L31" s="5">
        <f>L6/H6-1</f>
        <v>0.35000000000000009</v>
      </c>
      <c r="M31" s="5">
        <f>M6/I6-1</f>
        <v>0.34615384615384626</v>
      </c>
      <c r="N31" s="5">
        <f>N6/J6-1</f>
        <v>0.30714285714285716</v>
      </c>
      <c r="O31" s="5">
        <f>O6/K6-1</f>
        <v>0.26666666666666661</v>
      </c>
      <c r="P31" s="5">
        <f>P6/L6-1</f>
        <v>0.24691358024691357</v>
      </c>
      <c r="Q31" s="5">
        <f>Q6/M6-1</f>
        <v>0.20571428571428574</v>
      </c>
      <c r="R31" s="5">
        <f>R6/N6-1</f>
        <v>0.19125683060109289</v>
      </c>
      <c r="S31" s="5">
        <f>S6/O6-1</f>
        <v>0.18947368421052624</v>
      </c>
      <c r="T31" s="5">
        <f>T6/P6-1</f>
        <v>0.16336633663366329</v>
      </c>
      <c r="U31" s="5">
        <f>U6/Q6-1</f>
        <v>0.15639810426540279</v>
      </c>
      <c r="V31" s="5">
        <f>V6/R6-1</f>
        <v>0.15137614678899092</v>
      </c>
      <c r="W31" s="5">
        <f>W6/S6-1</f>
        <v>0.15044247787610621</v>
      </c>
      <c r="X31" s="5">
        <f>X6/T6-1</f>
        <v>0.13191489361702136</v>
      </c>
      <c r="Y31" s="5">
        <f>Y6/U6-1</f>
        <v>0.11885245901639352</v>
      </c>
      <c r="Z31" s="5">
        <f>Z6/V6-1</f>
        <v>0.10358565737051784</v>
      </c>
      <c r="AA31" s="5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XFD31" s="9"/>
    </row>
    <row r="32" spans="2:109 16384:16384" x14ac:dyDescent="0.25">
      <c r="B32" s="2" t="s">
        <v>41</v>
      </c>
      <c r="H32" s="5">
        <f>+H3/D3-1</f>
        <v>0.23109243697478998</v>
      </c>
      <c r="I32" s="5">
        <f>+I3/E3-1</f>
        <v>0.22891566265060237</v>
      </c>
      <c r="J32" s="5">
        <f>+J3/F3-1</f>
        <v>0.20377358490566033</v>
      </c>
      <c r="K32" s="5">
        <f>+K3/G3-1</f>
        <v>0.18571428571428572</v>
      </c>
      <c r="L32" s="5">
        <f>+L3/H3-1</f>
        <v>0.1843003412969284</v>
      </c>
      <c r="M32" s="5">
        <f>+M3/I3-1</f>
        <v>0.18627450980392157</v>
      </c>
      <c r="N32" s="5">
        <f>+N3/J3-1</f>
        <v>0.17554858934169282</v>
      </c>
      <c r="O32" s="5">
        <f>+O3/K3-1</f>
        <v>0.15361445783132521</v>
      </c>
      <c r="P32" s="5">
        <f>+P3/L3-1</f>
        <v>0.144092219020173</v>
      </c>
      <c r="Q32" s="5">
        <f>+Q3/M3-1</f>
        <v>0.1212121212121211</v>
      </c>
      <c r="R32" s="5">
        <f>+R3/N3-1</f>
        <v>0.10400000000000009</v>
      </c>
      <c r="S32" s="5">
        <f>+S3/O3-1</f>
        <v>0.10182767624020883</v>
      </c>
      <c r="T32" s="5">
        <f>+T3/P3-1</f>
        <v>8.8161209068010171E-2</v>
      </c>
      <c r="U32" s="5">
        <f>+U3/Q3-1</f>
        <v>8.8452088452088518E-2</v>
      </c>
      <c r="V32" s="5">
        <f>+V3/R3-1</f>
        <v>8.9371980676328455E-2</v>
      </c>
      <c r="W32" s="5">
        <f>+W3/S3-1</f>
        <v>9.004739336492884E-2</v>
      </c>
      <c r="X32" s="5">
        <f>+X3/T3-1</f>
        <v>8.1018518518518601E-2</v>
      </c>
      <c r="Y32" s="5">
        <f>+Y3/U3-1</f>
        <v>7.2234762979684008E-2</v>
      </c>
      <c r="Z32" s="5">
        <f>+Z3/V3-1</f>
        <v>6.4301552106430071E-2</v>
      </c>
      <c r="AA32" s="5"/>
    </row>
    <row r="33" spans="2:47" x14ac:dyDescent="0.25">
      <c r="B33" s="2" t="s">
        <v>21</v>
      </c>
      <c r="F33" s="5">
        <f>+F17/F15</f>
        <v>0.57693767954685615</v>
      </c>
      <c r="G33" s="5">
        <f>+G17/G15</f>
        <v>0.4638648932410237</v>
      </c>
      <c r="H33" s="5">
        <f>+H17/H15</f>
        <v>0.54687162715302184</v>
      </c>
      <c r="I33" s="5">
        <f t="shared" ref="I33:J33" si="52">+I17/I15</f>
        <v>0.58455733223666029</v>
      </c>
      <c r="J33" s="5">
        <f t="shared" si="52"/>
        <v>0.65393621160580473</v>
      </c>
      <c r="K33" s="5">
        <f>+K17/K15</f>
        <v>0.60394626277491781</v>
      </c>
      <c r="L33" s="5">
        <f>+L17/L15</f>
        <v>0.5981876103263184</v>
      </c>
      <c r="M33" s="5">
        <f>+M17/M15</f>
        <v>0.58638287389364063</v>
      </c>
      <c r="N33" s="5">
        <f>+N17/N15</f>
        <v>0.62976076923076929</v>
      </c>
      <c r="O33" s="5">
        <f>+O17/O15</f>
        <v>0.55494392114973778</v>
      </c>
      <c r="P33" s="5">
        <f>+P17/P15</f>
        <v>0.5346179387057225</v>
      </c>
      <c r="Q33" s="5">
        <f>+Q17/Q15</f>
        <v>0.53241131428100263</v>
      </c>
      <c r="R33" s="5">
        <f>+R17/R15</f>
        <v>0.54344381456665647</v>
      </c>
      <c r="S33" s="5">
        <f>+S17/S15</f>
        <v>0.51894711380320779</v>
      </c>
      <c r="T33" s="5">
        <f>+T17/T15</f>
        <v>0.52381102545567448</v>
      </c>
      <c r="U33" s="5">
        <f>+U17/U15</f>
        <v>0.53451908603834841</v>
      </c>
      <c r="V33" s="5">
        <f>+V17/V15</f>
        <v>0.55000000000000004</v>
      </c>
      <c r="W33" s="5">
        <f>+W17/W15</f>
        <v>0.55000000000000004</v>
      </c>
      <c r="X33" s="5">
        <f>+X17/X15</f>
        <v>0.55000000000000004</v>
      </c>
      <c r="Y33" s="5">
        <f>+Y17/Y15</f>
        <v>0.55000000000000004</v>
      </c>
      <c r="Z33" s="5">
        <f>+Z17/Z15</f>
        <v>0.55000000000000004</v>
      </c>
      <c r="AA33" s="5"/>
      <c r="AT33" t="s">
        <v>86</v>
      </c>
      <c r="AU33" s="9">
        <v>0.09</v>
      </c>
    </row>
    <row r="34" spans="2:47" x14ac:dyDescent="0.25">
      <c r="O34"/>
      <c r="AT34" t="s">
        <v>85</v>
      </c>
      <c r="AU34" s="9">
        <v>-0.02</v>
      </c>
    </row>
    <row r="35" spans="2:47" x14ac:dyDescent="0.25">
      <c r="B35" s="2" t="s">
        <v>59</v>
      </c>
      <c r="O35" s="2">
        <f>O36-O48</f>
        <v>359.19499999999971</v>
      </c>
      <c r="P35" s="2">
        <f>P36-P48</f>
        <v>-56.678000000000338</v>
      </c>
      <c r="Q35" s="2">
        <f>Q36-Q48</f>
        <v>-134.17900000000009</v>
      </c>
      <c r="R35" s="2">
        <f>R36-R48</f>
        <v>-205.32000000000016</v>
      </c>
      <c r="S35" s="2">
        <f>S36-S48</f>
        <v>-390.45099999999957</v>
      </c>
      <c r="T35" s="2">
        <f>T36-T48</f>
        <v>-557.45900000000029</v>
      </c>
      <c r="U35" s="2">
        <f>U36-U48</f>
        <v>-449.19900000000007</v>
      </c>
      <c r="V35" s="2"/>
      <c r="W35" s="2"/>
      <c r="X35" s="2"/>
      <c r="Y35" s="2"/>
      <c r="Z35" s="2"/>
      <c r="AA35" s="2"/>
      <c r="AT35" t="s">
        <v>84</v>
      </c>
      <c r="AU35" s="9">
        <v>0.01</v>
      </c>
    </row>
    <row r="36" spans="2:47" x14ac:dyDescent="0.25">
      <c r="B36" s="2" t="s">
        <v>3</v>
      </c>
      <c r="O36" s="2">
        <f>1578.528+2524.904</f>
        <v>4103.4319999999998</v>
      </c>
      <c r="P36" s="2">
        <f>1228.629+2460.649</f>
        <v>3689.2779999999998</v>
      </c>
      <c r="Q36" s="2">
        <f>1199.366+2414.132</f>
        <v>3613.498</v>
      </c>
      <c r="R36" s="2">
        <f>1780.4+1763.68</f>
        <v>3544.08</v>
      </c>
      <c r="S36" s="2">
        <f>1060.393+1850.622</f>
        <v>2911.0150000000003</v>
      </c>
      <c r="T36" s="2">
        <f>1060.551+2020.723</f>
        <v>3081.2739999999999</v>
      </c>
      <c r="U36" s="2">
        <f>964.967+2227.162</f>
        <v>3192.1289999999999</v>
      </c>
      <c r="V36" s="2">
        <v>3200</v>
      </c>
      <c r="W36" s="2"/>
      <c r="X36" s="2"/>
      <c r="Y36" s="2"/>
      <c r="Z36" s="2"/>
      <c r="AA36" s="2"/>
      <c r="AJ36" s="12">
        <f>SUM(O36:R36)</f>
        <v>14950.287999999999</v>
      </c>
      <c r="AK36" s="12">
        <f>SUM(S36:V36)</f>
        <v>12384.418000000001</v>
      </c>
      <c r="AL36" s="2">
        <f>AK36+AK26</f>
        <v>11602.784897563075</v>
      </c>
      <c r="AM36" s="2">
        <f>AL36+AL26</f>
        <v>11042.565155670189</v>
      </c>
      <c r="AN36" s="2">
        <f>AM36+AM26</f>
        <v>10817.694958476106</v>
      </c>
      <c r="AO36" s="2">
        <f>AN36+AN26</f>
        <v>10998.055732470146</v>
      </c>
      <c r="AP36" s="2">
        <f>AO36+AO26</f>
        <v>11654.876843225837</v>
      </c>
      <c r="AQ36" s="2">
        <f>AP36+AP26</f>
        <v>12913.46695618378</v>
      </c>
      <c r="AT36" t="s">
        <v>87</v>
      </c>
      <c r="AU36" s="13">
        <f>NPV(AU33,AL26:DE26)</f>
        <v>12615.299157492451</v>
      </c>
    </row>
    <row r="37" spans="2:47" x14ac:dyDescent="0.25">
      <c r="B37" s="2" t="s">
        <v>66</v>
      </c>
      <c r="O37" s="2">
        <v>892.51099999999997</v>
      </c>
      <c r="P37" s="2">
        <v>996.08199999999999</v>
      </c>
      <c r="Q37" s="2">
        <v>1116.511</v>
      </c>
      <c r="R37" s="2">
        <v>1278.1759999999999</v>
      </c>
      <c r="S37" s="2">
        <v>1108.357</v>
      </c>
      <c r="T37" s="2">
        <v>1141.8489999999999</v>
      </c>
      <c r="U37" s="2">
        <v>1195.701</v>
      </c>
      <c r="V37" s="2"/>
      <c r="W37" s="2"/>
      <c r="X37" s="2"/>
      <c r="Y37" s="2"/>
      <c r="Z37" s="2"/>
      <c r="AA37" s="2"/>
      <c r="AT37" t="s">
        <v>88</v>
      </c>
      <c r="AU37" s="13">
        <f>AU36/AN28</f>
        <v>7.5858182281971986</v>
      </c>
    </row>
    <row r="38" spans="2:47" x14ac:dyDescent="0.25">
      <c r="B38" s="2" t="s">
        <v>65</v>
      </c>
      <c r="O38" s="2">
        <v>146.97300000000001</v>
      </c>
      <c r="P38" s="2">
        <v>154.178</v>
      </c>
      <c r="Q38" s="2">
        <v>144.251</v>
      </c>
      <c r="R38" s="2">
        <v>153.58699999999999</v>
      </c>
      <c r="S38" s="2">
        <v>167.38499999999999</v>
      </c>
      <c r="T38" s="2">
        <v>198.07400000000001</v>
      </c>
      <c r="U38" s="2">
        <v>200.90199999999999</v>
      </c>
      <c r="V38" s="2"/>
      <c r="W38" s="2"/>
      <c r="X38" s="2"/>
      <c r="Y38" s="2"/>
      <c r="Z38" s="2"/>
      <c r="AA38" s="2"/>
      <c r="AT38" t="s">
        <v>89</v>
      </c>
      <c r="AU38" s="14">
        <f>AU37/Main!L2-1</f>
        <v>-0.33806123663200716</v>
      </c>
    </row>
    <row r="39" spans="2:47" x14ac:dyDescent="0.25">
      <c r="B39" t="s">
        <v>64</v>
      </c>
      <c r="O39" s="2">
        <v>303.02199999999999</v>
      </c>
      <c r="P39" s="2">
        <v>330.01</v>
      </c>
      <c r="Q39" s="2">
        <v>377.32</v>
      </c>
      <c r="R39" s="2">
        <v>410.32600000000002</v>
      </c>
      <c r="S39" s="2">
        <v>426.32299999999998</v>
      </c>
      <c r="T39" s="2">
        <v>444.48500000000001</v>
      </c>
      <c r="U39" s="2">
        <v>466.39699999999999</v>
      </c>
      <c r="V39" s="2"/>
      <c r="W39" s="2"/>
      <c r="X39" s="2"/>
      <c r="Y39" s="2"/>
      <c r="Z39" s="2"/>
      <c r="AA39" s="2"/>
    </row>
    <row r="40" spans="2:47" x14ac:dyDescent="0.25">
      <c r="B40" t="s">
        <v>63</v>
      </c>
      <c r="O40" s="2">
        <v>355.06200000000001</v>
      </c>
      <c r="P40" s="2">
        <v>348.97</v>
      </c>
      <c r="Q40" s="2">
        <v>344.68099999999998</v>
      </c>
      <c r="R40" s="2">
        <v>516.86199999999997</v>
      </c>
      <c r="S40" s="2">
        <v>511.11700000000002</v>
      </c>
      <c r="T40" s="2">
        <v>521.101</v>
      </c>
      <c r="U40" s="2">
        <v>516.95899999999995</v>
      </c>
      <c r="V40" s="2"/>
      <c r="W40" s="2"/>
      <c r="X40" s="2"/>
      <c r="Y40" s="2"/>
      <c r="Z40" s="2"/>
      <c r="AA40" s="2"/>
    </row>
    <row r="41" spans="2:47" x14ac:dyDescent="0.25">
      <c r="B41" t="s">
        <v>62</v>
      </c>
      <c r="O41" s="2">
        <f>186.724+1649.097</f>
        <v>1835.8209999999999</v>
      </c>
      <c r="P41" s="2">
        <f>202.671+1692.061</f>
        <v>1894.732</v>
      </c>
      <c r="Q41" s="2">
        <f>183.866+1691.542</f>
        <v>1875.4079999999999</v>
      </c>
      <c r="R41" s="2">
        <f>146.303+1691.827</f>
        <v>1838.13</v>
      </c>
      <c r="S41" s="2">
        <f>127.658+1691.524</f>
        <v>1819.1819999999998</v>
      </c>
      <c r="T41" s="2">
        <f>112.808+1691.317</f>
        <v>1804.125</v>
      </c>
      <c r="U41" s="2">
        <f>98.92+1693.946</f>
        <v>1792.866</v>
      </c>
      <c r="V41" s="2"/>
      <c r="W41" s="2"/>
      <c r="X41" s="2"/>
      <c r="Y41" s="2"/>
      <c r="Z41" s="2"/>
      <c r="AA41" s="2"/>
    </row>
    <row r="42" spans="2:47" x14ac:dyDescent="0.25">
      <c r="B42" t="s">
        <v>61</v>
      </c>
      <c r="O42" s="2">
        <v>251.56899999999999</v>
      </c>
      <c r="P42" s="2">
        <v>252.97300000000001</v>
      </c>
      <c r="Q42" s="2">
        <v>251.23599999999999</v>
      </c>
      <c r="R42" s="2">
        <v>226.59700000000001</v>
      </c>
      <c r="S42" s="2">
        <v>223.982</v>
      </c>
      <c r="T42" s="2">
        <v>229.131</v>
      </c>
      <c r="U42" s="2">
        <v>226.46299999999999</v>
      </c>
      <c r="V42" s="2"/>
      <c r="W42" s="2"/>
      <c r="X42" s="2"/>
      <c r="Y42" s="2"/>
      <c r="Z42" s="2"/>
      <c r="AA42" s="2"/>
    </row>
    <row r="43" spans="2:47" x14ac:dyDescent="0.25">
      <c r="B43" t="s">
        <v>60</v>
      </c>
      <c r="O43" s="2">
        <f>SUM(O36:O42)</f>
        <v>7888.3899999999994</v>
      </c>
      <c r="P43" s="2">
        <f>SUM(P36:P42)</f>
        <v>7666.223</v>
      </c>
      <c r="Q43" s="2">
        <f>SUM(Q36:Q42)</f>
        <v>7722.9049999999997</v>
      </c>
      <c r="R43" s="2">
        <f>SUM(R36:R42)</f>
        <v>7967.7579999999989</v>
      </c>
      <c r="S43" s="2">
        <f>SUM(S36:S42)</f>
        <v>7167.3610000000008</v>
      </c>
      <c r="T43" s="2">
        <f>SUM(T36:T42)</f>
        <v>7420.0389999999989</v>
      </c>
      <c r="U43" s="2">
        <f>SUM(U36:U42)</f>
        <v>7591.4169999999995</v>
      </c>
      <c r="V43" s="2"/>
      <c r="W43" s="2"/>
      <c r="X43" s="2"/>
      <c r="Y43" s="2"/>
      <c r="Z43" s="2"/>
      <c r="AA43" s="2"/>
    </row>
    <row r="44" spans="2:47" x14ac:dyDescent="0.25">
      <c r="P44" s="2"/>
      <c r="Q44" s="2"/>
    </row>
    <row r="45" spans="2:47" x14ac:dyDescent="0.25">
      <c r="B45" t="s">
        <v>67</v>
      </c>
      <c r="O45" s="2">
        <v>141.80000000000001</v>
      </c>
      <c r="P45" s="2">
        <v>163.60400000000001</v>
      </c>
      <c r="Q45" s="2">
        <v>128.536</v>
      </c>
      <c r="R45" s="2">
        <v>278.96100000000001</v>
      </c>
      <c r="S45" s="2">
        <v>246.21700000000001</v>
      </c>
      <c r="T45" s="2">
        <v>179.58600000000001</v>
      </c>
      <c r="U45" s="2">
        <v>157.471</v>
      </c>
      <c r="V45" s="2"/>
      <c r="W45" s="2"/>
      <c r="X45" s="2"/>
      <c r="Y45" s="2"/>
      <c r="Z45" s="2"/>
      <c r="AA45" s="2"/>
    </row>
    <row r="46" spans="2:47" x14ac:dyDescent="0.25">
      <c r="B46" t="s">
        <v>63</v>
      </c>
      <c r="O46" s="2">
        <f>50.787+368.526</f>
        <v>419.31299999999999</v>
      </c>
      <c r="P46" s="2">
        <f>57.893+356.929</f>
        <v>414.822</v>
      </c>
      <c r="Q46" s="2">
        <f>62.111+346.508</f>
        <v>408.61899999999997</v>
      </c>
      <c r="R46">
        <f>49.321+546.279</f>
        <v>595.6</v>
      </c>
      <c r="S46">
        <f>36.649+553.741</f>
        <v>590.39</v>
      </c>
      <c r="T46">
        <f>21.279+579.896</f>
        <v>601.17499999999995</v>
      </c>
      <c r="U46">
        <f>21.311+577.912</f>
        <v>599.22300000000007</v>
      </c>
    </row>
    <row r="47" spans="2:47" x14ac:dyDescent="0.25">
      <c r="B47" t="s">
        <v>68</v>
      </c>
      <c r="O47" s="2">
        <v>898.89700000000005</v>
      </c>
      <c r="P47" s="2">
        <v>716.16700000000003</v>
      </c>
      <c r="Q47" s="2">
        <v>818.91499999999996</v>
      </c>
      <c r="R47" s="2">
        <v>805.83600000000001</v>
      </c>
      <c r="S47" s="2">
        <v>829.57899999999995</v>
      </c>
      <c r="T47" s="2">
        <v>875.11900000000003</v>
      </c>
      <c r="U47" s="2">
        <v>921.39300000000003</v>
      </c>
      <c r="V47" s="2"/>
      <c r="W47" s="2"/>
      <c r="X47" s="2"/>
      <c r="Y47" s="2"/>
      <c r="Z47" s="2"/>
      <c r="AA47" s="2"/>
    </row>
    <row r="48" spans="2:47" x14ac:dyDescent="0.25">
      <c r="B48" t="s">
        <v>69</v>
      </c>
      <c r="O48" s="2">
        <v>3744.2370000000001</v>
      </c>
      <c r="P48" s="2">
        <v>3745.9560000000001</v>
      </c>
      <c r="Q48" s="2">
        <v>3747.6770000000001</v>
      </c>
      <c r="R48" s="2">
        <v>3749.4</v>
      </c>
      <c r="S48" s="2">
        <v>3301.4659999999999</v>
      </c>
      <c r="T48" s="2">
        <f>3602.563+36.17</f>
        <v>3638.7330000000002</v>
      </c>
      <c r="U48" s="2">
        <f>36.191+3605.137</f>
        <v>3641.328</v>
      </c>
      <c r="V48" s="2"/>
      <c r="W48" s="2"/>
      <c r="X48" s="2"/>
      <c r="Y48" s="2"/>
      <c r="Z48" s="2"/>
      <c r="AA48" s="2"/>
    </row>
    <row r="49" spans="2:27" x14ac:dyDescent="0.25">
      <c r="B49" t="s">
        <v>61</v>
      </c>
      <c r="O49" s="2">
        <v>105.703</v>
      </c>
      <c r="P49" s="2">
        <v>120.714</v>
      </c>
      <c r="Q49" s="2">
        <v>126.127</v>
      </c>
      <c r="R49" s="2">
        <v>123.849</v>
      </c>
      <c r="S49" s="2">
        <v>68.400999999999996</v>
      </c>
      <c r="T49" s="2">
        <v>58.704000000000001</v>
      </c>
      <c r="U49" s="2">
        <v>61.927</v>
      </c>
      <c r="V49" s="2"/>
      <c r="W49" s="2"/>
      <c r="X49" s="2"/>
      <c r="Y49" s="2"/>
      <c r="Z49" s="2"/>
      <c r="AA49" s="2"/>
    </row>
    <row r="50" spans="2:27" x14ac:dyDescent="0.25">
      <c r="B50" t="s">
        <v>70</v>
      </c>
      <c r="O50" s="2">
        <v>2578.44</v>
      </c>
      <c r="P50" s="2">
        <v>2504.96</v>
      </c>
      <c r="Q50" s="2">
        <v>2493.0210000000002</v>
      </c>
      <c r="R50" s="2">
        <v>2414.1120000000001</v>
      </c>
      <c r="S50" s="2">
        <v>2131.348</v>
      </c>
      <c r="T50" s="2">
        <v>2066.7220000000002</v>
      </c>
      <c r="U50" s="2">
        <v>2210.0749999999998</v>
      </c>
      <c r="V50" s="2"/>
      <c r="W50" s="2"/>
      <c r="X50" s="2"/>
      <c r="Y50" s="2"/>
      <c r="Z50" s="2"/>
      <c r="AA50" s="2"/>
    </row>
    <row r="51" spans="2:27" x14ac:dyDescent="0.25">
      <c r="B51" t="s">
        <v>71</v>
      </c>
      <c r="O51" s="2">
        <f>SUM(O45:O50)</f>
        <v>7888.3900000000012</v>
      </c>
      <c r="P51" s="2">
        <f>SUM(P45:P50)</f>
        <v>7666.223</v>
      </c>
      <c r="Q51" s="2">
        <f>SUM(Q45:Q50)</f>
        <v>7722.8950000000004</v>
      </c>
      <c r="R51" s="2">
        <f>SUM(R45:R50)</f>
        <v>7967.7580000000007</v>
      </c>
      <c r="S51" s="2">
        <f>SUM(S45:S50)</f>
        <v>7167.4009999999998</v>
      </c>
      <c r="T51" s="2">
        <f>SUM(T45:T50)</f>
        <v>7420.0390000000007</v>
      </c>
      <c r="U51" s="2">
        <f>SUM(U45:U50)</f>
        <v>7591.4169999999995</v>
      </c>
      <c r="V51" s="2"/>
      <c r="W51" s="2"/>
      <c r="X51" s="2"/>
      <c r="Y51" s="2"/>
      <c r="Z51" s="2"/>
      <c r="AA51" s="2"/>
    </row>
    <row r="53" spans="2:27" x14ac:dyDescent="0.25">
      <c r="B53" t="s">
        <v>75</v>
      </c>
      <c r="O53" s="2">
        <f>O37/O15*90</f>
        <v>81.251608322004273</v>
      </c>
      <c r="P53" s="2">
        <f>P37/P15*90</f>
        <v>83.965517402865487</v>
      </c>
      <c r="Q53" s="2">
        <f>Q37/Q15*90</f>
        <v>84.544954318325424</v>
      </c>
      <c r="R53" s="2">
        <f>R37/R15*90</f>
        <v>84.505207204652635</v>
      </c>
      <c r="S53" s="2">
        <f>S37/S15*90</f>
        <v>83.4904454653729</v>
      </c>
      <c r="T53" s="2">
        <f>T37/T15*90</f>
        <v>83.094729845771695</v>
      </c>
      <c r="U53" s="2">
        <f>U37/U15*90</f>
        <v>78.40239579068232</v>
      </c>
      <c r="V53" s="2"/>
      <c r="W53" s="2"/>
      <c r="X53" s="2"/>
      <c r="Y53" s="2"/>
      <c r="Z53" s="2"/>
      <c r="AA53" s="2"/>
    </row>
    <row r="55" spans="2:27" s="2" customFormat="1" x14ac:dyDescent="0.25">
      <c r="B55" s="2" t="s">
        <v>35</v>
      </c>
      <c r="C55" s="3"/>
      <c r="D55" s="3"/>
      <c r="E55" s="3"/>
      <c r="F55" s="3"/>
      <c r="G55" s="3"/>
      <c r="H55" s="3"/>
      <c r="I55" s="3"/>
      <c r="J55" s="3">
        <v>185.52799999999999</v>
      </c>
      <c r="K55" s="3"/>
      <c r="L55" s="3">
        <v>-124.081</v>
      </c>
      <c r="M55" s="3"/>
      <c r="N55" s="3">
        <v>125.291</v>
      </c>
      <c r="O55" s="2">
        <v>151.102</v>
      </c>
      <c r="P55" s="2">
        <v>-81.936000000000007</v>
      </c>
      <c r="Q55" s="2">
        <v>12.781000000000001</v>
      </c>
      <c r="R55" s="2">
        <f>246.521-Q55-P55-O55</f>
        <v>164.57399999999998</v>
      </c>
      <c r="S55" s="2">
        <v>88.352000000000004</v>
      </c>
      <c r="T55" s="2">
        <v>-21.376999999999999</v>
      </c>
      <c r="U55" s="2">
        <v>115.872</v>
      </c>
    </row>
    <row r="56" spans="2:27" s="2" customFormat="1" x14ac:dyDescent="0.25">
      <c r="B56" s="2" t="s">
        <v>34</v>
      </c>
      <c r="C56" s="3"/>
      <c r="D56" s="3"/>
      <c r="E56" s="3"/>
      <c r="F56" s="3"/>
      <c r="G56" s="3"/>
      <c r="H56" s="3"/>
      <c r="I56" s="3"/>
      <c r="J56" s="3">
        <v>-24.565000000000001</v>
      </c>
      <c r="K56" s="3"/>
      <c r="L56" s="3">
        <v>-23.37</v>
      </c>
      <c r="M56" s="3"/>
      <c r="N56" s="3">
        <v>-46.924999999999997</v>
      </c>
      <c r="O56" s="2">
        <v>-47.63</v>
      </c>
      <c r="P56" s="2">
        <v>-36.942999999999998</v>
      </c>
      <c r="Q56" s="2">
        <v>-73.435000000000002</v>
      </c>
      <c r="R56" s="2">
        <f>-211.727-Q56-P56-O56</f>
        <v>-53.719000000000001</v>
      </c>
      <c r="S56" s="2">
        <v>-50.448</v>
      </c>
      <c r="T56" s="2">
        <v>-52.061999999999998</v>
      </c>
      <c r="U56" s="2">
        <v>-44.040999999999997</v>
      </c>
    </row>
    <row r="57" spans="2:27" s="2" customFormat="1" x14ac:dyDescent="0.25">
      <c r="B57" s="2" t="s">
        <v>33</v>
      </c>
      <c r="C57" s="3"/>
      <c r="D57" s="3"/>
      <c r="E57" s="3"/>
      <c r="F57" s="3"/>
      <c r="G57" s="3"/>
      <c r="H57" s="3"/>
      <c r="I57" s="3"/>
      <c r="J57" s="3">
        <f>+J55+J56</f>
        <v>160.96299999999999</v>
      </c>
      <c r="K57" s="3"/>
      <c r="L57" s="3">
        <f>+L55+L56</f>
        <v>-147.45099999999999</v>
      </c>
      <c r="M57" s="3"/>
      <c r="N57" s="3">
        <f>+N55+N56</f>
        <v>78.366</v>
      </c>
      <c r="O57" s="3">
        <f>+O55+O56</f>
        <v>103.47200000000001</v>
      </c>
      <c r="P57" s="3">
        <f>+P55+P56</f>
        <v>-118.879</v>
      </c>
      <c r="Q57" s="3">
        <f>+Q55+Q56</f>
        <v>-60.654000000000003</v>
      </c>
      <c r="R57" s="3">
        <f>+R55+R56</f>
        <v>110.85499999999999</v>
      </c>
      <c r="S57" s="3">
        <f>+S55+S56</f>
        <v>37.904000000000003</v>
      </c>
      <c r="T57" s="3">
        <f>+T55+T56</f>
        <v>-73.438999999999993</v>
      </c>
      <c r="U57" s="3">
        <f>+U55+U56</f>
        <v>71.831000000000003</v>
      </c>
    </row>
    <row r="59" spans="2:27" s="2" customFormat="1" x14ac:dyDescent="0.25">
      <c r="B59" s="2" t="s">
        <v>40</v>
      </c>
      <c r="C59" s="3"/>
      <c r="D59" s="3"/>
      <c r="E59" s="3"/>
      <c r="F59" s="3"/>
      <c r="G59" s="3">
        <v>4043</v>
      </c>
      <c r="H59" s="3">
        <v>4667</v>
      </c>
      <c r="I59" s="3">
        <v>5190</v>
      </c>
      <c r="J59" s="3">
        <v>5661</v>
      </c>
      <c r="K59" s="3">
        <v>6131</v>
      </c>
      <c r="L59" s="3">
        <v>6446</v>
      </c>
      <c r="M59" s="3">
        <v>5706</v>
      </c>
      <c r="N59" s="3">
        <v>5288</v>
      </c>
      <c r="O59" s="2">
        <v>5201</v>
      </c>
      <c r="P59" s="2">
        <v>5286</v>
      </c>
      <c r="Q59" s="2">
        <v>5367</v>
      </c>
      <c r="R59" s="2">
        <v>5289</v>
      </c>
      <c r="S59" s="2">
        <v>4835</v>
      </c>
      <c r="T59" s="2">
        <v>4719</v>
      </c>
    </row>
    <row r="60" spans="2:27" x14ac:dyDescent="0.25">
      <c r="K60" s="5">
        <f>+K59/G59-1</f>
        <v>0.51644818204303733</v>
      </c>
      <c r="L60" s="5">
        <f>+L59/H59-1</f>
        <v>0.38118705806728093</v>
      </c>
      <c r="M60" s="5">
        <f>+M59/I59-1</f>
        <v>9.9421965317919136E-2</v>
      </c>
      <c r="N60" s="5">
        <f>+N59/J59-1</f>
        <v>-6.5889418830595292E-2</v>
      </c>
      <c r="O60" s="5">
        <f>+O59/K59-1</f>
        <v>-0.15168814222802152</v>
      </c>
      <c r="P60" s="5">
        <f>+P59/L59-1</f>
        <v>-0.17995656220912193</v>
      </c>
      <c r="Q60" s="5">
        <f>+Q59/M59-1</f>
        <v>-5.9411146161934769E-2</v>
      </c>
      <c r="R60" s="5">
        <f>+R59/N59-1</f>
        <v>1.8910741301048084E-4</v>
      </c>
      <c r="S60" s="5">
        <f>+S59/O59-1</f>
        <v>-7.0371082484137704E-2</v>
      </c>
      <c r="T60" s="5">
        <f>+T59/P59-1</f>
        <v>-0.10726447219069235</v>
      </c>
      <c r="U60" s="5"/>
      <c r="V60" s="5"/>
      <c r="W60" s="5"/>
      <c r="X60" s="5"/>
      <c r="Y60" s="5"/>
      <c r="Z60" s="5"/>
      <c r="AA60" s="5"/>
    </row>
  </sheetData>
  <hyperlinks>
    <hyperlink ref="A1" location="Main!A1" display="Main" xr:uid="{A60F2DBC-121C-4F1B-93EA-F88FABBCBBE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Sebastian Szewczyk</cp:lastModifiedBy>
  <dcterms:created xsi:type="dcterms:W3CDTF">2022-07-21T20:23:43Z</dcterms:created>
  <dcterms:modified xsi:type="dcterms:W3CDTF">2024-11-12T17:27:28Z</dcterms:modified>
</cp:coreProperties>
</file>