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1151" documentId="13_ncr:1_{A1D1FD49-C305-484C-97A1-FCBE3FBD7FE0}" xr6:coauthVersionLast="47" xr6:coauthVersionMax="47" xr10:uidLastSave="{369FCB96-8718-49E4-B98C-6CBD7FADEE8D}"/>
  <bookViews>
    <workbookView xWindow="19335" yWindow="0" windowWidth="19170" windowHeight="20985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67" i="2" l="1"/>
  <c r="BP67" i="2"/>
  <c r="BO67" i="2"/>
  <c r="BN67" i="2"/>
  <c r="BM67" i="2"/>
  <c r="BL67" i="2"/>
  <c r="BK67" i="2"/>
  <c r="BJ67" i="2"/>
  <c r="BI67" i="2"/>
  <c r="BH67" i="2"/>
  <c r="AV67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BG58" i="2"/>
  <c r="AW58" i="2"/>
  <c r="BC57" i="2"/>
  <c r="BG56" i="2"/>
  <c r="BF56" i="2"/>
  <c r="BE56" i="2"/>
  <c r="BD56" i="2"/>
  <c r="BC56" i="2"/>
  <c r="BB56" i="2"/>
  <c r="BA56" i="2"/>
  <c r="AZ56" i="2"/>
  <c r="AY56" i="2"/>
  <c r="AX56" i="2"/>
  <c r="AX55" i="2"/>
  <c r="AX54" i="2"/>
  <c r="AX53" i="2"/>
  <c r="AX52" i="2"/>
  <c r="AW52" i="2"/>
  <c r="AW56" i="2" s="1"/>
  <c r="BG47" i="2"/>
  <c r="BG46" i="2"/>
  <c r="BF47" i="2"/>
  <c r="BF46" i="2"/>
  <c r="BE47" i="2"/>
  <c r="BE46" i="2"/>
  <c r="BD47" i="2"/>
  <c r="BD46" i="2"/>
  <c r="BC47" i="2"/>
  <c r="BC46" i="2"/>
  <c r="BB47" i="2"/>
  <c r="BB46" i="2"/>
  <c r="BA47" i="2"/>
  <c r="BA46" i="2"/>
  <c r="AZ47" i="2"/>
  <c r="AZ46" i="2"/>
  <c r="AY47" i="2"/>
  <c r="AY46" i="2"/>
  <c r="AX47" i="2"/>
  <c r="AX46" i="2"/>
  <c r="AW54" i="2"/>
  <c r="AD53" i="2"/>
  <c r="AD56" i="2"/>
  <c r="AD59" i="2"/>
  <c r="AV56" i="2"/>
  <c r="AW53" i="2"/>
  <c r="BB53" i="2"/>
  <c r="AV53" i="2"/>
  <c r="BG50" i="2"/>
  <c r="BG48" i="2"/>
  <c r="BF48" i="2"/>
  <c r="BF51" i="2" s="1"/>
  <c r="BE48" i="2"/>
  <c r="BD48" i="2"/>
  <c r="BC48" i="2"/>
  <c r="BB48" i="2"/>
  <c r="BA48" i="2"/>
  <c r="AZ48" i="2"/>
  <c r="AY48" i="2"/>
  <c r="AX48" i="2"/>
  <c r="AW48" i="2"/>
  <c r="AV51" i="2"/>
  <c r="BG52" i="2"/>
  <c r="BF52" i="2"/>
  <c r="BE52" i="2"/>
  <c r="BD52" i="2"/>
  <c r="BC52" i="2"/>
  <c r="BB52" i="2"/>
  <c r="BA52" i="2"/>
  <c r="AZ52" i="2"/>
  <c r="AY52" i="2"/>
  <c r="AW51" i="2"/>
  <c r="AW75" i="2"/>
  <c r="AV52" i="2"/>
  <c r="AA59" i="2"/>
  <c r="AD60" i="2"/>
  <c r="AG59" i="2"/>
  <c r="BF50" i="2"/>
  <c r="BE50" i="2"/>
  <c r="BD50" i="2"/>
  <c r="BC50" i="2"/>
  <c r="BC58" i="2"/>
  <c r="BB58" i="2"/>
  <c r="BA58" i="2"/>
  <c r="AZ58" i="2"/>
  <c r="AY58" i="2"/>
  <c r="AX58" i="2"/>
  <c r="BG57" i="2"/>
  <c r="BF57" i="2"/>
  <c r="BE57" i="2"/>
  <c r="BD57" i="2"/>
  <c r="BB57" i="2"/>
  <c r="BA57" i="2"/>
  <c r="AZ57" i="2"/>
  <c r="AY57" i="2"/>
  <c r="AX57" i="2"/>
  <c r="AW57" i="2"/>
  <c r="AU57" i="2"/>
  <c r="AV57" i="2"/>
  <c r="BG55" i="2"/>
  <c r="BF55" i="2"/>
  <c r="BE55" i="2"/>
  <c r="BD55" i="2"/>
  <c r="BC55" i="2"/>
  <c r="AW55" i="2"/>
  <c r="BB55" i="2"/>
  <c r="BA55" i="2"/>
  <c r="AZ55" i="2"/>
  <c r="AY55" i="2"/>
  <c r="AV55" i="2"/>
  <c r="BG54" i="2"/>
  <c r="BF54" i="2"/>
  <c r="BE54" i="2"/>
  <c r="BD54" i="2"/>
  <c r="BC54" i="2"/>
  <c r="BB54" i="2"/>
  <c r="BA54" i="2"/>
  <c r="AZ54" i="2"/>
  <c r="AY54" i="2"/>
  <c r="BG75" i="2"/>
  <c r="BF75" i="2"/>
  <c r="BE75" i="2"/>
  <c r="BD75" i="2"/>
  <c r="BC75" i="2"/>
  <c r="BB75" i="2"/>
  <c r="BA75" i="2"/>
  <c r="AZ75" i="2"/>
  <c r="AY75" i="2"/>
  <c r="AX75" i="2"/>
  <c r="BG53" i="2"/>
  <c r="BF53" i="2"/>
  <c r="BE53" i="2"/>
  <c r="BD53" i="2"/>
  <c r="BC53" i="2"/>
  <c r="BA53" i="2"/>
  <c r="AZ53" i="2"/>
  <c r="AX51" i="2"/>
  <c r="AX37" i="2"/>
  <c r="AX45" i="2"/>
  <c r="AW45" i="2"/>
  <c r="AA53" i="2"/>
  <c r="AB53" i="2"/>
  <c r="AC53" i="2"/>
  <c r="AE53" i="2"/>
  <c r="AF53" i="2"/>
  <c r="AG53" i="2"/>
  <c r="AH53" i="2"/>
  <c r="AS53" i="2"/>
  <c r="AT53" i="2"/>
  <c r="AU53" i="2"/>
  <c r="BE58" i="2"/>
  <c r="BD58" i="2"/>
  <c r="BB50" i="2"/>
  <c r="BA50" i="2"/>
  <c r="AZ50" i="2"/>
  <c r="AY50" i="2"/>
  <c r="AX50" i="2"/>
  <c r="AW50" i="2"/>
  <c r="BD49" i="2"/>
  <c r="BC49" i="2"/>
  <c r="AZ49" i="2"/>
  <c r="AY49" i="2"/>
  <c r="AX49" i="2"/>
  <c r="AW49" i="2"/>
  <c r="AV48" i="2"/>
  <c r="AX44" i="2"/>
  <c r="AX42" i="2"/>
  <c r="BG42" i="2"/>
  <c r="BF42" i="2"/>
  <c r="BE42" i="2"/>
  <c r="BD42" i="2"/>
  <c r="BC42" i="2"/>
  <c r="BB42" i="2"/>
  <c r="BA42" i="2"/>
  <c r="AZ42" i="2"/>
  <c r="AY42" i="2"/>
  <c r="AW42" i="2"/>
  <c r="AW47" i="2"/>
  <c r="AW46" i="2"/>
  <c r="AW44" i="2"/>
  <c r="AV44" i="2"/>
  <c r="AW41" i="2"/>
  <c r="AW40" i="2"/>
  <c r="AV40" i="2"/>
  <c r="AW38" i="2"/>
  <c r="AX38" i="2" s="1"/>
  <c r="AV45" i="2"/>
  <c r="AV38" i="2" s="1"/>
  <c r="AU38" i="2"/>
  <c r="AW37" i="2"/>
  <c r="AV37" i="2"/>
  <c r="AW36" i="2"/>
  <c r="AW35" i="2"/>
  <c r="AV35" i="2"/>
  <c r="AV60" i="2"/>
  <c r="AV46" i="2"/>
  <c r="AV47" i="2"/>
  <c r="AU48" i="2"/>
  <c r="AD52" i="2"/>
  <c r="AH52" i="2" s="1"/>
  <c r="AE52" i="2"/>
  <c r="AF52" i="2"/>
  <c r="AG52" i="2"/>
  <c r="AG50" i="2"/>
  <c r="AF50" i="2"/>
  <c r="AE50" i="2"/>
  <c r="AH49" i="2"/>
  <c r="AG49" i="2"/>
  <c r="AF49" i="2"/>
  <c r="AE49" i="2"/>
  <c r="AG46" i="2"/>
  <c r="AF46" i="2"/>
  <c r="AE46" i="2"/>
  <c r="AG47" i="2"/>
  <c r="AF47" i="2"/>
  <c r="AE47" i="2"/>
  <c r="AH45" i="2"/>
  <c r="AG45" i="2"/>
  <c r="AG74" i="2" s="1"/>
  <c r="AF45" i="2"/>
  <c r="AF48" i="2" s="1"/>
  <c r="AE45" i="2"/>
  <c r="AE48" i="2" s="1"/>
  <c r="AE51" i="2" s="1"/>
  <c r="AE59" i="2" s="1"/>
  <c r="AG41" i="2"/>
  <c r="AF41" i="2"/>
  <c r="AE41" i="2"/>
  <c r="AG40" i="2"/>
  <c r="AF40" i="2"/>
  <c r="AE40" i="2"/>
  <c r="AH36" i="2"/>
  <c r="AG36" i="2"/>
  <c r="AF36" i="2"/>
  <c r="AE36" i="2"/>
  <c r="AG35" i="2"/>
  <c r="AF35" i="2"/>
  <c r="AE35" i="2"/>
  <c r="AQ36" i="2"/>
  <c r="AD48" i="2"/>
  <c r="AH74" i="2"/>
  <c r="AE74" i="2"/>
  <c r="AD61" i="2"/>
  <c r="AE61" i="2" s="1"/>
  <c r="AF61" i="2" s="1"/>
  <c r="AG61" i="2" s="1"/>
  <c r="AH61" i="2" s="1"/>
  <c r="AD62" i="2"/>
  <c r="AD58" i="2"/>
  <c r="AD57" i="2"/>
  <c r="AD49" i="2"/>
  <c r="AD50" i="2"/>
  <c r="AH50" i="2" s="1"/>
  <c r="AD47" i="2"/>
  <c r="AH47" i="2" s="1"/>
  <c r="AD46" i="2"/>
  <c r="AH46" i="2" s="1"/>
  <c r="AD45" i="2"/>
  <c r="AD75" i="2" s="1"/>
  <c r="AD41" i="2"/>
  <c r="AH41" i="2" s="1"/>
  <c r="AD40" i="2"/>
  <c r="AH40" i="2" s="1"/>
  <c r="AD36" i="2"/>
  <c r="AD35" i="2"/>
  <c r="AH35" i="2" s="1"/>
  <c r="AC11" i="2"/>
  <c r="AA11" i="2"/>
  <c r="AB11" i="2"/>
  <c r="AC21" i="2"/>
  <c r="AB8" i="2"/>
  <c r="AB29" i="2" s="1"/>
  <c r="AC8" i="2"/>
  <c r="AC29" i="2" s="1"/>
  <c r="AC15" i="2"/>
  <c r="AC26" i="2" s="1"/>
  <c r="AA16" i="2"/>
  <c r="AB25" i="2"/>
  <c r="AC25" i="2"/>
  <c r="AC20" i="2"/>
  <c r="AC30" i="2"/>
  <c r="AC3" i="2"/>
  <c r="AC14" i="2"/>
  <c r="AA14" i="2"/>
  <c r="AC28" i="2"/>
  <c r="AC4" i="2"/>
  <c r="AC23" i="2" s="1"/>
  <c r="AB4" i="2"/>
  <c r="AC42" i="2"/>
  <c r="AC37" i="2"/>
  <c r="AG37" i="2" s="1"/>
  <c r="AG72" i="2" s="1"/>
  <c r="AC9" i="2"/>
  <c r="AB3" i="2"/>
  <c r="AB24" i="2" s="1"/>
  <c r="AB9" i="2"/>
  <c r="AB28" i="2"/>
  <c r="AB23" i="2"/>
  <c r="AC114" i="2"/>
  <c r="AC74" i="2"/>
  <c r="AC112" i="2"/>
  <c r="AC110" i="2"/>
  <c r="AC106" i="2"/>
  <c r="AC105" i="2"/>
  <c r="AC104" i="2"/>
  <c r="AC95" i="2"/>
  <c r="AC64" i="2"/>
  <c r="AC62" i="2"/>
  <c r="AC56" i="2"/>
  <c r="AC59" i="2" s="1"/>
  <c r="AC75" i="2"/>
  <c r="AC48" i="2"/>
  <c r="AC51" i="2" s="1"/>
  <c r="BG51" i="2" l="1"/>
  <c r="BE51" i="2"/>
  <c r="BD51" i="2"/>
  <c r="AY51" i="2"/>
  <c r="AY38" i="2"/>
  <c r="BE49" i="2"/>
  <c r="BF49" i="2" s="1"/>
  <c r="BG49" i="2" s="1"/>
  <c r="BA49" i="2"/>
  <c r="BB49" i="2" s="1"/>
  <c r="AY37" i="2"/>
  <c r="AH48" i="2"/>
  <c r="AC76" i="2"/>
  <c r="AC63" i="2"/>
  <c r="AC65" i="2" s="1"/>
  <c r="AE60" i="2"/>
  <c r="AF60" i="2" s="1"/>
  <c r="AG60" i="2" s="1"/>
  <c r="AH60" i="2" s="1"/>
  <c r="AC38" i="2"/>
  <c r="AE75" i="2"/>
  <c r="AC73" i="2"/>
  <c r="AG42" i="2"/>
  <c r="AG73" i="2" s="1"/>
  <c r="AC115" i="2"/>
  <c r="AD74" i="2"/>
  <c r="AD51" i="2"/>
  <c r="AH62" i="2"/>
  <c r="AG62" i="2"/>
  <c r="AF62" i="2"/>
  <c r="AE62" i="2"/>
  <c r="AE63" i="2" s="1"/>
  <c r="AE65" i="2" s="1"/>
  <c r="AF75" i="2"/>
  <c r="AF51" i="2"/>
  <c r="AG48" i="2"/>
  <c r="AG51" i="2" s="1"/>
  <c r="AH75" i="2"/>
  <c r="AG75" i="2"/>
  <c r="AG38" i="2"/>
  <c r="AF74" i="2"/>
  <c r="AH51" i="2"/>
  <c r="AD63" i="2"/>
  <c r="AD65" i="2" s="1"/>
  <c r="AE76" i="2"/>
  <c r="AC31" i="2"/>
  <c r="AC24" i="2"/>
  <c r="AC94" i="2"/>
  <c r="AV69" i="2"/>
  <c r="AU121" i="2"/>
  <c r="AU122" i="2"/>
  <c r="Z114" i="2"/>
  <c r="Z112" i="2"/>
  <c r="Z110" i="2"/>
  <c r="Z105" i="2"/>
  <c r="Z104" i="2"/>
  <c r="Z95" i="2"/>
  <c r="AS52" i="2"/>
  <c r="AP9" i="2"/>
  <c r="S110" i="2"/>
  <c r="T110" i="2"/>
  <c r="U110" i="2"/>
  <c r="W110" i="2"/>
  <c r="AA110" i="2"/>
  <c r="AB110" i="2"/>
  <c r="AU41" i="2"/>
  <c r="AU40" i="2"/>
  <c r="AU90" i="2"/>
  <c r="AS90" i="2"/>
  <c r="AB15" i="2"/>
  <c r="AB26" i="2" s="1"/>
  <c r="AA7" i="2"/>
  <c r="W18" i="2"/>
  <c r="AA18" i="2"/>
  <c r="W16" i="2"/>
  <c r="X8" i="2"/>
  <c r="W14" i="2"/>
  <c r="AA3" i="2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10" i="2"/>
  <c r="X17" i="2"/>
  <c r="AB17" i="2"/>
  <c r="AS2" i="2"/>
  <c r="AT2" i="2" s="1"/>
  <c r="AU2" i="2" s="1"/>
  <c r="AV41" i="2"/>
  <c r="AB74" i="2"/>
  <c r="AV54" i="2"/>
  <c r="AU45" i="2"/>
  <c r="AU9" i="2" s="1"/>
  <c r="AB114" i="2"/>
  <c r="AB112" i="2"/>
  <c r="AB105" i="2"/>
  <c r="AB104" i="2"/>
  <c r="AB95" i="2"/>
  <c r="AB91" i="2"/>
  <c r="AB66" i="2"/>
  <c r="AB64" i="2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A75" i="2"/>
  <c r="AB42" i="2"/>
  <c r="AF42" i="2" s="1"/>
  <c r="AF73" i="2" s="1"/>
  <c r="AB37" i="2"/>
  <c r="AU36" i="2"/>
  <c r="AU35" i="2"/>
  <c r="AU50" i="2"/>
  <c r="AU49" i="2"/>
  <c r="AU47" i="2"/>
  <c r="AU46" i="2"/>
  <c r="AA37" i="2"/>
  <c r="Z37" i="2"/>
  <c r="Y37" i="2"/>
  <c r="Y20" i="2" s="1"/>
  <c r="X37" i="2"/>
  <c r="AA42" i="2"/>
  <c r="AE42" i="2" s="1"/>
  <c r="AE73" i="2" s="1"/>
  <c r="Z42" i="2"/>
  <c r="AD42" i="2" s="1"/>
  <c r="Y42" i="2"/>
  <c r="X42" i="2"/>
  <c r="AA74" i="2"/>
  <c r="AA66" i="2"/>
  <c r="Y66" i="2"/>
  <c r="X66" i="2"/>
  <c r="W66" i="2"/>
  <c r="AA64" i="2"/>
  <c r="Z64" i="2"/>
  <c r="AD64" i="2" s="1"/>
  <c r="AE64" i="2" s="1"/>
  <c r="AF64" i="2" s="1"/>
  <c r="AG64" i="2" s="1"/>
  <c r="AH64" i="2" s="1"/>
  <c r="Y64" i="2"/>
  <c r="X64" i="2"/>
  <c r="AA62" i="2"/>
  <c r="AA48" i="2"/>
  <c r="AA56" i="2" s="1"/>
  <c r="AM51" i="2"/>
  <c r="AN71" i="2" s="1"/>
  <c r="AL51" i="2"/>
  <c r="AK51" i="2"/>
  <c r="AP71" i="2"/>
  <c r="AO71" i="2"/>
  <c r="AT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37" i="2"/>
  <c r="AA72" i="2" s="1"/>
  <c r="W74" i="2"/>
  <c r="V42" i="2"/>
  <c r="O74" i="2"/>
  <c r="M74" i="2"/>
  <c r="L74" i="2"/>
  <c r="K74" i="2"/>
  <c r="AQ50" i="2"/>
  <c r="AQ49" i="2"/>
  <c r="AQ47" i="2"/>
  <c r="AQ46" i="2"/>
  <c r="AQ45" i="2"/>
  <c r="AQ9" i="2" s="1"/>
  <c r="AR50" i="2"/>
  <c r="AR49" i="2"/>
  <c r="AR47" i="2"/>
  <c r="AR46" i="2"/>
  <c r="AR41" i="2"/>
  <c r="AR40" i="2"/>
  <c r="AR36" i="2"/>
  <c r="AR35" i="2"/>
  <c r="AQ41" i="2"/>
  <c r="AQ40" i="2"/>
  <c r="AQ42" i="2" s="1"/>
  <c r="AQ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S36" i="2"/>
  <c r="AS35" i="2"/>
  <c r="AS49" i="2"/>
  <c r="AS41" i="2"/>
  <c r="AS40" i="2"/>
  <c r="AT41" i="2"/>
  <c r="AT40" i="2"/>
  <c r="AT36" i="2"/>
  <c r="AT35" i="2"/>
  <c r="V37" i="2"/>
  <c r="V20" i="2" s="1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S50" i="2"/>
  <c r="AS47" i="2"/>
  <c r="AS46" i="2"/>
  <c r="AT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F58" i="2" l="1"/>
  <c r="AY45" i="2"/>
  <c r="AZ38" i="2"/>
  <c r="AH59" i="2"/>
  <c r="AH63" i="2" s="1"/>
  <c r="AH65" i="2" s="1"/>
  <c r="AH66" i="2" s="1"/>
  <c r="AH67" i="2" s="1"/>
  <c r="AH68" i="2" s="1"/>
  <c r="AH42" i="2"/>
  <c r="AH73" i="2" s="1"/>
  <c r="AD73" i="2"/>
  <c r="AB20" i="2"/>
  <c r="AB30" i="2" s="1"/>
  <c r="AB38" i="2"/>
  <c r="AF37" i="2"/>
  <c r="AC72" i="2"/>
  <c r="AB72" i="2"/>
  <c r="W38" i="2"/>
  <c r="W20" i="2"/>
  <c r="X38" i="2"/>
  <c r="X20" i="2"/>
  <c r="AC67" i="2"/>
  <c r="AC77" i="2"/>
  <c r="AB27" i="2"/>
  <c r="AG71" i="2"/>
  <c r="AG76" i="2"/>
  <c r="AA20" i="2"/>
  <c r="AE37" i="2"/>
  <c r="AB31" i="2"/>
  <c r="AD76" i="2"/>
  <c r="Z20" i="2"/>
  <c r="AD37" i="2"/>
  <c r="AF59" i="2"/>
  <c r="AE66" i="2"/>
  <c r="AE67" i="2" s="1"/>
  <c r="AE68" i="2" s="1"/>
  <c r="AG63" i="2"/>
  <c r="AG65" i="2" s="1"/>
  <c r="AG66" i="2" s="1"/>
  <c r="AG77" i="2" s="1"/>
  <c r="AH77" i="2"/>
  <c r="AE77" i="2"/>
  <c r="AH71" i="2"/>
  <c r="AD66" i="2"/>
  <c r="AD77" i="2" s="1"/>
  <c r="Z115" i="2"/>
  <c r="AV36" i="2"/>
  <c r="AV42" i="2"/>
  <c r="AS88" i="2"/>
  <c r="AS91" i="2" s="1"/>
  <c r="AU88" i="2"/>
  <c r="AU91" i="2" s="1"/>
  <c r="AT90" i="2"/>
  <c r="AV2" i="2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X73" i="2"/>
  <c r="AU37" i="2"/>
  <c r="AU20" i="2" s="1"/>
  <c r="P9" i="2"/>
  <c r="R9" i="2"/>
  <c r="Q9" i="2"/>
  <c r="N9" i="2"/>
  <c r="AB94" i="2"/>
  <c r="AW60" i="2"/>
  <c r="AV61" i="2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AB73" i="2"/>
  <c r="AB92" i="2"/>
  <c r="AQ37" i="2"/>
  <c r="AQ38" i="2" s="1"/>
  <c r="AU42" i="2"/>
  <c r="AB106" i="2"/>
  <c r="AV64" i="2"/>
  <c r="AV50" i="2"/>
  <c r="AT37" i="2"/>
  <c r="AV58" i="2"/>
  <c r="AV49" i="2"/>
  <c r="AB115" i="2"/>
  <c r="AA115" i="2"/>
  <c r="Y73" i="2"/>
  <c r="AL71" i="2"/>
  <c r="Z73" i="2"/>
  <c r="AA73" i="2"/>
  <c r="Z92" i="2"/>
  <c r="Z72" i="2"/>
  <c r="N38" i="2"/>
  <c r="Y72" i="2"/>
  <c r="AU51" i="2"/>
  <c r="AM71" i="2"/>
  <c r="AB62" i="2"/>
  <c r="Y38" i="2"/>
  <c r="R38" i="2"/>
  <c r="Y92" i="2"/>
  <c r="X72" i="2"/>
  <c r="P38" i="2"/>
  <c r="Q38" i="2"/>
  <c r="AA92" i="2"/>
  <c r="AA63" i="2"/>
  <c r="AA65" i="2" s="1"/>
  <c r="AA67" i="2" s="1"/>
  <c r="Z38" i="2"/>
  <c r="AA38" i="2"/>
  <c r="AA51" i="2"/>
  <c r="AE71" i="2" s="1"/>
  <c r="K7" i="1"/>
  <c r="AU64" i="2"/>
  <c r="K73" i="2"/>
  <c r="W94" i="2"/>
  <c r="AQ48" i="2"/>
  <c r="AQ51" i="2" s="1"/>
  <c r="AQ71" i="2" s="1"/>
  <c r="AU58" i="2"/>
  <c r="V62" i="2"/>
  <c r="W115" i="2"/>
  <c r="AT61" i="2"/>
  <c r="AT62" i="2" s="1"/>
  <c r="T73" i="2"/>
  <c r="W59" i="2"/>
  <c r="W63" i="2" s="1"/>
  <c r="AU55" i="2"/>
  <c r="W106" i="2"/>
  <c r="P73" i="2"/>
  <c r="AS42" i="2"/>
  <c r="O73" i="2"/>
  <c r="R73" i="2"/>
  <c r="AT42" i="2"/>
  <c r="AR37" i="2"/>
  <c r="AR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R45" i="2"/>
  <c r="AR9" i="2" s="1"/>
  <c r="N72" i="2"/>
  <c r="S72" i="2"/>
  <c r="L73" i="2"/>
  <c r="J51" i="2"/>
  <c r="J76" i="2" s="1"/>
  <c r="P74" i="2"/>
  <c r="AS37" i="2"/>
  <c r="J63" i="2"/>
  <c r="J65" i="2" s="1"/>
  <c r="J67" i="2" s="1"/>
  <c r="J68" i="2" s="1"/>
  <c r="K63" i="2"/>
  <c r="K65" i="2" s="1"/>
  <c r="K67" i="2" s="1"/>
  <c r="K68" i="2" s="1"/>
  <c r="AU69" i="2"/>
  <c r="N74" i="2"/>
  <c r="G51" i="2"/>
  <c r="G76" i="2" s="1"/>
  <c r="K51" i="2"/>
  <c r="O72" i="2"/>
  <c r="AT58" i="2"/>
  <c r="T72" i="2"/>
  <c r="W73" i="2"/>
  <c r="V72" i="2"/>
  <c r="U72" i="2"/>
  <c r="W72" i="2"/>
  <c r="G63" i="2"/>
  <c r="G65" i="2" s="1"/>
  <c r="G67" i="2" s="1"/>
  <c r="G68" i="2" s="1"/>
  <c r="AT50" i="2"/>
  <c r="R74" i="2"/>
  <c r="T74" i="2"/>
  <c r="U74" i="2"/>
  <c r="AS45" i="2"/>
  <c r="AS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U61" i="2"/>
  <c r="AT55" i="2"/>
  <c r="V45" i="2"/>
  <c r="AT45" i="2" s="1"/>
  <c r="AT9" i="2" s="1"/>
  <c r="AU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T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T46" i="2"/>
  <c r="AT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S76" i="2" s="1"/>
  <c r="BA38" i="2" l="1"/>
  <c r="BB38" i="2" s="1"/>
  <c r="BC38" i="2" s="1"/>
  <c r="BD38" i="2" s="1"/>
  <c r="BE38" i="2" s="1"/>
  <c r="BF38" i="2" s="1"/>
  <c r="BG38" i="2" s="1"/>
  <c r="AZ45" i="2"/>
  <c r="K77" i="2"/>
  <c r="L77" i="2"/>
  <c r="AE72" i="2"/>
  <c r="AE38" i="2"/>
  <c r="AA77" i="2"/>
  <c r="H77" i="2"/>
  <c r="I77" i="2"/>
  <c r="AC79" i="2"/>
  <c r="AC68" i="2"/>
  <c r="T77" i="2"/>
  <c r="AF72" i="2"/>
  <c r="AF38" i="2"/>
  <c r="M77" i="2"/>
  <c r="O77" i="2"/>
  <c r="AF63" i="2"/>
  <c r="AF65" i="2" s="1"/>
  <c r="AF66" i="2" s="1"/>
  <c r="AF76" i="2"/>
  <c r="AD72" i="2"/>
  <c r="AH37" i="2"/>
  <c r="AD38" i="2"/>
  <c r="J77" i="2"/>
  <c r="G77" i="2"/>
  <c r="S77" i="2"/>
  <c r="N77" i="2"/>
  <c r="AH76" i="2"/>
  <c r="AG67" i="2"/>
  <c r="AG68" i="2" s="1"/>
  <c r="AD67" i="2"/>
  <c r="AD68" i="2" s="1"/>
  <c r="AX60" i="2"/>
  <c r="AY60" i="2" s="1"/>
  <c r="AZ60" i="2" s="1"/>
  <c r="BA60" i="2" s="1"/>
  <c r="BB60" i="2" s="1"/>
  <c r="BC60" i="2" s="1"/>
  <c r="AW62" i="2"/>
  <c r="AV118" i="2"/>
  <c r="AU123" i="2"/>
  <c r="U91" i="2"/>
  <c r="X92" i="2" s="1"/>
  <c r="AT88" i="2"/>
  <c r="AT91" i="2" s="1"/>
  <c r="AV73" i="2"/>
  <c r="AU72" i="2"/>
  <c r="V38" i="2"/>
  <c r="V9" i="2"/>
  <c r="AR72" i="2"/>
  <c r="AY69" i="2"/>
  <c r="AZ69" i="2" s="1"/>
  <c r="BA69" i="2" s="1"/>
  <c r="BB69" i="2" s="1"/>
  <c r="BC69" i="2" s="1"/>
  <c r="BD69" i="2" s="1"/>
  <c r="BE69" i="2" s="1"/>
  <c r="BF69" i="2" s="1"/>
  <c r="AA71" i="2"/>
  <c r="W76" i="2"/>
  <c r="AA68" i="2"/>
  <c r="AA79" i="2"/>
  <c r="AA76" i="2"/>
  <c r="T92" i="2"/>
  <c r="W92" i="2"/>
  <c r="AS73" i="2"/>
  <c r="X51" i="2"/>
  <c r="X76" i="2" s="1"/>
  <c r="K71" i="2"/>
  <c r="AR73" i="2"/>
  <c r="AS72" i="2"/>
  <c r="AT73" i="2"/>
  <c r="V92" i="2"/>
  <c r="AS48" i="2"/>
  <c r="AS51" i="2" s="1"/>
  <c r="AS76" i="2" s="1"/>
  <c r="AS75" i="2"/>
  <c r="AS38" i="2"/>
  <c r="AV62" i="2"/>
  <c r="AR48" i="2"/>
  <c r="AR51" i="2" s="1"/>
  <c r="AR71" i="2" s="1"/>
  <c r="AR38" i="2"/>
  <c r="AR75" i="2"/>
  <c r="M76" i="2"/>
  <c r="O71" i="2"/>
  <c r="L76" i="2"/>
  <c r="L71" i="2"/>
  <c r="O76" i="2"/>
  <c r="AT72" i="2"/>
  <c r="M71" i="2"/>
  <c r="K76" i="2"/>
  <c r="Y51" i="2"/>
  <c r="W65" i="2"/>
  <c r="AU62" i="2"/>
  <c r="V48" i="2"/>
  <c r="V74" i="2"/>
  <c r="N51" i="2"/>
  <c r="Z62" i="2"/>
  <c r="W71" i="2"/>
  <c r="R63" i="2"/>
  <c r="R65" i="2" s="1"/>
  <c r="P63" i="2"/>
  <c r="P65" i="2" s="1"/>
  <c r="P76" i="2"/>
  <c r="P71" i="2"/>
  <c r="Q63" i="2"/>
  <c r="Q65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Y71" i="2" l="1"/>
  <c r="AC71" i="2"/>
  <c r="Q67" i="2"/>
  <c r="Q79" i="2" s="1"/>
  <c r="Q77" i="2"/>
  <c r="AH72" i="2"/>
  <c r="AH38" i="2"/>
  <c r="P67" i="2"/>
  <c r="P68" i="2" s="1"/>
  <c r="P77" i="2"/>
  <c r="AF67" i="2"/>
  <c r="AF68" i="2" s="1"/>
  <c r="AF77" i="2"/>
  <c r="W67" i="2"/>
  <c r="W68" i="2" s="1"/>
  <c r="W77" i="2"/>
  <c r="R67" i="2"/>
  <c r="R79" i="2" s="1"/>
  <c r="R77" i="2"/>
  <c r="AV20" i="2"/>
  <c r="AV121" i="2"/>
  <c r="AV33" i="2"/>
  <c r="BD60" i="2"/>
  <c r="BC62" i="2"/>
  <c r="BG69" i="2"/>
  <c r="X63" i="2"/>
  <c r="X65" i="2" s="1"/>
  <c r="X71" i="2"/>
  <c r="Y76" i="2"/>
  <c r="AT38" i="2"/>
  <c r="AT48" i="2"/>
  <c r="AT51" i="2" s="1"/>
  <c r="AU73" i="2"/>
  <c r="AS71" i="2"/>
  <c r="AR76" i="2"/>
  <c r="R68" i="2"/>
  <c r="Q68" i="2"/>
  <c r="N76" i="2"/>
  <c r="N71" i="2"/>
  <c r="R71" i="2"/>
  <c r="R76" i="2"/>
  <c r="Z48" i="2"/>
  <c r="Z74" i="2"/>
  <c r="AU52" i="2"/>
  <c r="AT52" i="2"/>
  <c r="V53" i="2"/>
  <c r="V75" i="2" s="1"/>
  <c r="V51" i="2"/>
  <c r="V71" i="2" s="1"/>
  <c r="V56" i="2"/>
  <c r="U63" i="2"/>
  <c r="U65" i="2" s="1"/>
  <c r="U76" i="2"/>
  <c r="W79" i="2" l="1"/>
  <c r="U67" i="2"/>
  <c r="U77" i="2"/>
  <c r="X67" i="2"/>
  <c r="X95" i="2" s="1"/>
  <c r="X77" i="2"/>
  <c r="P79" i="2"/>
  <c r="BE60" i="2"/>
  <c r="BD62" i="2"/>
  <c r="X94" i="2"/>
  <c r="X106" i="2"/>
  <c r="X79" i="2"/>
  <c r="Y63" i="2"/>
  <c r="Y65" i="2" s="1"/>
  <c r="Y77" i="2" s="1"/>
  <c r="Z53" i="2"/>
  <c r="AU75" i="2" s="1"/>
  <c r="AT71" i="2"/>
  <c r="AT59" i="2"/>
  <c r="AT56" i="2"/>
  <c r="V59" i="2"/>
  <c r="AX62" i="2"/>
  <c r="AT75" i="2"/>
  <c r="Z51" i="2"/>
  <c r="Z56" i="2"/>
  <c r="U68" i="2"/>
  <c r="U79" i="2"/>
  <c r="Z71" i="2" l="1"/>
  <c r="AD71" i="2"/>
  <c r="X68" i="2"/>
  <c r="BF60" i="2"/>
  <c r="BE62" i="2"/>
  <c r="AU56" i="2"/>
  <c r="Z59" i="2"/>
  <c r="Y67" i="2"/>
  <c r="Y95" i="2" s="1"/>
  <c r="Z75" i="2"/>
  <c r="AV72" i="2"/>
  <c r="AY62" i="2"/>
  <c r="AW118" i="2"/>
  <c r="AW73" i="2"/>
  <c r="AT76" i="2"/>
  <c r="AT63" i="2"/>
  <c r="AU71" i="2"/>
  <c r="V76" i="2"/>
  <c r="V63" i="2"/>
  <c r="V65" i="2" s="1"/>
  <c r="V67" i="2" l="1"/>
  <c r="V77" i="2"/>
  <c r="BF62" i="2"/>
  <c r="BG60" i="2"/>
  <c r="BG62" i="2" s="1"/>
  <c r="AW121" i="2"/>
  <c r="Y79" i="2"/>
  <c r="Y94" i="2"/>
  <c r="Y106" i="2"/>
  <c r="Y68" i="2"/>
  <c r="AW72" i="2"/>
  <c r="AZ62" i="2"/>
  <c r="AX118" i="2"/>
  <c r="AX73" i="2"/>
  <c r="V68" i="2"/>
  <c r="V79" i="2"/>
  <c r="Z76" i="2"/>
  <c r="Z63" i="2"/>
  <c r="Z65" i="2" s="1"/>
  <c r="Z77" i="2" s="1"/>
  <c r="AU59" i="2"/>
  <c r="AX121" i="2" l="1"/>
  <c r="AX72" i="2"/>
  <c r="AU63" i="2"/>
  <c r="AU65" i="2" s="1"/>
  <c r="AU76" i="2"/>
  <c r="AY73" i="2"/>
  <c r="AY118" i="2"/>
  <c r="AY44" i="2" s="1"/>
  <c r="BB62" i="2"/>
  <c r="BA62" i="2"/>
  <c r="Z67" i="2"/>
  <c r="AU66" i="2"/>
  <c r="AY121" i="2" l="1"/>
  <c r="Z94" i="2"/>
  <c r="AU94" i="2" s="1"/>
  <c r="Z106" i="2"/>
  <c r="AU67" i="2"/>
  <c r="AU68" i="2" s="1"/>
  <c r="AY72" i="2"/>
  <c r="AZ37" i="2"/>
  <c r="AZ118" i="2" s="1"/>
  <c r="AZ44" i="2" s="1"/>
  <c r="AZ73" i="2"/>
  <c r="Z79" i="2"/>
  <c r="Z68" i="2"/>
  <c r="AZ121" i="2" l="1"/>
  <c r="AZ72" i="2"/>
  <c r="BA37" i="2"/>
  <c r="BA118" i="2" s="1"/>
  <c r="BA44" i="2" s="1"/>
  <c r="BA73" i="2"/>
  <c r="BC37" i="2" l="1"/>
  <c r="BC73" i="2"/>
  <c r="BA121" i="2"/>
  <c r="BA72" i="2"/>
  <c r="BB37" i="2"/>
  <c r="BB118" i="2" s="1"/>
  <c r="BB44" i="2" s="1"/>
  <c r="BB73" i="2"/>
  <c r="BB121" i="2" l="1"/>
  <c r="BD37" i="2"/>
  <c r="BD73" i="2"/>
  <c r="BC72" i="2"/>
  <c r="BC118" i="2"/>
  <c r="BC44" i="2" s="1"/>
  <c r="BB72" i="2"/>
  <c r="BC121" i="2" l="1"/>
  <c r="BD72" i="2"/>
  <c r="BD118" i="2"/>
  <c r="BD44" i="2" s="1"/>
  <c r="BE37" i="2"/>
  <c r="BE73" i="2"/>
  <c r="AB48" i="2"/>
  <c r="AB75" i="2"/>
  <c r="BD121" i="2" l="1"/>
  <c r="BE72" i="2"/>
  <c r="BE118" i="2"/>
  <c r="BE44" i="2" s="1"/>
  <c r="BF37" i="2"/>
  <c r="BF73" i="2"/>
  <c r="AB51" i="2"/>
  <c r="AB56" i="2"/>
  <c r="AB59" i="2" s="1"/>
  <c r="AB63" i="2" s="1"/>
  <c r="AB65" i="2" s="1"/>
  <c r="AB77" i="2" s="1"/>
  <c r="AB71" i="2" l="1"/>
  <c r="AF71" i="2"/>
  <c r="AV9" i="2"/>
  <c r="AV71" i="2"/>
  <c r="BF118" i="2"/>
  <c r="BF44" i="2" s="1"/>
  <c r="BF72" i="2"/>
  <c r="BG37" i="2"/>
  <c r="BG73" i="2"/>
  <c r="BE121" i="2"/>
  <c r="AB76" i="2"/>
  <c r="AB67" i="2"/>
  <c r="BG118" i="2" l="1"/>
  <c r="BG44" i="2" s="1"/>
  <c r="BG72" i="2"/>
  <c r="BF121" i="2"/>
  <c r="AV75" i="2"/>
  <c r="AB79" i="2"/>
  <c r="AB68" i="2"/>
  <c r="BG121" i="2" l="1"/>
  <c r="AV66" i="2"/>
  <c r="AV76" i="2"/>
  <c r="AV63" i="2"/>
  <c r="AV65" i="2" s="1"/>
  <c r="AV68" i="2" l="1"/>
  <c r="AV94" i="2" l="1"/>
  <c r="AW64" i="2" l="1"/>
  <c r="AX63" i="2" l="1"/>
  <c r="AX76" i="2"/>
  <c r="AZ51" i="2"/>
  <c r="AY71" i="2"/>
  <c r="AY53" i="2" l="1"/>
  <c r="BA45" i="2"/>
  <c r="AY63" i="2"/>
  <c r="AY76" i="2"/>
  <c r="AZ71" i="2"/>
  <c r="BA51" i="2" l="1"/>
  <c r="AZ76" i="2"/>
  <c r="AZ63" i="2"/>
  <c r="BB45" i="2"/>
  <c r="BA71" i="2" l="1"/>
  <c r="BB51" i="2"/>
  <c r="BA63" i="2"/>
  <c r="BA76" i="2"/>
  <c r="BC45" i="2"/>
  <c r="BB71" i="2" l="1"/>
  <c r="BC51" i="2"/>
  <c r="BB63" i="2"/>
  <c r="BB76" i="2"/>
  <c r="BD45" i="2"/>
  <c r="BC71" i="2" l="1"/>
  <c r="BE45" i="2"/>
  <c r="BC63" i="2"/>
  <c r="BC76" i="2"/>
  <c r="BD71" i="2" l="1"/>
  <c r="BG45" i="2"/>
  <c r="BF45" i="2"/>
  <c r="BD76" i="2"/>
  <c r="BD63" i="2"/>
  <c r="BE71" i="2" l="1"/>
  <c r="BE63" i="2"/>
  <c r="BE76" i="2"/>
  <c r="BG71" i="2" l="1"/>
  <c r="BF71" i="2"/>
  <c r="BG63" i="2"/>
  <c r="BG76" i="2"/>
  <c r="BF76" i="2"/>
  <c r="BF63" i="2"/>
  <c r="AW63" i="2" l="1"/>
  <c r="AW65" i="2" s="1"/>
  <c r="AW76" i="2"/>
  <c r="AX71" i="2"/>
  <c r="AW71" i="2"/>
  <c r="AW66" i="2" l="1"/>
  <c r="AW67" i="2" s="1"/>
  <c r="AW94" i="2" l="1"/>
  <c r="AW68" i="2"/>
  <c r="AX64" i="2" l="1"/>
  <c r="AX65" i="2" s="1"/>
  <c r="AX66" i="2" l="1"/>
  <c r="AX67" i="2" s="1"/>
  <c r="AX68" i="2" l="1"/>
  <c r="AX94" i="2"/>
  <c r="AY64" i="2" l="1"/>
  <c r="AY65" i="2" s="1"/>
  <c r="AY66" i="2" l="1"/>
  <c r="AY67" i="2" s="1"/>
  <c r="AY68" i="2" l="1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l="1"/>
  <c r="BB65" i="2" s="1"/>
  <c r="BB66" i="2" l="1"/>
  <c r="BB67" i="2" s="1"/>
  <c r="BB68" i="2" l="1"/>
  <c r="BB94" i="2"/>
  <c r="BC64" i="2" l="1"/>
  <c r="BC65" i="2" s="1"/>
  <c r="BC66" i="2" l="1"/>
  <c r="BC67" i="2" s="1"/>
  <c r="BC68" i="2" l="1"/>
  <c r="BC94" i="2"/>
  <c r="BD64" i="2" l="1"/>
  <c r="BD65" i="2" s="1"/>
  <c r="BD66" i="2" l="1"/>
  <c r="BD67" i="2" s="1"/>
  <c r="BD68" i="2" l="1"/>
  <c r="BD94" i="2"/>
  <c r="BE64" i="2" l="1"/>
  <c r="BE65" i="2" s="1"/>
  <c r="BE66" i="2" l="1"/>
  <c r="BE67" i="2" s="1"/>
  <c r="BE68" i="2" l="1"/>
  <c r="BE94" i="2"/>
  <c r="BF64" i="2" l="1"/>
  <c r="BF65" i="2" s="1"/>
  <c r="BF66" i="2" l="1"/>
  <c r="BF67" i="2" s="1"/>
  <c r="BF68" i="2" l="1"/>
  <c r="BF94" i="2"/>
  <c r="BG64" i="2" l="1"/>
  <c r="BG65" i="2" s="1"/>
  <c r="BG66" i="2" l="1"/>
  <c r="BG67" i="2" s="1"/>
  <c r="BG68" i="2" l="1"/>
  <c r="BR67" i="2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BG94" i="2"/>
  <c r="BI80" i="2" l="1"/>
  <c r="BI82" i="2" s="1"/>
</calcChain>
</file>

<file path=xl/sharedStrings.xml><?xml version="1.0" encoding="utf-8"?>
<sst xmlns="http://schemas.openxmlformats.org/spreadsheetml/2006/main" count="184" uniqueCount="168">
  <si>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</si>
  <si>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</si>
  <si>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</si>
  <si>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</si>
  <si>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</si>
  <si>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</si>
  <si>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</si>
  <si>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</si>
  <si>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</si>
  <si>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</si>
  <si>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</si>
  <si>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</si>
  <si>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</si>
  <si>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</si>
  <si>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</si>
  <si>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</si>
  <si>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</si>
  <si>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</si>
  <si>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</si>
  <si>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</si>
  <si>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</si>
  <si>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</si>
  <si>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</si>
  <si>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</si>
  <si>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</si>
  <si>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</si>
  <si>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</si>
  <si>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</si>
  <si>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</si>
  <si>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</si>
  <si>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</si>
  <si>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</si>
  <si>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</si>
  <si>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</si>
  <si>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</si>
  <si>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</si>
  <si>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</si>
  <si>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</si>
  <si>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</si>
  <si>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</si>
  <si>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</si>
  <si>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</si>
  <si>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</si>
  <si>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</si>
  <si>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</si>
  <si>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</si>
  <si>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</si>
  <si>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</si>
  <si>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</si>
  <si>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</si>
  <si>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</si>
  <si>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</si>
  <si>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</si>
  <si>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</si>
  <si>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</si>
  <si>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</si>
  <si>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</si>
  <si>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</si>
  <si>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</si>
  <si>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</si>
  <si>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</si>
  <si>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</si>
  <si>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</si>
  <si>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</si>
  <si>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</si>
  <si>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</si>
  <si>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</si>
  <si>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</si>
  <si>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</si>
  <si>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</si>
  <si>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</si>
  <si>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</si>
  <si>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</si>
  <si>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</si>
  <si>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</si>
  <si>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</si>
  <si>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</si>
  <si>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</si>
  <si>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</si>
  <si>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</si>
  <si>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</si>
  <si>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</si>
  <si>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</si>
  <si>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</si>
  <si>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</si>
  <si>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</si>
  <si>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</si>
  <si>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</si>
  <si>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</si>
  <si>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</si>
  <si>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</si>
  <si>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</si>
  <si>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</si>
  <si>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</si>
  <si>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</si>
  <si>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</si>
  <si>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</si>
  <si>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</si>
  <si>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</si>
  <si>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</si>
  <si>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</si>
  <si>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</si>
  <si>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</si>
  <si>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</si>
  <si>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</si>
  <si>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</si>
  <si>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</si>
  <si>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</si>
  <si>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</si>
  <si>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</si>
  <si>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</si>
  <si>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</si>
  <si>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</si>
  <si>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</si>
  <si>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</si>
  <si>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</si>
  <si>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</si>
  <si>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</si>
  <si>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</si>
  <si>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</si>
  <si>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</si>
  <si>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</si>
  <si>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</si>
  <si>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</si>
  <si>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</si>
  <si>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</si>
  <si>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</si>
  <si>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</si>
  <si>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</si>
  <si>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</si>
  <si>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</si>
  <si>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</si>
  <si>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</si>
  <si>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</si>
  <si>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</si>
  <si>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Volkswagen Revenue</t>
  </si>
  <si>
    <t>Volkswagen Deliveries</t>
  </si>
  <si>
    <t>Mercedez-Benz Revenue</t>
  </si>
  <si>
    <t>Mercedez-Bens Production</t>
  </si>
  <si>
    <t>BMW Production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</si>
  <si>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</si>
  <si>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</si>
  <si>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</si>
  <si>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</si>
  <si>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</si>
  <si>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</si>
  <si>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</si>
  <si>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</si>
  <si>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</si>
  <si>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</si>
  <si>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</si>
  <si>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</si>
  <si>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</si>
  <si>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</si>
  <si>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</si>
  <si>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</si>
  <si>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</si>
  <si>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</si>
  <si>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</si>
  <si>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</si>
  <si>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</si>
  <si>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</si>
  <si>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</si>
  <si>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</si>
  <si>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Tesla Deliveries</t>
  </si>
  <si>
    <t>GM US Deliveries</t>
  </si>
  <si>
    <t>GM US Revenue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</si>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</sst>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4" fontId="10" fillId="0" borderId="0" xfId="0" applyNumberFormat="1" applyFont="1" applyAlignment="1">
      <alignment horizontal="right"/>
    </xf>
    <xf numFmtId="3" fontId="10" fillId="0" borderId="0" xfId="0" applyNumberFormat="1" applyFont="1" applyFill="1"/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10117</xdr:colOff>
      <xdr:row>0</xdr:row>
      <xdr:rowOff>107156</xdr:rowOff>
    </xdr:from>
    <xdr:to>
      <xdr:col>29</xdr:col>
      <xdr:colOff>25572</xdr:colOff>
      <xdr:row>137</xdr:row>
      <xdr:rowOff>648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191086" y="107156"/>
          <a:ext cx="15455" cy="22729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60850</xdr:colOff>
      <xdr:row>0</xdr:row>
      <xdr:rowOff>0</xdr:rowOff>
    </xdr:from>
    <xdr:to>
      <xdr:col>47</xdr:col>
      <xdr:colOff>60850</xdr:colOff>
      <xdr:row>127</xdr:row>
      <xdr:rowOff>16243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6707038" y="0"/>
          <a:ext cx="0" cy="211855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zoomScale="140" zoomScaleNormal="140" workbookViewId="0">
      <selection activeCell="K7" sqref="K7"/>
    </sheetView>
  </sheetViews>
  <sheetFormatPr defaultColWidth="9.109375" defaultRowHeight="13.2" x14ac:dyDescent="0.25"/>
  <cols>
    <col min="1" max="10" width="9.109375" style="9"/>
    <col min="11" max="11" width="9.5546875" style="9" bestFit="1" customWidth="1"/>
    <col min="12" max="16384" width="9.109375" style="9"/>
  </cols>
  <sheetData>
    <row r="2" spans="2:12" x14ac:dyDescent="0.25">
      <c r="B2" s="31" t="s">
        <v>109</v>
      </c>
      <c r="J2" s="9" t="s">
        <v>0</v>
      </c>
      <c r="K2" s="11">
        <v>321.22000000000003</v>
      </c>
    </row>
    <row r="3" spans="2:12" x14ac:dyDescent="0.25">
      <c r="C3" s="31" t="s">
        <v>125</v>
      </c>
      <c r="J3" s="9" t="s">
        <v>1</v>
      </c>
      <c r="K3" s="5">
        <v>3497</v>
      </c>
      <c r="L3" s="30" t="s">
        <v>118</v>
      </c>
    </row>
    <row r="4" spans="2:12" x14ac:dyDescent="0.25">
      <c r="B4" s="32" t="s">
        <v>126</v>
      </c>
      <c r="J4" s="9" t="s">
        <v>2</v>
      </c>
      <c r="K4" s="10">
        <f>K2*K3</f>
        <v>1123306.3400000001</v>
      </c>
    </row>
    <row r="5" spans="2:12" x14ac:dyDescent="0.25">
      <c r="J5" s="9" t="s">
        <v>3</v>
      </c>
      <c r="K5" s="10">
        <v>33648</v>
      </c>
      <c r="L5" s="30" t="s">
        <v>118</v>
      </c>
    </row>
    <row r="6" spans="2:12" x14ac:dyDescent="0.25">
      <c r="B6" s="32" t="s">
        <v>154</v>
      </c>
      <c r="J6" s="9" t="s">
        <v>4</v>
      </c>
      <c r="K6" s="17">
        <v>7696</v>
      </c>
      <c r="L6" s="30" t="s">
        <v>118</v>
      </c>
    </row>
    <row r="7" spans="2:12" x14ac:dyDescent="0.25">
      <c r="B7" s="32" t="s">
        <v>153</v>
      </c>
      <c r="J7" s="9" t="s">
        <v>5</v>
      </c>
      <c r="K7" s="10">
        <f>K4-K5+K6</f>
        <v>1097354.3400000001</v>
      </c>
    </row>
    <row r="8" spans="2:12" x14ac:dyDescent="0.25">
      <c r="B8" s="32" t="s">
        <v>107</v>
      </c>
    </row>
    <row r="9" spans="2:12" x14ac:dyDescent="0.25">
      <c r="B9" s="32" t="s">
        <v>157</v>
      </c>
    </row>
    <row r="10" spans="2:12" x14ac:dyDescent="0.25">
      <c r="B10" s="32" t="s">
        <v>105</v>
      </c>
      <c r="J10" s="9" t="s">
        <v>7</v>
      </c>
    </row>
    <row r="12" spans="2:12" x14ac:dyDescent="0.25">
      <c r="B12" s="32" t="s">
        <v>127</v>
      </c>
    </row>
    <row r="17" spans="2:2" x14ac:dyDescent="0.25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F123"/>
  <sheetViews>
    <sheetView tabSelected="1" zoomScale="80" zoomScaleNormal="80" workbookViewId="0">
      <pane xSplit="2" ySplit="2" topLeftCell="BD36" activePane="bottomRight" state="frozen"/>
      <selection pane="topRight" activeCell="C1" sqref="C1"/>
      <selection pane="bottomLeft" activeCell="A3" sqref="A3"/>
      <selection pane="bottomRight" activeCell="BI79" sqref="BI79"/>
    </sheetView>
  </sheetViews>
  <sheetFormatPr defaultColWidth="9.109375" defaultRowHeight="13.2" x14ac:dyDescent="0.25"/>
  <cols>
    <col min="1" max="1" width="5.109375" style="1" bestFit="1" customWidth="1"/>
    <col min="2" max="2" width="25" style="1" customWidth="1"/>
    <col min="3" max="18" width="9.109375" style="2"/>
    <col min="19" max="19" width="8.6640625" style="2" customWidth="1"/>
    <col min="20" max="23" width="9.109375" style="2"/>
    <col min="24" max="24" width="9.6640625" style="2" customWidth="1"/>
    <col min="25" max="26" width="9.109375" style="2"/>
    <col min="27" max="28" width="9.5546875" style="2" customWidth="1"/>
    <col min="29" max="29" width="9.5546875" style="5" customWidth="1"/>
    <col min="30" max="30" width="9.5546875" style="2" customWidth="1"/>
    <col min="31" max="35" width="8.44140625" style="2" customWidth="1"/>
    <col min="36" max="36" width="9.109375" style="1"/>
    <col min="37" max="42" width="0" style="1" hidden="1" customWidth="1"/>
    <col min="43" max="44" width="9.109375" style="1"/>
    <col min="45" max="47" width="9.6640625" style="1" customWidth="1"/>
    <col min="48" max="48" width="10.6640625" style="1" customWidth="1"/>
    <col min="49" max="59" width="9.6640625" style="1" customWidth="1"/>
    <col min="60" max="60" width="9.109375" style="1"/>
    <col min="61" max="61" width="9.5546875" style="1" customWidth="1"/>
    <col min="62" max="16384" width="9.109375" style="1"/>
  </cols>
  <sheetData>
    <row r="1" spans="1:59" x14ac:dyDescent="0.25">
      <c r="A1" s="14" t="s">
        <v>8</v>
      </c>
    </row>
    <row r="2" spans="1:59" x14ac:dyDescent="0.25">
      <c r="A2" s="14"/>
      <c r="C2" s="26" t="s">
        <v>94</v>
      </c>
      <c r="D2" s="26" t="s">
        <v>95</v>
      </c>
      <c r="E2" s="26" t="s">
        <v>96</v>
      </c>
      <c r="F2" s="26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5" t="s">
        <v>85</v>
      </c>
      <c r="X2" s="15" t="s">
        <v>86</v>
      </c>
      <c r="Y2" s="15" t="s">
        <v>87</v>
      </c>
      <c r="Z2" s="15" t="s">
        <v>88</v>
      </c>
      <c r="AA2" s="26" t="s">
        <v>117</v>
      </c>
      <c r="AB2" s="26" t="s">
        <v>118</v>
      </c>
      <c r="AC2" s="34" t="s">
        <v>119</v>
      </c>
      <c r="AD2" s="26" t="s">
        <v>120</v>
      </c>
      <c r="AE2" s="30" t="s">
        <v>121</v>
      </c>
      <c r="AF2" s="30" t="s">
        <v>122</v>
      </c>
      <c r="AG2" s="30" t="s">
        <v>123</v>
      </c>
      <c r="AH2" s="30" t="s">
        <v>124</v>
      </c>
      <c r="AI2" s="30"/>
      <c r="AK2" s="1">
        <v>2013</v>
      </c>
      <c r="AL2" s="1">
        <v>2014</v>
      </c>
      <c r="AM2" s="1">
        <v>2015</v>
      </c>
      <c r="AN2" s="1">
        <v>2016</v>
      </c>
      <c r="AO2" s="1">
        <v>2017</v>
      </c>
      <c r="AP2" s="1">
        <v>2018</v>
      </c>
      <c r="AQ2" s="1">
        <v>2019</v>
      </c>
      <c r="AR2" s="1">
        <v>2020</v>
      </c>
      <c r="AS2" s="1">
        <f>+AR2+1</f>
        <v>2021</v>
      </c>
      <c r="AT2" s="1">
        <f t="shared" ref="AT2" si="0">+AS2+1</f>
        <v>2022</v>
      </c>
      <c r="AU2" s="1">
        <f t="shared" ref="AU2" si="1">+AT2+1</f>
        <v>2023</v>
      </c>
      <c r="AV2" s="1">
        <f>+AU2+1</f>
        <v>2024</v>
      </c>
      <c r="AW2" s="1">
        <f t="shared" ref="AW2" si="2">+AV2+1</f>
        <v>2025</v>
      </c>
      <c r="AX2" s="1">
        <f t="shared" ref="AX2" si="3">+AW2+1</f>
        <v>2026</v>
      </c>
      <c r="AY2" s="1">
        <f t="shared" ref="AY2" si="4">+AX2+1</f>
        <v>2027</v>
      </c>
      <c r="AZ2" s="1">
        <f t="shared" ref="AZ2" si="5">+AY2+1</f>
        <v>2028</v>
      </c>
      <c r="BA2" s="1">
        <f t="shared" ref="BA2" si="6">+AZ2+1</f>
        <v>2029</v>
      </c>
      <c r="BB2" s="1">
        <f t="shared" ref="BB2" si="7">+BA2+1</f>
        <v>2030</v>
      </c>
      <c r="BC2" s="1">
        <f>+BB2+1</f>
        <v>2031</v>
      </c>
      <c r="BD2" s="1">
        <f>+BC2+1</f>
        <v>2032</v>
      </c>
      <c r="BE2" s="1">
        <f>+BD2+1</f>
        <v>2033</v>
      </c>
      <c r="BF2" s="1">
        <f>+BE2+1</f>
        <v>2034</v>
      </c>
      <c r="BG2" s="1">
        <f>+BF2+1</f>
        <v>2035</v>
      </c>
    </row>
    <row r="3" spans="1:59" x14ac:dyDescent="0.25">
      <c r="A3" s="14"/>
      <c r="B3" s="32" t="s">
        <v>135</v>
      </c>
      <c r="C3" s="26"/>
      <c r="D3" s="26"/>
      <c r="E3" s="26"/>
      <c r="F3" s="26"/>
      <c r="W3" s="15"/>
      <c r="X3" s="15"/>
      <c r="Y3" s="15"/>
      <c r="Z3" s="15"/>
      <c r="AA3" s="35">
        <f>158800/2*1.12</f>
        <v>88928.000000000015</v>
      </c>
      <c r="AB3" s="35">
        <f>158800/2*1.12</f>
        <v>88928.000000000015</v>
      </c>
      <c r="AC3" s="40">
        <f>64035*1.07</f>
        <v>68517.45</v>
      </c>
      <c r="AD3" s="26"/>
      <c r="AE3" s="30"/>
      <c r="AF3" s="30"/>
      <c r="AG3" s="30"/>
      <c r="AH3" s="30"/>
      <c r="AI3" s="30"/>
    </row>
    <row r="4" spans="1:59" x14ac:dyDescent="0.25">
      <c r="A4" s="14"/>
      <c r="B4" s="32" t="s">
        <v>128</v>
      </c>
      <c r="C4" s="26"/>
      <c r="D4" s="26"/>
      <c r="E4" s="26"/>
      <c r="F4" s="26"/>
      <c r="W4" s="15"/>
      <c r="X4" s="15"/>
      <c r="Y4" s="15"/>
      <c r="Z4" s="15"/>
      <c r="AA4" s="26"/>
      <c r="AB4" s="35">
        <f>10845224/145</f>
        <v>74794.64827586207</v>
      </c>
      <c r="AC4" s="40">
        <f>(21263215-10854224)/150</f>
        <v>69393.273333333331</v>
      </c>
      <c r="AD4" s="26"/>
      <c r="AE4" s="30"/>
      <c r="AF4" s="30"/>
      <c r="AG4" s="30"/>
      <c r="AH4" s="30"/>
      <c r="AI4" s="30"/>
    </row>
    <row r="5" spans="1:59" x14ac:dyDescent="0.25">
      <c r="A5" s="14"/>
      <c r="B5" s="41" t="s">
        <v>166</v>
      </c>
      <c r="C5" s="26"/>
      <c r="D5" s="26"/>
      <c r="E5" s="26"/>
      <c r="F5" s="26"/>
      <c r="W5" s="15"/>
      <c r="X5" s="35">
        <v>41254</v>
      </c>
      <c r="Y5" s="15"/>
      <c r="Z5" s="15"/>
      <c r="AA5" s="26"/>
      <c r="AB5" s="35">
        <v>42515</v>
      </c>
      <c r="AC5" s="34">
        <v>43097</v>
      </c>
      <c r="AD5" s="26"/>
      <c r="AE5" s="30"/>
      <c r="AF5" s="30"/>
      <c r="AG5" s="30"/>
      <c r="AH5" s="30"/>
      <c r="AI5" s="30"/>
    </row>
    <row r="6" spans="1:59" x14ac:dyDescent="0.25">
      <c r="A6" s="14"/>
      <c r="B6" s="41" t="s">
        <v>148</v>
      </c>
      <c r="C6" s="26"/>
      <c r="D6" s="26"/>
      <c r="E6" s="26"/>
      <c r="F6" s="26"/>
      <c r="W6" s="15"/>
      <c r="X6" s="35">
        <v>44811</v>
      </c>
      <c r="Y6" s="15"/>
      <c r="Z6" s="15"/>
      <c r="AA6" s="26"/>
      <c r="AB6" s="35">
        <v>42427</v>
      </c>
      <c r="AC6" s="34">
        <v>41665</v>
      </c>
      <c r="AD6" s="26"/>
      <c r="AE6" s="30"/>
      <c r="AF6" s="30"/>
      <c r="AG6" s="30"/>
      <c r="AH6" s="30"/>
      <c r="AI6" s="30"/>
    </row>
    <row r="7" spans="1:59" x14ac:dyDescent="0.25">
      <c r="A7" s="14"/>
      <c r="B7" s="32" t="s">
        <v>149</v>
      </c>
      <c r="C7" s="26"/>
      <c r="D7" s="26"/>
      <c r="E7" s="26"/>
      <c r="F7" s="26"/>
      <c r="W7" s="15"/>
      <c r="X7" s="35"/>
      <c r="Y7" s="15"/>
      <c r="Z7" s="15"/>
      <c r="AA7" s="34">
        <f>63009-AB7</f>
        <v>30939</v>
      </c>
      <c r="AB7" s="35">
        <v>32070</v>
      </c>
      <c r="AC7" s="35"/>
      <c r="AD7" s="26"/>
      <c r="AE7" s="30"/>
      <c r="AF7" s="30"/>
      <c r="AG7" s="30"/>
      <c r="AH7" s="30"/>
      <c r="AI7" s="30"/>
    </row>
    <row r="8" spans="1:59" x14ac:dyDescent="0.25">
      <c r="A8" s="14"/>
      <c r="B8" s="32" t="s">
        <v>137</v>
      </c>
      <c r="C8" s="26"/>
      <c r="D8" s="26"/>
      <c r="E8" s="26"/>
      <c r="F8" s="26"/>
      <c r="W8" s="35"/>
      <c r="X8" s="35">
        <f>28244*1.12</f>
        <v>31633.280000000002</v>
      </c>
      <c r="Y8" s="15"/>
      <c r="Z8" s="15"/>
      <c r="AA8" s="26"/>
      <c r="AB8" s="35">
        <f>27170*1.12</f>
        <v>30430.400000000001</v>
      </c>
      <c r="AC8" s="34">
        <f>25602*1.07</f>
        <v>27394.140000000003</v>
      </c>
      <c r="AD8" s="26"/>
      <c r="AE8" s="30"/>
      <c r="AF8" s="30"/>
      <c r="AG8" s="30"/>
      <c r="AH8" s="30"/>
      <c r="AI8" s="30"/>
    </row>
    <row r="9" spans="1:59" s="22" customFormat="1" x14ac:dyDescent="0.25">
      <c r="A9" s="37"/>
      <c r="B9" s="22" t="s">
        <v>133</v>
      </c>
      <c r="C9" s="7">
        <f t="shared" ref="C9:AA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>+AB45</f>
        <v>18530</v>
      </c>
      <c r="AC9" s="7">
        <f>+AC45</f>
        <v>18831</v>
      </c>
      <c r="AD9" s="23"/>
      <c r="AE9" s="23"/>
      <c r="AF9" s="23"/>
      <c r="AG9" s="23"/>
      <c r="AH9" s="23"/>
      <c r="AI9" s="23"/>
      <c r="AP9" s="6">
        <f t="shared" ref="AP9:AV9" si="9">+AP45</f>
        <v>0</v>
      </c>
      <c r="AQ9" s="6">
        <f t="shared" si="9"/>
        <v>19952</v>
      </c>
      <c r="AR9" s="6">
        <f t="shared" si="9"/>
        <v>25783</v>
      </c>
      <c r="AS9" s="6">
        <f t="shared" si="9"/>
        <v>44125</v>
      </c>
      <c r="AT9" s="6">
        <f t="shared" si="9"/>
        <v>68004</v>
      </c>
      <c r="AU9" s="6">
        <f t="shared" si="9"/>
        <v>78509</v>
      </c>
      <c r="AV9" s="6">
        <f t="shared" si="9"/>
        <v>74451</v>
      </c>
    </row>
    <row r="10" spans="1:59" x14ac:dyDescent="0.25">
      <c r="A10" s="14"/>
      <c r="B10" s="32" t="s">
        <v>129</v>
      </c>
      <c r="C10" s="26"/>
      <c r="D10" s="26"/>
      <c r="E10" s="26"/>
      <c r="F10" s="26"/>
      <c r="W10" s="15"/>
      <c r="X10" s="15"/>
      <c r="Y10" s="15"/>
      <c r="Z10" s="15"/>
      <c r="AA10" s="34">
        <v>16300</v>
      </c>
      <c r="AB10" s="34">
        <f>(228316.903/7)-AA10</f>
        <v>16316.700428571428</v>
      </c>
      <c r="AC10" s="34"/>
      <c r="AD10" s="26"/>
      <c r="AE10" s="30"/>
      <c r="AF10" s="30"/>
      <c r="AG10" s="30"/>
      <c r="AH10" s="30"/>
      <c r="AI10" s="30"/>
    </row>
    <row r="11" spans="1:59" x14ac:dyDescent="0.25">
      <c r="A11" s="14"/>
      <c r="B11" s="32" t="s">
        <v>132</v>
      </c>
      <c r="C11" s="26"/>
      <c r="D11" s="26"/>
      <c r="E11" s="26"/>
      <c r="F11" s="26"/>
      <c r="W11" s="15"/>
      <c r="X11" s="36"/>
      <c r="Y11" s="36"/>
      <c r="Z11" s="36"/>
      <c r="AA11" s="34">
        <f>14649/2/1.12</f>
        <v>6539.7321428571422</v>
      </c>
      <c r="AB11" s="34">
        <f>14649/2/1.12</f>
        <v>6539.7321428571422</v>
      </c>
      <c r="AC11" s="34">
        <f>(28564-19457)*1.07*0.75</f>
        <v>7308.3675000000003</v>
      </c>
      <c r="AD11" s="26"/>
      <c r="AE11" s="30"/>
      <c r="AF11" s="30"/>
      <c r="AG11" s="30"/>
      <c r="AH11" s="30"/>
      <c r="AI11" s="30"/>
    </row>
    <row r="12" spans="1:59" x14ac:dyDescent="0.25">
      <c r="A12" s="14"/>
      <c r="B12" s="32"/>
      <c r="C12" s="26"/>
      <c r="D12" s="26"/>
      <c r="E12" s="26"/>
      <c r="F12" s="26"/>
      <c r="W12" s="15"/>
      <c r="X12" s="36"/>
      <c r="Y12" s="36"/>
      <c r="Z12" s="36"/>
      <c r="AA12" s="35"/>
      <c r="AB12" s="34"/>
      <c r="AC12" s="34"/>
      <c r="AD12" s="26"/>
      <c r="AE12" s="30"/>
      <c r="AF12" s="30"/>
      <c r="AG12" s="30"/>
      <c r="AH12" s="30"/>
      <c r="AI12" s="30"/>
    </row>
    <row r="13" spans="1:59" x14ac:dyDescent="0.25">
      <c r="A13" s="14"/>
      <c r="B13" s="32" t="s">
        <v>131</v>
      </c>
      <c r="C13" s="26"/>
      <c r="D13" s="26"/>
      <c r="E13" s="26"/>
      <c r="F13" s="26"/>
      <c r="W13" s="15"/>
      <c r="X13" s="15"/>
      <c r="Y13" s="15"/>
      <c r="Z13" s="15"/>
      <c r="AA13" s="26"/>
      <c r="AB13" s="35">
        <v>2186000</v>
      </c>
      <c r="AC13" s="34">
        <v>2217000</v>
      </c>
      <c r="AD13" s="26"/>
      <c r="AE13" s="30"/>
      <c r="AF13" s="30"/>
      <c r="AG13" s="30"/>
      <c r="AH13" s="30"/>
      <c r="AI13" s="30"/>
    </row>
    <row r="14" spans="1:59" x14ac:dyDescent="0.25">
      <c r="A14" s="14"/>
      <c r="B14" s="32" t="s">
        <v>136</v>
      </c>
      <c r="C14" s="26"/>
      <c r="D14" s="26"/>
      <c r="E14" s="26"/>
      <c r="F14" s="26"/>
      <c r="W14" s="36">
        <f>4372000-X14</f>
        <v>2041000</v>
      </c>
      <c r="X14" s="36">
        <v>2331000</v>
      </c>
      <c r="Y14" s="36"/>
      <c r="Z14" s="36"/>
      <c r="AA14" s="34">
        <f>4348000-AB14</f>
        <v>2104000</v>
      </c>
      <c r="AB14" s="35">
        <v>2244000</v>
      </c>
      <c r="AC14" s="34">
        <f>6524257-AB14-AA14</f>
        <v>2176257</v>
      </c>
      <c r="AD14" s="26"/>
      <c r="AE14" s="30"/>
      <c r="AF14" s="30"/>
      <c r="AG14" s="30"/>
      <c r="AH14" s="30"/>
      <c r="AI14" s="30"/>
    </row>
    <row r="15" spans="1:59" x14ac:dyDescent="0.25">
      <c r="A15" s="14"/>
      <c r="B15" s="32" t="s">
        <v>150</v>
      </c>
      <c r="C15" s="26"/>
      <c r="D15" s="26"/>
      <c r="E15" s="26"/>
      <c r="F15" s="26"/>
      <c r="W15" s="36"/>
      <c r="X15" s="36"/>
      <c r="Y15" s="36"/>
      <c r="Z15" s="36"/>
      <c r="AA15" s="34"/>
      <c r="AB15" s="34">
        <f>375000+26000+741000</f>
        <v>1142000</v>
      </c>
      <c r="AC15" s="34">
        <f>342000+32000+721000</f>
        <v>1095000</v>
      </c>
      <c r="AD15" s="26"/>
      <c r="AE15" s="30"/>
      <c r="AF15" s="30"/>
      <c r="AG15" s="30"/>
      <c r="AH15" s="30"/>
      <c r="AI15" s="30"/>
    </row>
    <row r="16" spans="1:59" x14ac:dyDescent="0.25">
      <c r="A16" s="14"/>
      <c r="B16" s="41" t="s">
        <v>165</v>
      </c>
      <c r="C16" s="26"/>
      <c r="D16" s="26"/>
      <c r="E16" s="26"/>
      <c r="F16" s="26"/>
      <c r="W16" s="36">
        <f>1844000-X16</f>
        <v>865000</v>
      </c>
      <c r="X16" s="35">
        <v>979000</v>
      </c>
      <c r="Y16" s="36"/>
      <c r="Z16" s="36"/>
      <c r="AA16" s="34">
        <f>1938000-AB16</f>
        <v>895000</v>
      </c>
      <c r="AB16" s="35">
        <v>1043000</v>
      </c>
      <c r="AC16" s="34">
        <v>1033000</v>
      </c>
      <c r="AD16" s="26"/>
      <c r="AE16" s="30"/>
      <c r="AF16" s="30"/>
      <c r="AG16" s="30"/>
      <c r="AH16" s="30"/>
      <c r="AI16" s="30"/>
    </row>
    <row r="17" spans="1:48" x14ac:dyDescent="0.25">
      <c r="A17" s="14"/>
      <c r="B17" s="32" t="s">
        <v>130</v>
      </c>
      <c r="C17" s="26"/>
      <c r="D17" s="26"/>
      <c r="E17" s="26"/>
      <c r="F17" s="26"/>
      <c r="W17" s="15"/>
      <c r="X17" s="36">
        <f>252657+246259+209448</f>
        <v>708364</v>
      </c>
      <c r="Y17" s="36"/>
      <c r="Z17" s="36"/>
      <c r="AA17" s="34"/>
      <c r="AB17" s="34">
        <f>341671+344008+334039</f>
        <v>1019718</v>
      </c>
      <c r="AC17" s="34"/>
      <c r="AD17" s="26"/>
      <c r="AE17" s="30"/>
      <c r="AF17" s="30"/>
      <c r="AG17" s="30"/>
      <c r="AH17" s="30"/>
      <c r="AI17" s="30"/>
    </row>
    <row r="18" spans="1:48" x14ac:dyDescent="0.25">
      <c r="A18" s="14"/>
      <c r="B18" s="32" t="s">
        <v>139</v>
      </c>
      <c r="C18" s="26"/>
      <c r="D18" s="26"/>
      <c r="E18" s="26"/>
      <c r="F18" s="26"/>
      <c r="W18" s="36">
        <f>1214864-X18</f>
        <v>588138</v>
      </c>
      <c r="X18" s="36">
        <v>626726</v>
      </c>
      <c r="Y18" s="36"/>
      <c r="Z18" s="36"/>
      <c r="AA18" s="34">
        <f>1213276-AB18</f>
        <v>594533</v>
      </c>
      <c r="AB18" s="34">
        <v>618743</v>
      </c>
      <c r="AC18" s="34"/>
      <c r="AD18" s="26"/>
      <c r="AE18" s="30"/>
      <c r="AF18" s="30"/>
      <c r="AG18" s="30"/>
      <c r="AH18" s="30"/>
      <c r="AI18" s="30"/>
    </row>
    <row r="19" spans="1:48" x14ac:dyDescent="0.25">
      <c r="A19" s="14"/>
      <c r="B19" s="32" t="s">
        <v>138</v>
      </c>
      <c r="C19" s="26"/>
      <c r="D19" s="26"/>
      <c r="E19" s="26"/>
      <c r="F19" s="26"/>
      <c r="W19" s="15"/>
      <c r="X19" s="36">
        <v>515746</v>
      </c>
      <c r="Y19" s="36"/>
      <c r="Z19" s="36"/>
      <c r="AA19" s="34"/>
      <c r="AB19" s="34">
        <v>496712</v>
      </c>
      <c r="AC19" s="34">
        <v>503573</v>
      </c>
      <c r="AD19" s="26"/>
      <c r="AE19" s="30"/>
      <c r="AF19" s="30"/>
      <c r="AG19" s="30"/>
      <c r="AH19" s="30"/>
      <c r="AI19" s="30"/>
    </row>
    <row r="20" spans="1:48" s="22" customFormat="1" x14ac:dyDescent="0.25">
      <c r="A20" s="37"/>
      <c r="B20" s="22" t="s">
        <v>164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7">
        <f>V37</f>
        <v>405278</v>
      </c>
      <c r="W20" s="7">
        <f>W37</f>
        <v>422875</v>
      </c>
      <c r="X20" s="7">
        <f>X37</f>
        <v>466140</v>
      </c>
      <c r="Y20" s="7">
        <f>Y37</f>
        <v>435059</v>
      </c>
      <c r="Z20" s="7">
        <f>Z37</f>
        <v>484507</v>
      </c>
      <c r="AA20" s="7">
        <f>AA37</f>
        <v>386810</v>
      </c>
      <c r="AB20" s="7">
        <f>AB37</f>
        <v>443956</v>
      </c>
      <c r="AC20" s="7">
        <f>AC37</f>
        <v>462890</v>
      </c>
      <c r="AD20" s="23"/>
      <c r="AE20" s="23"/>
      <c r="AF20" s="23"/>
      <c r="AG20" s="23"/>
      <c r="AH20" s="23"/>
      <c r="AI20" s="23"/>
      <c r="AU20" s="6">
        <f>+AU37</f>
        <v>1808581</v>
      </c>
      <c r="AV20" s="6">
        <f>+AV37</f>
        <v>1778163</v>
      </c>
    </row>
    <row r="21" spans="1:48" x14ac:dyDescent="0.25">
      <c r="A21" s="14"/>
      <c r="B21" s="32" t="s">
        <v>134</v>
      </c>
      <c r="C21" s="26"/>
      <c r="D21" s="26"/>
      <c r="E21" s="26"/>
      <c r="F21" s="26"/>
      <c r="W21" s="15"/>
      <c r="X21" s="36"/>
      <c r="Y21" s="36"/>
      <c r="Z21" s="36"/>
      <c r="AA21" s="35">
        <f>+AB21</f>
        <v>77972.5</v>
      </c>
      <c r="AB21" s="34">
        <f>155945/2</f>
        <v>77972.5</v>
      </c>
      <c r="AC21" s="34">
        <f>-155945+226026</f>
        <v>70081</v>
      </c>
      <c r="AD21" s="26"/>
      <c r="AE21" s="30"/>
      <c r="AF21" s="30"/>
      <c r="AG21" s="30"/>
      <c r="AH21" s="30"/>
      <c r="AI21" s="30"/>
    </row>
    <row r="22" spans="1:48" x14ac:dyDescent="0.25">
      <c r="A22" s="14"/>
      <c r="B22" s="32"/>
      <c r="C22" s="26"/>
      <c r="D22" s="26"/>
      <c r="E22" s="26"/>
      <c r="F22" s="26"/>
      <c r="W22" s="15"/>
      <c r="X22" s="36"/>
      <c r="Y22" s="36"/>
      <c r="Z22" s="36"/>
      <c r="AA22" s="35"/>
      <c r="AB22" s="34"/>
      <c r="AC22" s="34"/>
      <c r="AD22" s="26"/>
      <c r="AE22" s="30"/>
      <c r="AF22" s="30"/>
      <c r="AG22" s="30"/>
      <c r="AH22" s="30"/>
      <c r="AI22" s="30"/>
    </row>
    <row r="23" spans="1:48" x14ac:dyDescent="0.25">
      <c r="A23" s="14"/>
      <c r="B23" s="32" t="s">
        <v>140</v>
      </c>
      <c r="C23" s="26"/>
      <c r="D23" s="26"/>
      <c r="E23" s="26"/>
      <c r="F23" s="26"/>
      <c r="W23" s="15"/>
      <c r="X23" s="36"/>
      <c r="Y23" s="36"/>
      <c r="Z23" s="36"/>
      <c r="AA23" s="35"/>
      <c r="AB23" s="34">
        <f>+AB4*1000000/AB13</f>
        <v>34215.301132599299</v>
      </c>
      <c r="AC23" s="34">
        <f>+AC4*1000000/AC13</f>
        <v>31300.529243722747</v>
      </c>
      <c r="AD23" s="26"/>
      <c r="AE23" s="30"/>
      <c r="AF23" s="30"/>
      <c r="AG23" s="30"/>
      <c r="AH23" s="30"/>
      <c r="AI23" s="30"/>
    </row>
    <row r="24" spans="1:48" x14ac:dyDescent="0.25">
      <c r="A24" s="14"/>
      <c r="B24" s="32" t="s">
        <v>141</v>
      </c>
      <c r="C24" s="26"/>
      <c r="D24" s="26"/>
      <c r="E24" s="26"/>
      <c r="F24" s="26"/>
      <c r="W24" s="15"/>
      <c r="X24" s="36"/>
      <c r="Y24" s="36"/>
      <c r="Z24" s="36"/>
      <c r="AA24" s="35"/>
      <c r="AB24" s="35">
        <f>+AB3*1000000/AB14</f>
        <v>39629.233511586463</v>
      </c>
      <c r="AC24" s="35">
        <f>+AC3*1000000/AC14</f>
        <v>31484.080235009009</v>
      </c>
      <c r="AD24" s="26"/>
      <c r="AE24" s="30"/>
      <c r="AF24" s="30"/>
      <c r="AG24" s="30"/>
      <c r="AH24" s="30"/>
      <c r="AI24" s="30"/>
    </row>
    <row r="25" spans="1:48" x14ac:dyDescent="0.25">
      <c r="A25" s="14"/>
      <c r="B25" s="32" t="s">
        <v>142</v>
      </c>
      <c r="C25" s="26"/>
      <c r="D25" s="26"/>
      <c r="E25" s="26"/>
      <c r="F25" s="26"/>
      <c r="W25" s="15"/>
      <c r="X25" s="36"/>
      <c r="Y25" s="36"/>
      <c r="Z25" s="36"/>
      <c r="AA25" s="35"/>
      <c r="AB25" s="34">
        <f>+AB5*1000000/AB16</f>
        <v>40762.22435282838</v>
      </c>
      <c r="AC25" s="34">
        <f>+AC5*1000000/AC16</f>
        <v>41720.232333010652</v>
      </c>
      <c r="AD25" s="26"/>
      <c r="AE25" s="30"/>
      <c r="AF25" s="30"/>
      <c r="AG25" s="30"/>
      <c r="AH25" s="30"/>
      <c r="AI25" s="30"/>
    </row>
    <row r="26" spans="1:48" x14ac:dyDescent="0.25">
      <c r="A26" s="14"/>
      <c r="B26" s="32" t="s">
        <v>151</v>
      </c>
      <c r="C26" s="26"/>
      <c r="D26" s="26"/>
      <c r="E26" s="26"/>
      <c r="F26" s="26"/>
      <c r="W26" s="15"/>
      <c r="X26" s="36"/>
      <c r="Y26" s="36"/>
      <c r="Z26" s="36"/>
      <c r="AA26" s="35"/>
      <c r="AB26" s="34">
        <f>+AB6*1000000/AB15</f>
        <v>37151.488616462346</v>
      </c>
      <c r="AC26" s="34">
        <f>+AC6*1000000/AC15</f>
        <v>38050.22831050228</v>
      </c>
      <c r="AD26" s="26"/>
      <c r="AE26" s="30"/>
      <c r="AF26" s="30"/>
      <c r="AG26" s="30"/>
      <c r="AH26" s="30"/>
      <c r="AI26" s="30"/>
    </row>
    <row r="27" spans="1:48" x14ac:dyDescent="0.25">
      <c r="A27" s="14"/>
      <c r="B27" s="32" t="s">
        <v>143</v>
      </c>
      <c r="C27" s="26"/>
      <c r="D27" s="26"/>
      <c r="E27" s="26"/>
      <c r="F27" s="26"/>
      <c r="W27" s="15"/>
      <c r="X27" s="36"/>
      <c r="Y27" s="36"/>
      <c r="Z27" s="36"/>
      <c r="AA27" s="35"/>
      <c r="AB27" s="34">
        <f>+AB10*1000000/AB17</f>
        <v>16001.188984181341</v>
      </c>
      <c r="AC27" s="34"/>
      <c r="AD27" s="26"/>
      <c r="AE27" s="30"/>
      <c r="AF27" s="30"/>
      <c r="AG27" s="30"/>
      <c r="AH27" s="30"/>
      <c r="AI27" s="30"/>
    </row>
    <row r="28" spans="1:48" x14ac:dyDescent="0.25">
      <c r="A28" s="14"/>
      <c r="B28" s="32" t="s">
        <v>144</v>
      </c>
      <c r="C28" s="26"/>
      <c r="D28" s="26"/>
      <c r="E28" s="26"/>
      <c r="F28" s="26"/>
      <c r="W28" s="15"/>
      <c r="X28" s="36"/>
      <c r="Y28" s="36"/>
      <c r="Z28" s="36"/>
      <c r="AA28" s="35"/>
      <c r="AB28" s="34">
        <f>+AB7*1000000/AB18</f>
        <v>51830.889399960892</v>
      </c>
      <c r="AC28" s="34" t="e">
        <f>+AC7*1000000/AC18</f>
        <v>#DIV/0!</v>
      </c>
      <c r="AD28" s="26"/>
      <c r="AE28" s="30"/>
      <c r="AF28" s="30"/>
      <c r="AG28" s="30"/>
      <c r="AH28" s="30"/>
      <c r="AI28" s="30"/>
    </row>
    <row r="29" spans="1:48" x14ac:dyDescent="0.25">
      <c r="A29" s="14"/>
      <c r="B29" s="32" t="s">
        <v>145</v>
      </c>
      <c r="C29" s="26"/>
      <c r="D29" s="26"/>
      <c r="E29" s="26"/>
      <c r="F29" s="26"/>
      <c r="W29" s="15"/>
      <c r="X29" s="36"/>
      <c r="Y29" s="36"/>
      <c r="Z29" s="36"/>
      <c r="AA29" s="35"/>
      <c r="AB29" s="34">
        <f>+AB8*1000000/AB19</f>
        <v>61263.669893217797</v>
      </c>
      <c r="AC29" s="34">
        <f>+AC8*1000000/AC19</f>
        <v>54399.540880865345</v>
      </c>
      <c r="AD29" s="26"/>
      <c r="AE29" s="30"/>
      <c r="AF29" s="30"/>
      <c r="AG29" s="30"/>
      <c r="AH29" s="30"/>
      <c r="AI29" s="30"/>
    </row>
    <row r="30" spans="1:48" x14ac:dyDescent="0.25">
      <c r="A30" s="14"/>
      <c r="B30" s="32" t="s">
        <v>146</v>
      </c>
      <c r="C30" s="26"/>
      <c r="D30" s="26"/>
      <c r="E30" s="26"/>
      <c r="F30" s="26"/>
      <c r="W30" s="15"/>
      <c r="X30" s="36"/>
      <c r="Y30" s="36"/>
      <c r="Z30" s="36"/>
      <c r="AA30" s="35"/>
      <c r="AB30" s="34">
        <f>+AB9*1000000/AB20</f>
        <v>41738.370469145593</v>
      </c>
      <c r="AC30" s="34">
        <f>+AC9*1000000/AC20</f>
        <v>40681.371384130136</v>
      </c>
      <c r="AD30" s="26"/>
      <c r="AE30" s="30"/>
      <c r="AF30" s="30"/>
      <c r="AG30" s="30"/>
      <c r="AH30" s="30"/>
      <c r="AI30" s="30"/>
    </row>
    <row r="31" spans="1:48" x14ac:dyDescent="0.25">
      <c r="A31" s="14"/>
      <c r="B31" s="32" t="s">
        <v>147</v>
      </c>
      <c r="C31" s="26"/>
      <c r="D31" s="26"/>
      <c r="E31" s="26"/>
      <c r="F31" s="26"/>
      <c r="W31" s="15"/>
      <c r="X31" s="36"/>
      <c r="Y31" s="36"/>
      <c r="Z31" s="36"/>
      <c r="AA31" s="35"/>
      <c r="AB31" s="34">
        <f>+AB11*1000000/AB21</f>
        <v>83872.290138922603</v>
      </c>
      <c r="AC31" s="34">
        <f>+AC11*1000000/AC21</f>
        <v>104284.57784563577</v>
      </c>
      <c r="AD31" s="26"/>
      <c r="AE31" s="30"/>
      <c r="AF31" s="30"/>
      <c r="AG31" s="30"/>
      <c r="AH31" s="30"/>
      <c r="AI31" s="30"/>
    </row>
    <row r="32" spans="1:48" x14ac:dyDescent="0.25">
      <c r="A32" s="14"/>
      <c r="B32" s="32"/>
      <c r="C32" s="26"/>
      <c r="D32" s="26"/>
      <c r="E32" s="26"/>
      <c r="F32" s="26"/>
      <c r="W32" s="15"/>
      <c r="X32" s="36"/>
      <c r="Y32" s="36"/>
      <c r="Z32" s="36"/>
      <c r="AA32" s="35"/>
      <c r="AB32" s="34"/>
      <c r="AC32" s="34"/>
      <c r="AD32" s="26"/>
      <c r="AE32" s="30"/>
      <c r="AF32" s="30"/>
      <c r="AG32" s="30"/>
      <c r="AH32" s="30"/>
      <c r="AI32" s="30"/>
    </row>
    <row r="33" spans="1:59" x14ac:dyDescent="0.25">
      <c r="A33" s="14"/>
      <c r="C33" s="26"/>
      <c r="D33" s="26"/>
      <c r="E33" s="26"/>
      <c r="F33" s="26"/>
      <c r="W33" s="15"/>
      <c r="X33" s="15"/>
      <c r="Y33" s="15"/>
      <c r="Z33" s="15"/>
      <c r="AA33" s="26"/>
      <c r="AC33" s="34"/>
      <c r="AD33" s="26"/>
      <c r="AE33" s="30"/>
      <c r="AF33" s="30"/>
      <c r="AG33" s="30"/>
      <c r="AH33" s="30"/>
      <c r="AI33" s="30"/>
      <c r="AV33" s="1">
        <f>+AV37*8/1000</f>
        <v>14225.304</v>
      </c>
    </row>
    <row r="34" spans="1:59" s="4" customFormat="1" x14ac:dyDescent="0.25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59" s="4" customFormat="1" x14ac:dyDescent="0.25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f>Z35*1</f>
        <v>22969</v>
      </c>
      <c r="AE35" s="5">
        <f>AA35*0.98</f>
        <v>16686.46</v>
      </c>
      <c r="AF35" s="5">
        <f>AB35*0.98</f>
        <v>21119.98</v>
      </c>
      <c r="AG35" s="5">
        <f>AC35*0.98</f>
        <v>22456.7</v>
      </c>
      <c r="AH35" s="5">
        <f>AD35*0.98</f>
        <v>22509.62</v>
      </c>
      <c r="AI35" s="5"/>
      <c r="AQ35" s="4">
        <f>SUM(G35:J35)</f>
        <v>66771</v>
      </c>
      <c r="AR35" s="4">
        <f>SUM(K35:N35)</f>
        <v>56950</v>
      </c>
      <c r="AS35" s="4">
        <f>SUM(O35:R35)</f>
        <v>24935</v>
      </c>
      <c r="AT35" s="4">
        <f>SUM(S35:V35)</f>
        <v>66705</v>
      </c>
      <c r="AU35" s="4">
        <f>SUM(W35:Z35)</f>
        <v>68874</v>
      </c>
      <c r="AV35" s="4">
        <f>SUM(AA35:AD35)</f>
        <v>84462</v>
      </c>
      <c r="AW35" s="4">
        <f>SUM(AE35:AH35)</f>
        <v>82772.759999999995</v>
      </c>
    </row>
    <row r="36" spans="1:59" s="4" customFormat="1" x14ac:dyDescent="0.25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f>Z36*1</f>
        <v>461538</v>
      </c>
      <c r="AE36" s="5">
        <f>AA36*0.98</f>
        <v>362387.33999999997</v>
      </c>
      <c r="AF36" s="5">
        <f>AB36*0.98</f>
        <v>413956.89999999997</v>
      </c>
      <c r="AG36" s="5">
        <f>AC36*0.98</f>
        <v>431175.5</v>
      </c>
      <c r="AH36" s="5">
        <f>AD36*0.98</f>
        <v>452307.24</v>
      </c>
      <c r="AI36" s="5"/>
      <c r="AQ36" s="4">
        <f>SUM(G36:J36)</f>
        <v>300885</v>
      </c>
      <c r="AR36" s="4">
        <f>SUM(K36:N36)</f>
        <v>442066</v>
      </c>
      <c r="AS36" s="4">
        <f>SUM(O36:R36)</f>
        <v>911015</v>
      </c>
      <c r="AT36" s="4">
        <f>SUM(S36:V36)</f>
        <v>1247146</v>
      </c>
      <c r="AU36" s="4">
        <f>SUM(W36:Z36)</f>
        <v>1739707</v>
      </c>
      <c r="AV36" s="4">
        <f>SUM(AA36:AD36)</f>
        <v>1693701</v>
      </c>
      <c r="AW36" s="4">
        <f>SUM(AE36:AH36)</f>
        <v>1659826.98</v>
      </c>
    </row>
    <row r="37" spans="1:59" s="6" customFormat="1" x14ac:dyDescent="0.25">
      <c r="B37" s="6" t="s">
        <v>11</v>
      </c>
      <c r="C37" s="7"/>
      <c r="D37" s="7"/>
      <c r="E37" s="7"/>
      <c r="F37" s="7"/>
      <c r="G37" s="7">
        <f t="shared" ref="G37:R37" si="10">G36+G35</f>
        <v>63019</v>
      </c>
      <c r="H37" s="7">
        <f t="shared" si="10"/>
        <v>95356</v>
      </c>
      <c r="I37" s="7">
        <f t="shared" si="10"/>
        <v>97186</v>
      </c>
      <c r="J37" s="7">
        <f t="shared" si="10"/>
        <v>112095</v>
      </c>
      <c r="K37" s="7">
        <f t="shared" si="10"/>
        <v>88496</v>
      </c>
      <c r="L37" s="7">
        <f t="shared" si="10"/>
        <v>90650</v>
      </c>
      <c r="M37" s="7">
        <f t="shared" si="10"/>
        <v>139300</v>
      </c>
      <c r="N37" s="7">
        <f t="shared" si="10"/>
        <v>180570</v>
      </c>
      <c r="O37" s="7">
        <f t="shared" si="10"/>
        <v>184800</v>
      </c>
      <c r="P37" s="7">
        <f t="shared" si="10"/>
        <v>201250</v>
      </c>
      <c r="Q37" s="7">
        <f t="shared" si="10"/>
        <v>241300</v>
      </c>
      <c r="R37" s="7">
        <f t="shared" si="10"/>
        <v>308600</v>
      </c>
      <c r="S37" s="7">
        <f t="shared" ref="S37:AC37" si="11">S36+S35</f>
        <v>310048</v>
      </c>
      <c r="T37" s="7">
        <f t="shared" si="11"/>
        <v>254695</v>
      </c>
      <c r="U37" s="7">
        <f t="shared" si="11"/>
        <v>343830</v>
      </c>
      <c r="V37" s="7">
        <f t="shared" si="11"/>
        <v>405278</v>
      </c>
      <c r="W37" s="7">
        <f t="shared" si="11"/>
        <v>422875</v>
      </c>
      <c r="X37" s="7">
        <f t="shared" si="11"/>
        <v>466140</v>
      </c>
      <c r="Y37" s="7">
        <f t="shared" si="11"/>
        <v>435059</v>
      </c>
      <c r="Z37" s="7">
        <f t="shared" si="11"/>
        <v>484507</v>
      </c>
      <c r="AA37" s="7">
        <f t="shared" si="11"/>
        <v>386810</v>
      </c>
      <c r="AB37" s="7">
        <f t="shared" si="11"/>
        <v>443956</v>
      </c>
      <c r="AC37" s="7">
        <f t="shared" si="11"/>
        <v>462890</v>
      </c>
      <c r="AD37" s="5">
        <f>Z37*1</f>
        <v>484507</v>
      </c>
      <c r="AE37" s="5">
        <f>AA37*1</f>
        <v>386810</v>
      </c>
      <c r="AF37" s="5">
        <f>AB37*1</f>
        <v>443956</v>
      </c>
      <c r="AG37" s="5">
        <f>AC37*1</f>
        <v>462890</v>
      </c>
      <c r="AH37" s="5">
        <f>AD37*1</f>
        <v>484507</v>
      </c>
      <c r="AI37" s="5"/>
      <c r="AQ37" s="6">
        <f t="shared" ref="AQ37:AU37" si="12">+AQ35+AQ36</f>
        <v>367656</v>
      </c>
      <c r="AR37" s="6">
        <f t="shared" si="12"/>
        <v>499016</v>
      </c>
      <c r="AS37" s="6">
        <f t="shared" si="12"/>
        <v>935950</v>
      </c>
      <c r="AT37" s="6">
        <f t="shared" si="12"/>
        <v>1313851</v>
      </c>
      <c r="AU37" s="6">
        <f t="shared" si="12"/>
        <v>1808581</v>
      </c>
      <c r="AV37" s="6">
        <f>+AV35+AV36</f>
        <v>1778163</v>
      </c>
      <c r="AW37" s="6">
        <f>+AW35+AW36</f>
        <v>1742599.74</v>
      </c>
      <c r="AX37" s="6">
        <f>AX42</f>
        <v>1950087.9860000003</v>
      </c>
      <c r="AY37" s="6">
        <f>AY42</f>
        <v>2145096.7846000004</v>
      </c>
      <c r="AZ37" s="6">
        <f t="shared" ref="AW37:AZ37" si="13">AZ42</f>
        <v>2359606.4630600004</v>
      </c>
      <c r="BA37" s="6">
        <f t="shared" ref="BA37:BB37" si="14">BA42</f>
        <v>2595567.1093660006</v>
      </c>
      <c r="BB37" s="6">
        <f t="shared" si="14"/>
        <v>2855123.820302601</v>
      </c>
      <c r="BC37" s="6">
        <f t="shared" ref="BC37:BG37" si="15">BC42</f>
        <v>3140636.2023328613</v>
      </c>
      <c r="BD37" s="6">
        <f t="shared" si="15"/>
        <v>3454699.8225661474</v>
      </c>
      <c r="BE37" s="6">
        <f t="shared" si="15"/>
        <v>3800169.8048227625</v>
      </c>
      <c r="BF37" s="6">
        <f t="shared" si="15"/>
        <v>4180186.785305039</v>
      </c>
      <c r="BG37" s="6">
        <f t="shared" si="15"/>
        <v>4598205.463835543</v>
      </c>
    </row>
    <row r="38" spans="1:59" s="4" customFormat="1" x14ac:dyDescent="0.25">
      <c r="B38" s="4" t="s">
        <v>12</v>
      </c>
      <c r="C38" s="5"/>
      <c r="D38" s="5"/>
      <c r="E38" s="5"/>
      <c r="F38" s="5"/>
      <c r="G38" s="5">
        <f t="shared" ref="G38:AA38" si="16">G45*1000000/G37</f>
        <v>55681.619828940478</v>
      </c>
      <c r="H38" s="5">
        <f t="shared" si="16"/>
        <v>54196.904232560089</v>
      </c>
      <c r="I38" s="5">
        <f t="shared" si="16"/>
        <v>52805.95970613051</v>
      </c>
      <c r="J38" s="5">
        <f t="shared" si="16"/>
        <v>54801.730674873994</v>
      </c>
      <c r="K38" s="5">
        <f t="shared" si="16"/>
        <v>55290.634604953899</v>
      </c>
      <c r="L38" s="5">
        <f t="shared" si="16"/>
        <v>54175.399889685606</v>
      </c>
      <c r="M38" s="5">
        <f t="shared" si="16"/>
        <v>52735.10409188801</v>
      </c>
      <c r="N38" s="5">
        <f t="shared" si="16"/>
        <v>47809.713684443705</v>
      </c>
      <c r="O38" s="5">
        <f t="shared" si="16"/>
        <v>44301.948051948049</v>
      </c>
      <c r="P38" s="5">
        <f t="shared" si="16"/>
        <v>47304.34782608696</v>
      </c>
      <c r="Q38" s="5">
        <f t="shared" si="16"/>
        <v>47215.084956485705</v>
      </c>
      <c r="R38" s="5">
        <f t="shared" si="16"/>
        <v>48687.621516526247</v>
      </c>
      <c r="S38" s="5">
        <f t="shared" si="16"/>
        <v>50037.413561771078</v>
      </c>
      <c r="T38" s="5">
        <f t="shared" si="16"/>
        <v>53672.039105596894</v>
      </c>
      <c r="U38" s="5">
        <f t="shared" si="16"/>
        <v>51726.143733821948</v>
      </c>
      <c r="V38" s="5">
        <f t="shared" si="16"/>
        <v>51902.644604444358</v>
      </c>
      <c r="W38" s="5">
        <f t="shared" si="16"/>
        <v>44642.033697901272</v>
      </c>
      <c r="X38" s="5">
        <f t="shared" si="16"/>
        <v>43804.436435405674</v>
      </c>
      <c r="Y38" s="5">
        <f t="shared" si="16"/>
        <v>42711.448332295156</v>
      </c>
      <c r="Z38" s="5">
        <f t="shared" si="16"/>
        <v>42579.364178432923</v>
      </c>
      <c r="AA38" s="5">
        <f t="shared" si="16"/>
        <v>42553.191489361699</v>
      </c>
      <c r="AB38" s="5">
        <f>AB45*1000000/AB37</f>
        <v>41738.370469145593</v>
      </c>
      <c r="AC38" s="5">
        <f>AC45*1000000/AC37</f>
        <v>40681.371384130136</v>
      </c>
      <c r="AD38" s="5">
        <f>AD45*1000000/AD37</f>
        <v>42579.364178432923</v>
      </c>
      <c r="AE38" s="5">
        <f>AE45*1000000/AE37</f>
        <v>42127.659574468082</v>
      </c>
      <c r="AF38" s="5">
        <f>AF45*1000000/AF37</f>
        <v>41320.986764454137</v>
      </c>
      <c r="AG38" s="5">
        <f>AG45*1000000/AG37</f>
        <v>40274.557670288836</v>
      </c>
      <c r="AH38" s="5">
        <f>AH45*1000000/AH37</f>
        <v>42153.570536648593</v>
      </c>
      <c r="AI38" s="5"/>
      <c r="AQ38" s="5">
        <f t="shared" ref="AQ38:AV38" si="17">AQ45/AQ37*1000000</f>
        <v>54268.120199316756</v>
      </c>
      <c r="AR38" s="5">
        <f t="shared" si="17"/>
        <v>51667.681998172404</v>
      </c>
      <c r="AS38" s="5">
        <f t="shared" si="17"/>
        <v>47144.612425877451</v>
      </c>
      <c r="AT38" s="5">
        <f t="shared" si="17"/>
        <v>51759.293862089384</v>
      </c>
      <c r="AU38" s="5">
        <f>AU45/AU37*1000000</f>
        <v>43409.169951470241</v>
      </c>
      <c r="AV38" s="5">
        <f>AV45/AV37*1000000</f>
        <v>41869.614877826156</v>
      </c>
      <c r="AW38" s="5">
        <f>AW45/AW37*1000000</f>
        <v>42296.855845967242</v>
      </c>
      <c r="AX38" s="4">
        <f>AW38*1.01</f>
        <v>42719.824404426916</v>
      </c>
      <c r="AY38" s="4">
        <f>AX38*1.01</f>
        <v>43147.022648471182</v>
      </c>
      <c r="AZ38" s="4">
        <f>AY38*1.01</f>
        <v>43578.492874955897</v>
      </c>
      <c r="BA38" s="4">
        <f>AZ38*1.01</f>
        <v>44014.27780370546</v>
      </c>
      <c r="BB38" s="4">
        <f>BA38*1.01</f>
        <v>44454.420581742517</v>
      </c>
      <c r="BC38" s="4">
        <f>BB38*1.01</f>
        <v>44898.96478755994</v>
      </c>
      <c r="BD38" s="4">
        <f>BC38*1.01</f>
        <v>45347.954435435538</v>
      </c>
      <c r="BE38" s="4">
        <f>BD38*1.01</f>
        <v>45801.433979789894</v>
      </c>
      <c r="BF38" s="4">
        <f>BE38*1.01</f>
        <v>46259.448319587791</v>
      </c>
      <c r="BG38" s="4">
        <f>BF38*1.01</f>
        <v>46722.042802783668</v>
      </c>
    </row>
    <row r="39" spans="1:59" s="4" customForma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59" s="4" customFormat="1" x14ac:dyDescent="0.25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f>Z40*1</f>
        <v>18212</v>
      </c>
      <c r="AE40" s="5">
        <f t="shared" ref="AE40:AE41" si="18">AA40*0.98</f>
        <v>20575.099999999999</v>
      </c>
      <c r="AF40" s="5">
        <f t="shared" ref="AF40:AF41" si="19">AB40*0.98</f>
        <v>23769.899999999998</v>
      </c>
      <c r="AG40" s="5">
        <f t="shared" ref="AG40:AG41" si="20">AC40*0.98</f>
        <v>25605.439999999999</v>
      </c>
      <c r="AH40" s="5">
        <f t="shared" ref="AH40:AH41" si="21">AD40*0.98</f>
        <v>17847.759999999998</v>
      </c>
      <c r="AI40" s="5"/>
      <c r="AQ40" s="4">
        <f>SUM(G40:J40)</f>
        <v>62931</v>
      </c>
      <c r="AR40" s="4">
        <f>SUM(K40:N40)</f>
        <v>54805</v>
      </c>
      <c r="AS40" s="4">
        <f>SUM(O40:R40)</f>
        <v>24390</v>
      </c>
      <c r="AT40" s="4">
        <f>SUM(S40:V40)</f>
        <v>71177</v>
      </c>
      <c r="AU40" s="4">
        <f t="shared" ref="AU40:AU41" si="22">SUM(W40:Z40)</f>
        <v>70826</v>
      </c>
      <c r="AV40" s="4">
        <f>SUM(AA40:AD40)</f>
        <v>89590</v>
      </c>
      <c r="AW40" s="4">
        <f>SUM(AE40:AH40)</f>
        <v>87798.2</v>
      </c>
    </row>
    <row r="41" spans="1:59" s="4" customFormat="1" x14ac:dyDescent="0.25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f>Z41*1</f>
        <v>476777</v>
      </c>
      <c r="AE41" s="5">
        <f t="shared" si="18"/>
        <v>404128.48</v>
      </c>
      <c r="AF41" s="5">
        <f t="shared" si="19"/>
        <v>378844.48</v>
      </c>
      <c r="AG41" s="5">
        <f t="shared" si="20"/>
        <v>434794.64</v>
      </c>
      <c r="AH41" s="5">
        <f t="shared" si="21"/>
        <v>467241.45999999996</v>
      </c>
      <c r="AI41" s="5"/>
      <c r="AQ41" s="4">
        <f>SUM(G41:J41)</f>
        <v>302301</v>
      </c>
      <c r="AR41" s="4">
        <f>SUM(K41:N41)</f>
        <v>454932</v>
      </c>
      <c r="AS41" s="4">
        <f>SUM(O41:R41)</f>
        <v>906032</v>
      </c>
      <c r="AT41" s="4">
        <f>SUM(S41:V41)</f>
        <v>1298434</v>
      </c>
      <c r="AU41" s="4">
        <f t="shared" si="22"/>
        <v>1775159</v>
      </c>
      <c r="AV41" s="4">
        <f t="shared" ref="AV40:AV41" si="23">SUM(AA41:AD41)</f>
        <v>1719397</v>
      </c>
      <c r="AW41" s="4">
        <f>SUM(AE41:AH41)</f>
        <v>1685009.06</v>
      </c>
    </row>
    <row r="42" spans="1:59" s="6" customFormat="1" x14ac:dyDescent="0.25">
      <c r="B42" s="6" t="s">
        <v>15</v>
      </c>
      <c r="C42" s="7"/>
      <c r="D42" s="7"/>
      <c r="E42" s="7"/>
      <c r="F42" s="7"/>
      <c r="G42" s="7">
        <f t="shared" ref="G42:R42" si="24">G41+G40</f>
        <v>77138</v>
      </c>
      <c r="H42" s="7">
        <f t="shared" si="24"/>
        <v>87048</v>
      </c>
      <c r="I42" s="7">
        <f t="shared" si="24"/>
        <v>96155</v>
      </c>
      <c r="J42" s="7">
        <f t="shared" si="24"/>
        <v>104891</v>
      </c>
      <c r="K42" s="7">
        <f t="shared" si="24"/>
        <v>102672</v>
      </c>
      <c r="L42" s="7">
        <f t="shared" si="24"/>
        <v>82272</v>
      </c>
      <c r="M42" s="7">
        <f t="shared" si="24"/>
        <v>145036</v>
      </c>
      <c r="N42" s="7">
        <f t="shared" si="24"/>
        <v>179757</v>
      </c>
      <c r="O42" s="7">
        <f t="shared" si="24"/>
        <v>180338</v>
      </c>
      <c r="P42" s="7">
        <f t="shared" si="24"/>
        <v>206421</v>
      </c>
      <c r="Q42" s="7">
        <f t="shared" si="24"/>
        <v>237823</v>
      </c>
      <c r="R42" s="7">
        <f t="shared" si="24"/>
        <v>305840</v>
      </c>
      <c r="S42" s="7">
        <f>S41+S40</f>
        <v>305407</v>
      </c>
      <c r="T42" s="7">
        <f>T41+T40</f>
        <v>258580</v>
      </c>
      <c r="U42" s="7">
        <f t="shared" ref="U42:AC42" si="25">+U40+U41</f>
        <v>365923</v>
      </c>
      <c r="V42" s="7">
        <f t="shared" si="25"/>
        <v>439701</v>
      </c>
      <c r="W42" s="7">
        <f t="shared" si="25"/>
        <v>440808</v>
      </c>
      <c r="X42" s="7">
        <f t="shared" si="25"/>
        <v>479700</v>
      </c>
      <c r="Y42" s="7">
        <f t="shared" si="25"/>
        <v>430488</v>
      </c>
      <c r="Z42" s="7">
        <f t="shared" si="25"/>
        <v>494989</v>
      </c>
      <c r="AA42" s="7">
        <f t="shared" si="25"/>
        <v>433371</v>
      </c>
      <c r="AB42" s="7">
        <f t="shared" si="25"/>
        <v>410831</v>
      </c>
      <c r="AC42" s="7">
        <f t="shared" si="25"/>
        <v>469796</v>
      </c>
      <c r="AD42" s="5">
        <f>Z42*1</f>
        <v>494989</v>
      </c>
      <c r="AE42" s="5">
        <f>AA42*1</f>
        <v>433371</v>
      </c>
      <c r="AF42" s="5">
        <f>AB42*1</f>
        <v>410831</v>
      </c>
      <c r="AG42" s="5">
        <f>AC42*1</f>
        <v>469796</v>
      </c>
      <c r="AH42" s="5">
        <f>AD42*1</f>
        <v>494989</v>
      </c>
      <c r="AI42" s="5"/>
      <c r="AQ42" s="6">
        <f>+AQ40+AQ41</f>
        <v>365232</v>
      </c>
      <c r="AR42" s="6">
        <f>+AR40+AR41</f>
        <v>509737</v>
      </c>
      <c r="AS42" s="6">
        <f>+AS40+AS41</f>
        <v>930422</v>
      </c>
      <c r="AT42" s="6">
        <f>+AT40+AT41</f>
        <v>1369611</v>
      </c>
      <c r="AU42" s="6">
        <f>SUM(W42:Z42)</f>
        <v>1845985</v>
      </c>
      <c r="AV42" s="6">
        <f>+AV40+AV41</f>
        <v>1808987</v>
      </c>
      <c r="AW42" s="6">
        <f>+AW40+AW41</f>
        <v>1772807.26</v>
      </c>
      <c r="AX42" s="6">
        <f>AW42*1.1</f>
        <v>1950087.9860000003</v>
      </c>
      <c r="AY42" s="6">
        <f>AX42*1.1</f>
        <v>2145096.7846000004</v>
      </c>
      <c r="AZ42" s="6">
        <f>AY42*1.1</f>
        <v>2359606.4630600004</v>
      </c>
      <c r="BA42" s="6">
        <f>AZ42*1.1</f>
        <v>2595567.1093660006</v>
      </c>
      <c r="BB42" s="6">
        <f>BA42*1.1</f>
        <v>2855123.820302601</v>
      </c>
      <c r="BC42" s="6">
        <f>BB42*1.1</f>
        <v>3140636.2023328613</v>
      </c>
      <c r="BD42" s="6">
        <f>BC42*1.1</f>
        <v>3454699.8225661474</v>
      </c>
      <c r="BE42" s="6">
        <f>BD42*1.1</f>
        <v>3800169.8048227625</v>
      </c>
      <c r="BF42" s="6">
        <f>BE42*1.1</f>
        <v>4180186.785305039</v>
      </c>
      <c r="BG42" s="6">
        <f>BF42*1.1</f>
        <v>4598205.463835543</v>
      </c>
    </row>
    <row r="43" spans="1:59" s="4" customForma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U43" s="25"/>
    </row>
    <row r="44" spans="1:59" s="4" customFormat="1" x14ac:dyDescent="0.25">
      <c r="B44" s="38" t="s">
        <v>163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U44" s="25"/>
      <c r="AV44" s="4">
        <f>+AV118-AU118</f>
        <v>506.03647999999998</v>
      </c>
      <c r="AW44" s="4">
        <f>+AW118-$AU$118</f>
        <v>1029.5276672</v>
      </c>
      <c r="AX44" s="4">
        <f>+AX118-$AU$118</f>
        <v>1919.1407776000005</v>
      </c>
      <c r="AY44" s="4">
        <f>+AY118-$AU$118</f>
        <v>2917.5858264320004</v>
      </c>
      <c r="AZ44" s="4">
        <f>+AZ118-$AU$118</f>
        <v>4084.5184772544017</v>
      </c>
      <c r="BA44" s="4">
        <f>+BA118-$AU$118</f>
        <v>5443.6517999769621</v>
      </c>
      <c r="BB44" s="4">
        <f>+BB118-$AU$118</f>
        <v>7021.7566024714906</v>
      </c>
      <c r="BC44" s="4">
        <f>+BC118-$AU$118</f>
        <v>8095.2831589052694</v>
      </c>
      <c r="BD44" s="4">
        <f>+BD118-$AU$118</f>
        <v>9301.2874606010882</v>
      </c>
      <c r="BE44" s="4">
        <f>+BE118-$AU$118</f>
        <v>10655.52979104702</v>
      </c>
      <c r="BF44" s="4">
        <f>+BF118-$AU$118</f>
        <v>12175.597712976127</v>
      </c>
      <c r="BG44" s="4">
        <f>+BG118-$AU$118</f>
        <v>13881.11392138058</v>
      </c>
    </row>
    <row r="45" spans="1:59" s="4" customFormat="1" x14ac:dyDescent="0.25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5">
        <v>18530</v>
      </c>
      <c r="AC45" s="5">
        <v>18831</v>
      </c>
      <c r="AD45" s="5">
        <f>Z45*1</f>
        <v>20630</v>
      </c>
      <c r="AE45" s="5">
        <f>AA45*0.99</f>
        <v>16295.4</v>
      </c>
      <c r="AF45" s="5">
        <f>AB45*0.99</f>
        <v>18344.7</v>
      </c>
      <c r="AG45" s="5">
        <f>AC45*0.99</f>
        <v>18642.689999999999</v>
      </c>
      <c r="AH45" s="5">
        <f>AD45*0.99</f>
        <v>20423.7</v>
      </c>
      <c r="AI45" s="5"/>
      <c r="AQ45" s="4">
        <f t="shared" ref="AQ45:AQ50" si="26">SUM(G45:J45)</f>
        <v>19952</v>
      </c>
      <c r="AR45" s="4">
        <f>SUM(K45:N45)</f>
        <v>25783</v>
      </c>
      <c r="AS45" s="4">
        <f>SUM(O45:R45)</f>
        <v>44125</v>
      </c>
      <c r="AT45" s="43">
        <f>SUM(S45:V45)</f>
        <v>68004</v>
      </c>
      <c r="AU45" s="4">
        <f>SUM(W45:Z45)</f>
        <v>78509</v>
      </c>
      <c r="AV45" s="4">
        <f>SUM(AA45:AD45)</f>
        <v>74451</v>
      </c>
      <c r="AW45" s="4">
        <f>SUM(AE45:AH45)</f>
        <v>73706.489999999991</v>
      </c>
      <c r="AX45" s="4">
        <f>AX38*AX42/1000000</f>
        <v>83307.416335102535</v>
      </c>
      <c r="AY45" s="4">
        <f>AY38*AY42/1000000</f>
        <v>92554.539548298926</v>
      </c>
      <c r="AZ45" s="4">
        <f>AZ38*AZ42/1000000</f>
        <v>102828.09343816011</v>
      </c>
      <c r="BA45" s="4">
        <f t="shared" ref="AW45:BB45" si="27">BA38*BA42/1000000</f>
        <v>114242.01180979589</v>
      </c>
      <c r="BB45" s="4">
        <f t="shared" si="27"/>
        <v>126922.87512068327</v>
      </c>
      <c r="BC45" s="4">
        <f t="shared" ref="BC45:BG45" si="28">BC38*BC42/1000000</f>
        <v>141011.31425907911</v>
      </c>
      <c r="BD45" s="4">
        <f t="shared" si="28"/>
        <v>156663.57014183688</v>
      </c>
      <c r="BE45" s="4">
        <f t="shared" si="28"/>
        <v>174053.22642758081</v>
      </c>
      <c r="BF45" s="4">
        <f t="shared" si="28"/>
        <v>193373.13456104227</v>
      </c>
      <c r="BG45" s="4">
        <f t="shared" si="28"/>
        <v>214837.55249731796</v>
      </c>
    </row>
    <row r="46" spans="1:59" s="4" customFormat="1" x14ac:dyDescent="0.25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29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f>Z46*1</f>
        <v>433</v>
      </c>
      <c r="AE46" s="5">
        <f>AA46*1.01</f>
        <v>446.42</v>
      </c>
      <c r="AF46" s="5">
        <f>AB46*1.01</f>
        <v>898.9</v>
      </c>
      <c r="AG46" s="5">
        <f>AC46*1.01</f>
        <v>746.39</v>
      </c>
      <c r="AH46" s="5">
        <f>AD46*1.01</f>
        <v>437.33</v>
      </c>
      <c r="AI46" s="5"/>
      <c r="AQ46" s="4">
        <f t="shared" si="26"/>
        <v>0</v>
      </c>
      <c r="AR46" s="4">
        <f>SUM(K46:N46)</f>
        <v>401</v>
      </c>
      <c r="AS46" s="4">
        <f t="shared" ref="AS46:AS52" si="30">SUM(O46:R46)</f>
        <v>1465</v>
      </c>
      <c r="AT46" s="4">
        <f>SUM(S46:V46)</f>
        <v>1748.6</v>
      </c>
      <c r="AU46" s="4">
        <f>SUM(W46:Z46)</f>
        <v>1790</v>
      </c>
      <c r="AV46" s="4">
        <f>SUM(AA46:AD46)</f>
        <v>2504</v>
      </c>
      <c r="AW46" s="4">
        <f>SUM(AE46:AH46)</f>
        <v>2529.04</v>
      </c>
      <c r="AX46" s="4">
        <f>AW46*1.03</f>
        <v>2604.9112</v>
      </c>
      <c r="AY46" s="4">
        <f>AX46*1.03</f>
        <v>2683.058536</v>
      </c>
      <c r="AZ46" s="4">
        <f>AY46*1.03</f>
        <v>2763.55029208</v>
      </c>
      <c r="BA46" s="4">
        <f>AZ46*1.03</f>
        <v>2846.4568008423998</v>
      </c>
      <c r="BB46" s="4">
        <f>BA46*1.03</f>
        <v>2931.850504867672</v>
      </c>
      <c r="BC46" s="4">
        <f>BB46*1.03</f>
        <v>3019.8060200137024</v>
      </c>
      <c r="BD46" s="4">
        <f>BC46*1.03</f>
        <v>3110.4002006141136</v>
      </c>
      <c r="BE46" s="4">
        <f>BD46*1.03</f>
        <v>3203.7122066325369</v>
      </c>
      <c r="BF46" s="4">
        <f>BE46*1.03</f>
        <v>3299.823572831513</v>
      </c>
      <c r="BG46" s="4">
        <f>BF46*1.03</f>
        <v>3398.8182800164586</v>
      </c>
    </row>
    <row r="47" spans="1:59" s="4" customFormat="1" x14ac:dyDescent="0.25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29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f>Z47*1</f>
        <v>500</v>
      </c>
      <c r="AE47" s="5">
        <f>AA47*1.01</f>
        <v>480.76</v>
      </c>
      <c r="AF47" s="5">
        <f>AB47*1.01</f>
        <v>462.58</v>
      </c>
      <c r="AG47" s="5">
        <f>AC47*1.01</f>
        <v>450.46</v>
      </c>
      <c r="AH47" s="5">
        <f>AD47*1.01</f>
        <v>505</v>
      </c>
      <c r="AI47" s="5"/>
      <c r="AQ47" s="4">
        <f t="shared" si="26"/>
        <v>869</v>
      </c>
      <c r="AR47" s="4">
        <f>SUM(K47:N47)</f>
        <v>1052</v>
      </c>
      <c r="AS47" s="4">
        <f t="shared" si="30"/>
        <v>1642</v>
      </c>
      <c r="AT47" s="4">
        <f>SUM(S47:V47)</f>
        <v>2756.2</v>
      </c>
      <c r="AU47" s="4">
        <f>SUM(W47:Z47)</f>
        <v>2120</v>
      </c>
      <c r="AV47" s="4">
        <f>SUM(AA47:AD47)</f>
        <v>1880</v>
      </c>
      <c r="AW47" s="4">
        <f>SUM(AE47:AH47)</f>
        <v>1898.8</v>
      </c>
      <c r="AX47" s="4">
        <f>AW47*1.03</f>
        <v>1955.7639999999999</v>
      </c>
      <c r="AY47" s="4">
        <f>AX47*1.03</f>
        <v>2014.4369199999999</v>
      </c>
      <c r="AZ47" s="4">
        <f>AY47*1.03</f>
        <v>2074.8700276</v>
      </c>
      <c r="BA47" s="4">
        <f>AZ47*1.03</f>
        <v>2137.1161284280001</v>
      </c>
      <c r="BB47" s="4">
        <f>BA47*1.03</f>
        <v>2201.2296122808402</v>
      </c>
      <c r="BC47" s="4">
        <f>BB47*1.03</f>
        <v>2267.2665006492657</v>
      </c>
      <c r="BD47" s="4">
        <f>BC47*1.03</f>
        <v>2335.2844956687436</v>
      </c>
      <c r="BE47" s="4">
        <f>BD47*1.03</f>
        <v>2405.343030538806</v>
      </c>
      <c r="BF47" s="4">
        <f>BE47*1.03</f>
        <v>2477.5033214549703</v>
      </c>
      <c r="BG47" s="4">
        <f>BF47*1.03</f>
        <v>2551.8284210986194</v>
      </c>
    </row>
    <row r="48" spans="1:59" s="6" customFormat="1" x14ac:dyDescent="0.25">
      <c r="B48" s="6" t="s">
        <v>35</v>
      </c>
      <c r="C48" s="7"/>
      <c r="D48" s="7"/>
      <c r="E48" s="7"/>
      <c r="F48" s="7"/>
      <c r="G48" s="7">
        <f t="shared" ref="G48:K48" si="31">SUM(G45:G47)</f>
        <v>3724</v>
      </c>
      <c r="H48" s="7">
        <f t="shared" si="31"/>
        <v>5376</v>
      </c>
      <c r="I48" s="7">
        <f t="shared" si="31"/>
        <v>5353</v>
      </c>
      <c r="J48" s="7">
        <f t="shared" si="31"/>
        <v>6368</v>
      </c>
      <c r="K48" s="7">
        <f t="shared" si="31"/>
        <v>5132</v>
      </c>
      <c r="L48" s="7">
        <f t="shared" ref="L48" si="32">SUM(L45:L47)</f>
        <v>5179</v>
      </c>
      <c r="M48" s="7">
        <f t="shared" ref="M48:R48" si="33">SUM(M45:M47)</f>
        <v>7611</v>
      </c>
      <c r="N48" s="7">
        <f t="shared" si="33"/>
        <v>9314</v>
      </c>
      <c r="O48" s="7">
        <f t="shared" si="33"/>
        <v>9002</v>
      </c>
      <c r="P48" s="7">
        <f t="shared" si="33"/>
        <v>10206</v>
      </c>
      <c r="Q48" s="7">
        <f t="shared" si="33"/>
        <v>12057</v>
      </c>
      <c r="R48" s="7">
        <f t="shared" si="33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H48" si="34">SUM(V45:V47)</f>
        <v>22353.8</v>
      </c>
      <c r="W48" s="7">
        <f t="shared" si="34"/>
        <v>19963</v>
      </c>
      <c r="X48" s="7">
        <f t="shared" si="34"/>
        <v>21268</v>
      </c>
      <c r="Y48" s="7">
        <f t="shared" si="34"/>
        <v>19625</v>
      </c>
      <c r="Z48" s="7">
        <f t="shared" si="34"/>
        <v>21563</v>
      </c>
      <c r="AA48" s="7">
        <f t="shared" si="34"/>
        <v>17378</v>
      </c>
      <c r="AB48" s="7">
        <f t="shared" si="34"/>
        <v>19878</v>
      </c>
      <c r="AC48" s="7">
        <f t="shared" si="34"/>
        <v>20016</v>
      </c>
      <c r="AD48" s="7">
        <f t="shared" si="34"/>
        <v>21563</v>
      </c>
      <c r="AE48" s="7">
        <f>SUM(AE45:AE47)</f>
        <v>17222.579999999998</v>
      </c>
      <c r="AF48" s="7">
        <f>SUM(AF45:AF47)</f>
        <v>19706.180000000004</v>
      </c>
      <c r="AG48" s="7">
        <f t="shared" si="34"/>
        <v>19839.539999999997</v>
      </c>
      <c r="AH48" s="7">
        <f t="shared" si="34"/>
        <v>21366.030000000002</v>
      </c>
      <c r="AI48" s="7"/>
      <c r="AQ48" s="6">
        <f>SUM(AQ45:AQ47)</f>
        <v>20821</v>
      </c>
      <c r="AR48" s="6">
        <f>SUM(AR45:AR47)</f>
        <v>27236</v>
      </c>
      <c r="AS48" s="6">
        <f>SUM(AS45:AS47)</f>
        <v>47232</v>
      </c>
      <c r="AT48" s="6">
        <f>SUM(AT45:AT47)</f>
        <v>72508.800000000003</v>
      </c>
      <c r="AU48" s="6">
        <f>SUM(AU45:AU47)</f>
        <v>82419</v>
      </c>
      <c r="AV48" s="6">
        <f>AV45+AV46+AV47</f>
        <v>78835</v>
      </c>
      <c r="AW48" s="6">
        <f>AW45+AW46+AW47</f>
        <v>78134.329999999987</v>
      </c>
      <c r="AX48" s="6">
        <f>AX45+AX46+AX47</f>
        <v>87868.091535102532</v>
      </c>
      <c r="AY48" s="6">
        <f>AY45+AY46+AY47</f>
        <v>97252.035004298916</v>
      </c>
      <c r="AZ48" s="6">
        <f>AZ45+AZ46+AZ47</f>
        <v>107666.51375784012</v>
      </c>
      <c r="BA48" s="6">
        <f>BA45+BA46+BA47</f>
        <v>119225.58473906628</v>
      </c>
      <c r="BB48" s="6">
        <f>BB45+BB46+BB47</f>
        <v>132055.95523783177</v>
      </c>
      <c r="BC48" s="6">
        <f>BC45+BC46+BC47</f>
        <v>146298.38677974208</v>
      </c>
      <c r="BD48" s="6">
        <f>BD45+BD46+BD47</f>
        <v>162109.25483811976</v>
      </c>
      <c r="BE48" s="6">
        <f>BE45+BE46+BE47</f>
        <v>179662.28166475217</v>
      </c>
      <c r="BF48" s="6">
        <f>BF45+BF46+BF47</f>
        <v>199150.46145532877</v>
      </c>
      <c r="BG48" s="6">
        <f>BG45+BG46+BG47</f>
        <v>220788.19919843302</v>
      </c>
    </row>
    <row r="49" spans="2:59" s="4" customFormat="1" x14ac:dyDescent="0.25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35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f>Z49*1.4</f>
        <v>2013.1999999999998</v>
      </c>
      <c r="AE49" s="5">
        <f>AA49*1.1</f>
        <v>1798.5000000000002</v>
      </c>
      <c r="AF49" s="5">
        <f>AB49*1.1</f>
        <v>3315.4</v>
      </c>
      <c r="AG49" s="5">
        <f>AC49*1.1</f>
        <v>2613.6000000000004</v>
      </c>
      <c r="AH49" s="5">
        <f>AD49*1.1</f>
        <v>2214.52</v>
      </c>
      <c r="AI49" s="5"/>
      <c r="AK49" s="4">
        <v>1921.877</v>
      </c>
      <c r="AL49" s="4">
        <v>3007.0120000000002</v>
      </c>
      <c r="AM49" s="4">
        <v>3740.973</v>
      </c>
      <c r="AQ49" s="4">
        <f t="shared" si="26"/>
        <v>1531</v>
      </c>
      <c r="AR49" s="4">
        <f>SUM(K49:N49)</f>
        <v>1994</v>
      </c>
      <c r="AS49" s="4">
        <f>SUM(O49:R49)</f>
        <v>2789</v>
      </c>
      <c r="AT49" s="4">
        <f>SUM(S49:V49)</f>
        <v>3562.2</v>
      </c>
      <c r="AU49" s="4">
        <f>SUM(W49:Z49)</f>
        <v>6035</v>
      </c>
      <c r="AV49" s="4">
        <f>SUM(AA49:AD49)</f>
        <v>9038.2000000000007</v>
      </c>
      <c r="AW49" s="4">
        <f>AV49*1.4</f>
        <v>12653.48</v>
      </c>
      <c r="AX49" s="4">
        <f>AW49*1.4</f>
        <v>17714.871999999999</v>
      </c>
      <c r="AY49" s="4">
        <f>AX49*1.4</f>
        <v>24800.820799999998</v>
      </c>
      <c r="AZ49" s="4">
        <f>AY49*1.3</f>
        <v>32241.067039999998</v>
      </c>
      <c r="BA49" s="4">
        <f>AZ49*1.3</f>
        <v>41913.387151999996</v>
      </c>
      <c r="BB49" s="4">
        <f>BA49*1.3</f>
        <v>54487.403297599994</v>
      </c>
      <c r="BC49" s="4">
        <f>BB49*1.2</f>
        <v>65384.883957119993</v>
      </c>
      <c r="BD49" s="4">
        <f>BC49*1.2</f>
        <v>78461.860748543986</v>
      </c>
      <c r="BE49" s="4">
        <f>BD49*1.2</f>
        <v>94154.232898252783</v>
      </c>
      <c r="BF49" s="4">
        <f>BE49*1.2</f>
        <v>112985.07947790333</v>
      </c>
      <c r="BG49" s="4">
        <f>BF49*1.1</f>
        <v>124283.58742569368</v>
      </c>
    </row>
    <row r="50" spans="2:59" s="4" customFormat="1" x14ac:dyDescent="0.25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35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f>Z50*1.34</f>
        <v>2902.44</v>
      </c>
      <c r="AE50" s="5">
        <f>AA50*1.15</f>
        <v>2631.2</v>
      </c>
      <c r="AF50" s="5">
        <f>AB50*1.15</f>
        <v>2999.2</v>
      </c>
      <c r="AG50" s="5">
        <f>AC50*1.15</f>
        <v>3208.4999999999995</v>
      </c>
      <c r="AH50" s="5">
        <f>AD50*1.15</f>
        <v>3337.8059999999996</v>
      </c>
      <c r="AI50" s="5"/>
      <c r="AK50" s="4">
        <v>91.619</v>
      </c>
      <c r="AL50" s="4">
        <v>191.34399999999999</v>
      </c>
      <c r="AM50" s="4">
        <v>305.05200000000002</v>
      </c>
      <c r="AQ50" s="4">
        <f t="shared" si="26"/>
        <v>2226</v>
      </c>
      <c r="AR50" s="4">
        <f>SUM(K50:N50)</f>
        <v>2306</v>
      </c>
      <c r="AS50" s="4">
        <f t="shared" si="30"/>
        <v>3802</v>
      </c>
      <c r="AT50" s="4">
        <f>SUM(S50:V50)</f>
        <v>5879.6</v>
      </c>
      <c r="AU50" s="4">
        <f>SUM(W50:Z50)</f>
        <v>8319</v>
      </c>
      <c r="AV50" s="4">
        <f>SUM(AA50:AD50)</f>
        <v>10588.44</v>
      </c>
      <c r="AW50" s="4">
        <f>AV50*1.2</f>
        <v>12706.128000000001</v>
      </c>
      <c r="AX50" s="4">
        <f>AW50*1.2</f>
        <v>15247.3536</v>
      </c>
      <c r="AY50" s="4">
        <f>AX50*1.2</f>
        <v>18296.82432</v>
      </c>
      <c r="AZ50" s="4">
        <f>AY50*1.2</f>
        <v>21956.189183999999</v>
      </c>
      <c r="BA50" s="4">
        <f>AZ50*1.2</f>
        <v>26347.427020799998</v>
      </c>
      <c r="BB50" s="4">
        <f>BA50*1.2</f>
        <v>31616.912424959995</v>
      </c>
      <c r="BC50" s="4">
        <f>BB50*1.1</f>
        <v>34778.603667455995</v>
      </c>
      <c r="BD50" s="4">
        <f>BC50*1.1</f>
        <v>38256.464034201599</v>
      </c>
      <c r="BE50" s="4">
        <f>BD50*1.1</f>
        <v>42082.110437621763</v>
      </c>
      <c r="BF50" s="4">
        <f>BE50*1.1</f>
        <v>46290.321481383944</v>
      </c>
      <c r="BG50" s="4">
        <f>BF50*1.1</f>
        <v>50919.353629522346</v>
      </c>
    </row>
    <row r="51" spans="2:59" s="6" customFormat="1" x14ac:dyDescent="0.25">
      <c r="B51" s="6" t="s">
        <v>38</v>
      </c>
      <c r="C51" s="7"/>
      <c r="D51" s="7"/>
      <c r="E51" s="7"/>
      <c r="F51" s="7"/>
      <c r="G51" s="7">
        <f t="shared" ref="G51:K51" si="36">SUM(G48:G50)</f>
        <v>4541</v>
      </c>
      <c r="H51" s="7">
        <f t="shared" si="36"/>
        <v>6350</v>
      </c>
      <c r="I51" s="7">
        <f t="shared" si="36"/>
        <v>6303</v>
      </c>
      <c r="J51" s="7">
        <f t="shared" si="36"/>
        <v>7384</v>
      </c>
      <c r="K51" s="7">
        <f t="shared" si="36"/>
        <v>5985</v>
      </c>
      <c r="L51" s="7">
        <f t="shared" ref="L51" si="37">SUM(L48:L50)</f>
        <v>6036</v>
      </c>
      <c r="M51" s="7">
        <f t="shared" ref="M51:R51" si="38">SUM(M48:M50)</f>
        <v>8771</v>
      </c>
      <c r="N51" s="7">
        <f t="shared" si="38"/>
        <v>10744</v>
      </c>
      <c r="O51" s="7">
        <f t="shared" si="38"/>
        <v>10389</v>
      </c>
      <c r="P51" s="7">
        <f t="shared" si="38"/>
        <v>11958</v>
      </c>
      <c r="Q51" s="7">
        <f t="shared" si="38"/>
        <v>13757</v>
      </c>
      <c r="R51" s="7">
        <f t="shared" si="38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H51" si="39">SUM(V48:V50)</f>
        <v>24806.6</v>
      </c>
      <c r="W51" s="7">
        <f t="shared" si="39"/>
        <v>23329</v>
      </c>
      <c r="X51" s="7">
        <f t="shared" si="39"/>
        <v>24927</v>
      </c>
      <c r="Y51" s="7">
        <f t="shared" si="39"/>
        <v>23350</v>
      </c>
      <c r="Z51" s="7">
        <f t="shared" si="39"/>
        <v>25167</v>
      </c>
      <c r="AA51" s="7">
        <f t="shared" si="39"/>
        <v>21301</v>
      </c>
      <c r="AB51" s="7">
        <f t="shared" si="39"/>
        <v>25500</v>
      </c>
      <c r="AC51" s="7">
        <f t="shared" si="39"/>
        <v>25182</v>
      </c>
      <c r="AD51" s="7">
        <f t="shared" si="39"/>
        <v>26478.639999999999</v>
      </c>
      <c r="AE51" s="7">
        <f>SUM(AE48:AE50)</f>
        <v>21652.28</v>
      </c>
      <c r="AF51" s="7">
        <f t="shared" si="39"/>
        <v>26020.780000000006</v>
      </c>
      <c r="AG51" s="7">
        <f t="shared" si="39"/>
        <v>25661.64</v>
      </c>
      <c r="AH51" s="7">
        <f t="shared" si="39"/>
        <v>26918.356000000003</v>
      </c>
      <c r="AI51" s="7"/>
      <c r="AK51" s="6">
        <f>AK49+AK50</f>
        <v>2013.4959999999999</v>
      </c>
      <c r="AL51" s="6">
        <f>AL49+AL50</f>
        <v>3198.3560000000002</v>
      </c>
      <c r="AM51" s="6">
        <f>AM49+AM50</f>
        <v>4046.0250000000001</v>
      </c>
      <c r="AN51" s="6">
        <v>7000.1319999999996</v>
      </c>
      <c r="AO51" s="6">
        <v>11758.751</v>
      </c>
      <c r="AP51" s="6">
        <v>21461.268</v>
      </c>
      <c r="AQ51" s="6">
        <f t="shared" ref="AQ51:AT51" si="40">SUM(AQ48:AQ50)</f>
        <v>24578</v>
      </c>
      <c r="AR51" s="6">
        <f t="shared" si="40"/>
        <v>31536</v>
      </c>
      <c r="AS51" s="6">
        <f t="shared" si="40"/>
        <v>53823</v>
      </c>
      <c r="AT51" s="6">
        <f t="shared" si="40"/>
        <v>81950.600000000006</v>
      </c>
      <c r="AU51" s="6">
        <f>SUM(AU48:AU50)</f>
        <v>96773</v>
      </c>
      <c r="AV51" s="6">
        <f>SUM(AV48:AV50)+AV44</f>
        <v>98967.676479999995</v>
      </c>
      <c r="AW51" s="6">
        <f>SUM(AW48:AW50)+AW44</f>
        <v>104523.46566719998</v>
      </c>
      <c r="AX51" s="6">
        <f>SUM(AX48:AX50)+AX44</f>
        <v>122749.45791270254</v>
      </c>
      <c r="AY51" s="6">
        <f>SUM(AY48:AY50)+AY44</f>
        <v>143267.26595073091</v>
      </c>
      <c r="AZ51" s="6">
        <f t="shared" ref="AY51:BB51" si="41">SUM(AZ48:AZ50)+AZ44</f>
        <v>165948.2884590945</v>
      </c>
      <c r="BA51" s="6">
        <f t="shared" si="41"/>
        <v>192930.05071184327</v>
      </c>
      <c r="BB51" s="6">
        <f t="shared" si="41"/>
        <v>225182.02756286325</v>
      </c>
      <c r="BC51" s="6">
        <f t="shared" ref="BC51" si="42">SUM(BC48:BC50)+BC44</f>
        <v>254557.15756322336</v>
      </c>
      <c r="BD51" s="6">
        <f>SUM(BD48:BD50)+BD44</f>
        <v>288128.86708146642</v>
      </c>
      <c r="BE51" s="6">
        <f>SUM(BE48:BE50)+BE44</f>
        <v>326554.15479167376</v>
      </c>
      <c r="BF51" s="6">
        <f>SUM(BF48:BF50)+BF44</f>
        <v>370601.46012759214</v>
      </c>
      <c r="BG51" s="6">
        <f>SUM(BG48:BG50)+BG44</f>
        <v>409872.2541750297</v>
      </c>
    </row>
    <row r="52" spans="2:59" s="4" customFormat="1" x14ac:dyDescent="0.25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15990</v>
      </c>
      <c r="AD52" s="5">
        <f>Z52*1</f>
        <v>17202</v>
      </c>
      <c r="AE52" s="5">
        <f>AA52*1</f>
        <v>13897</v>
      </c>
      <c r="AF52" s="5">
        <f>AB52*1</f>
        <v>15962</v>
      </c>
      <c r="AG52" s="5">
        <f>AC52*1</f>
        <v>15990</v>
      </c>
      <c r="AH52" s="5">
        <f>AD52*1</f>
        <v>17202</v>
      </c>
      <c r="AI52" s="5"/>
      <c r="AK52" s="4">
        <v>1483.3209999999999</v>
      </c>
      <c r="AS52" s="4">
        <f t="shared" si="30"/>
        <v>32415</v>
      </c>
      <c r="AT52" s="4">
        <f>SUM(S52:V52)</f>
        <v>49599</v>
      </c>
      <c r="AU52" s="4">
        <f t="shared" ref="AU52:AU66" si="43">SUM(W52:Z52)</f>
        <v>65121</v>
      </c>
      <c r="AV52" s="4">
        <f>SUM(AA52:AD52)</f>
        <v>63051</v>
      </c>
      <c r="AW52" s="4">
        <f>SUM(AE52:AH52)</f>
        <v>63051</v>
      </c>
      <c r="AX52" s="4">
        <f>AX45*0.79</f>
        <v>65812.858904731009</v>
      </c>
      <c r="AY52" s="4">
        <f>AY45*0.79</f>
        <v>73118.086243156155</v>
      </c>
      <c r="AZ52" s="4">
        <f>AZ45*0.79</f>
        <v>81234.193816146493</v>
      </c>
      <c r="BA52" s="4">
        <f>BA45*0.79</f>
        <v>90251.189329738758</v>
      </c>
      <c r="BB52" s="4">
        <f>BB45*0.79</f>
        <v>100269.07134533979</v>
      </c>
      <c r="BC52" s="4">
        <f>BC45*0.79</f>
        <v>111398.9382646725</v>
      </c>
      <c r="BD52" s="4">
        <f>BD45*0.79</f>
        <v>123764.22041205115</v>
      </c>
      <c r="BE52" s="4">
        <f>BE45*0.79</f>
        <v>137502.04887778885</v>
      </c>
      <c r="BF52" s="4">
        <f>BF45*0.79</f>
        <v>152764.77630322339</v>
      </c>
      <c r="BG52" s="4">
        <f>BG45*0.79</f>
        <v>169721.66647288119</v>
      </c>
    </row>
    <row r="53" spans="2:59" s="4" customFormat="1" x14ac:dyDescent="0.25">
      <c r="B53" s="4" t="s">
        <v>40</v>
      </c>
      <c r="C53" s="5"/>
      <c r="D53" s="5"/>
      <c r="E53" s="5"/>
      <c r="F53" s="5"/>
      <c r="G53" s="5">
        <f t="shared" ref="G53:N53" si="44">G45-G52</f>
        <v>653</v>
      </c>
      <c r="H53" s="5">
        <f t="shared" si="44"/>
        <v>914</v>
      </c>
      <c r="I53" s="5">
        <f t="shared" si="44"/>
        <v>1118</v>
      </c>
      <c r="J53" s="5">
        <f t="shared" si="44"/>
        <v>1328</v>
      </c>
      <c r="K53" s="5">
        <f t="shared" si="44"/>
        <v>1194</v>
      </c>
      <c r="L53" s="5">
        <f t="shared" si="44"/>
        <v>1197</v>
      </c>
      <c r="M53" s="5">
        <f t="shared" si="44"/>
        <v>1985</v>
      </c>
      <c r="N53" s="5">
        <f t="shared" si="44"/>
        <v>1711</v>
      </c>
      <c r="O53" s="5">
        <f t="shared" ref="O53:R53" si="45">O45-O52</f>
        <v>1730</v>
      </c>
      <c r="P53" s="5">
        <f t="shared" si="45"/>
        <v>2401</v>
      </c>
      <c r="Q53" s="5">
        <f t="shared" si="45"/>
        <v>3243</v>
      </c>
      <c r="R53" s="5">
        <f t="shared" si="45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46">V45-V52</f>
        <v>5602</v>
      </c>
      <c r="W53" s="5">
        <f>W45-W52</f>
        <v>3456</v>
      </c>
      <c r="X53" s="5">
        <f t="shared" si="46"/>
        <v>3578</v>
      </c>
      <c r="Y53" s="5">
        <f t="shared" si="46"/>
        <v>2926</v>
      </c>
      <c r="Z53" s="5">
        <f t="shared" si="46"/>
        <v>3428</v>
      </c>
      <c r="AA53" s="5">
        <f>AA45-AA52</f>
        <v>2563</v>
      </c>
      <c r="AB53" s="5">
        <f>AB45-AB52</f>
        <v>2568</v>
      </c>
      <c r="AC53" s="5">
        <f>AC45-AC52</f>
        <v>2841</v>
      </c>
      <c r="AD53" s="5">
        <f>AD45-AD52</f>
        <v>3428</v>
      </c>
      <c r="AE53" s="5">
        <f>AE45-AE52</f>
        <v>2398.3999999999996</v>
      </c>
      <c r="AF53" s="5">
        <f>AF45-AF52</f>
        <v>2382.7000000000007</v>
      </c>
      <c r="AG53" s="5">
        <f>AG45-AG52</f>
        <v>2652.6899999999987</v>
      </c>
      <c r="AH53" s="5">
        <f>AH45-AH52</f>
        <v>3221.7000000000007</v>
      </c>
      <c r="AI53" s="5"/>
      <c r="AS53" s="4">
        <f>SUM(R53:U53)</f>
        <v>17139</v>
      </c>
      <c r="AT53" s="4">
        <f>SUM(S53:V53)</f>
        <v>18405</v>
      </c>
      <c r="AU53" s="4">
        <f>SUM(W53:Z53)</f>
        <v>13388</v>
      </c>
      <c r="AV53" s="4">
        <f>SUM(AA53:AD53)</f>
        <v>11400</v>
      </c>
      <c r="AW53" s="4">
        <f>SUM(AE53:AH53)</f>
        <v>10655.49</v>
      </c>
      <c r="AX53" s="4">
        <f>AX45-AX52</f>
        <v>17494.557430371526</v>
      </c>
      <c r="AY53" s="4">
        <f>AY45-AY52</f>
        <v>19436.453305142772</v>
      </c>
      <c r="AZ53" s="4">
        <f>AZ45-AZ52</f>
        <v>21593.899622013618</v>
      </c>
      <c r="BA53" s="4">
        <f>BA45-BA52</f>
        <v>23990.822480057133</v>
      </c>
      <c r="BB53" s="4">
        <f>BB45-BB52</f>
        <v>26653.803775343476</v>
      </c>
      <c r="BC53" s="4">
        <f>BC45-BC52</f>
        <v>29612.375994406611</v>
      </c>
      <c r="BD53" s="4">
        <f>BD45-BD52</f>
        <v>32899.349729785739</v>
      </c>
      <c r="BE53" s="4">
        <f>BE45-BE52</f>
        <v>36551.177549791959</v>
      </c>
      <c r="BF53" s="4">
        <f>BF45-BF52</f>
        <v>40608.35825781888</v>
      </c>
      <c r="BG53" s="4">
        <f>BG45-BG52</f>
        <v>45115.886024436768</v>
      </c>
    </row>
    <row r="54" spans="2:59" s="4" customFormat="1" x14ac:dyDescent="0.25">
      <c r="B54" s="28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V54" s="4">
        <f t="shared" ref="AV52:AV59" si="47">SUM(AA54:AD54)</f>
        <v>0</v>
      </c>
      <c r="AW54" s="4">
        <f>0.2*AW44</f>
        <v>205.90553344</v>
      </c>
      <c r="AX54" s="4">
        <f>0.2*AX44</f>
        <v>383.82815552000011</v>
      </c>
      <c r="AY54" s="4">
        <f>0.2*AY44</f>
        <v>583.51716528640009</v>
      </c>
      <c r="AZ54" s="4">
        <f>0.2*AZ44</f>
        <v>816.90369545088038</v>
      </c>
      <c r="BA54" s="4">
        <f>0.2*BA44</f>
        <v>1088.7303599953925</v>
      </c>
      <c r="BB54" s="4">
        <f>0.2*BB44</f>
        <v>1404.3513204942983</v>
      </c>
      <c r="BC54" s="4">
        <f>0.2*BC44</f>
        <v>1619.056631781054</v>
      </c>
      <c r="BD54" s="4">
        <f>0.2*BD44</f>
        <v>1860.2574921202176</v>
      </c>
      <c r="BE54" s="4">
        <f>0.2*BE44</f>
        <v>2131.105958209404</v>
      </c>
      <c r="BF54" s="4">
        <f>0.2*BF44</f>
        <v>2435.1195425952255</v>
      </c>
      <c r="BG54" s="4">
        <f>0.2*BG44</f>
        <v>2776.2227842761163</v>
      </c>
    </row>
    <row r="55" spans="2:59" s="4" customFormat="1" x14ac:dyDescent="0.25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v>247</v>
      </c>
      <c r="AE55" s="5"/>
      <c r="AF55" s="5"/>
      <c r="AG55" s="5"/>
      <c r="AH55" s="5"/>
      <c r="AI55" s="5"/>
      <c r="AT55" s="4">
        <f>SUM(S55:V55)</f>
        <v>1510</v>
      </c>
      <c r="AU55" s="4">
        <f t="shared" si="43"/>
        <v>1268</v>
      </c>
      <c r="AV55" s="4">
        <f>SUM(AA55:AD55)</f>
        <v>1008</v>
      </c>
      <c r="AW55" s="4">
        <f>AV55*1.05</f>
        <v>1058.4000000000001</v>
      </c>
      <c r="AX55" s="4">
        <f>AW55*1.05</f>
        <v>1111.3200000000002</v>
      </c>
      <c r="AY55" s="4">
        <f>AX55*1.05</f>
        <v>1166.8860000000002</v>
      </c>
      <c r="AZ55" s="4">
        <f>AY55*1.05</f>
        <v>1225.2303000000002</v>
      </c>
      <c r="BA55" s="4">
        <f>AZ55*1.05</f>
        <v>1286.4918150000003</v>
      </c>
      <c r="BB55" s="4">
        <f>BA55*1.05</f>
        <v>1350.8164057500003</v>
      </c>
      <c r="BC55" s="4">
        <f>BB55*1.05</f>
        <v>1418.3572260375004</v>
      </c>
      <c r="BD55" s="4">
        <f>BC55*1.05</f>
        <v>1489.2750873393754</v>
      </c>
      <c r="BE55" s="4">
        <f>BD55*1.05</f>
        <v>1563.7388417063444</v>
      </c>
      <c r="BF55" s="4">
        <f>BE55*1.05</f>
        <v>1641.9257837916616</v>
      </c>
      <c r="BG55" s="4">
        <f>BF55*1.05</f>
        <v>1724.0220729812447</v>
      </c>
    </row>
    <row r="56" spans="2:59" s="4" customFormat="1" x14ac:dyDescent="0.25">
      <c r="B56" s="4" t="s">
        <v>42</v>
      </c>
      <c r="C56" s="5"/>
      <c r="D56" s="5"/>
      <c r="E56" s="5"/>
      <c r="F56" s="5"/>
      <c r="G56" s="5">
        <f t="shared" ref="G56:K56" si="48">G48-G55-G52</f>
        <v>751</v>
      </c>
      <c r="H56" s="5">
        <f t="shared" si="48"/>
        <v>1016</v>
      </c>
      <c r="I56" s="5">
        <f t="shared" si="48"/>
        <v>1222</v>
      </c>
      <c r="J56" s="5">
        <f t="shared" si="48"/>
        <v>1434</v>
      </c>
      <c r="K56" s="5">
        <f t="shared" si="48"/>
        <v>1311</v>
      </c>
      <c r="L56" s="5">
        <f t="shared" ref="L56" si="49">L48-L55-L52</f>
        <v>1317</v>
      </c>
      <c r="M56" s="5">
        <f t="shared" ref="M56:N56" si="50">M48-M55-M52</f>
        <v>2105</v>
      </c>
      <c r="N56" s="5">
        <f t="shared" si="50"/>
        <v>2244</v>
      </c>
      <c r="O56" s="5">
        <f>O48-O55-O52</f>
        <v>2385</v>
      </c>
      <c r="P56" s="5">
        <f t="shared" ref="P56:S56" si="51">P48-P55-P52</f>
        <v>2899</v>
      </c>
      <c r="Q56" s="5">
        <f t="shared" si="51"/>
        <v>3673</v>
      </c>
      <c r="R56" s="5">
        <f t="shared" si="51"/>
        <v>4882</v>
      </c>
      <c r="S56" s="5">
        <f t="shared" si="51"/>
        <v>5539</v>
      </c>
      <c r="T56" s="5">
        <f>T48-T55-T52</f>
        <v>4080</v>
      </c>
      <c r="U56" s="5">
        <f>U48-U55-U52</f>
        <v>5212</v>
      </c>
      <c r="V56" s="5">
        <f t="shared" ref="V56:AA56" si="52">V48-V55-V52</f>
        <v>6568.7999999999993</v>
      </c>
      <c r="W56" s="5">
        <f>W48-W55-W52</f>
        <v>4208</v>
      </c>
      <c r="X56" s="5">
        <f t="shared" si="52"/>
        <v>4089</v>
      </c>
      <c r="Y56" s="5">
        <f t="shared" si="52"/>
        <v>3668</v>
      </c>
      <c r="Z56" s="5">
        <f t="shared" si="52"/>
        <v>4065</v>
      </c>
      <c r="AA56" s="5">
        <f t="shared" si="52"/>
        <v>3212</v>
      </c>
      <c r="AB56" s="5">
        <f>AB48-AB55-AB52</f>
        <v>3671</v>
      </c>
      <c r="AC56" s="5">
        <f>AC48-AC55-AC52</f>
        <v>3779</v>
      </c>
      <c r="AD56" s="5">
        <f>AD48-AD55-AD52</f>
        <v>4114</v>
      </c>
      <c r="AE56" s="5"/>
      <c r="AF56" s="5"/>
      <c r="AG56" s="5"/>
      <c r="AH56" s="5"/>
      <c r="AI56" s="5"/>
      <c r="AT56" s="4">
        <f>SUM(S56:V56)</f>
        <v>21399.8</v>
      </c>
      <c r="AU56" s="4">
        <f>SUM(W56:Z56)</f>
        <v>16030</v>
      </c>
      <c r="AV56" s="4">
        <f>SUM(AA56:AD56)</f>
        <v>14776</v>
      </c>
      <c r="AW56" s="4">
        <f>AW48-AW52-AW55</f>
        <v>14024.929999999988</v>
      </c>
      <c r="AX56" s="4">
        <f>AX48-AX52-AX55</f>
        <v>20943.912630371524</v>
      </c>
      <c r="AY56" s="4">
        <f>AY48-AY52-AY55</f>
        <v>22967.062761142763</v>
      </c>
      <c r="AZ56" s="4">
        <f>AZ48-AZ52-AZ55</f>
        <v>25207.089641693627</v>
      </c>
      <c r="BA56" s="4">
        <f>BA48-BA52-BA55</f>
        <v>27687.903594327523</v>
      </c>
      <c r="BB56" s="4">
        <f>BB48-BB52-BB55</f>
        <v>30436.067486741984</v>
      </c>
      <c r="BC56" s="4">
        <f>BC48-BC52-BC55</f>
        <v>33481.091289032083</v>
      </c>
      <c r="BD56" s="4">
        <f>BD48-BD52-BD55</f>
        <v>36855.759338729236</v>
      </c>
      <c r="BE56" s="4">
        <f>BE48-BE52-BE55</f>
        <v>40596.493945256974</v>
      </c>
      <c r="BF56" s="4">
        <f>BF48-BF52-BF55</f>
        <v>44743.759368313717</v>
      </c>
      <c r="BG56" s="4">
        <f>BG48-BG52-BG55</f>
        <v>49342.510652570592</v>
      </c>
    </row>
    <row r="57" spans="2:59" s="4" customFormat="1" x14ac:dyDescent="0.25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f>Z57*1.3</f>
        <v>1461.2</v>
      </c>
      <c r="AE57" s="5"/>
      <c r="AF57" s="5"/>
      <c r="AG57" s="5"/>
      <c r="AH57" s="5"/>
      <c r="AI57" s="5"/>
      <c r="AT57" s="4">
        <f>SUM(S57:V57)</f>
        <v>3621</v>
      </c>
      <c r="AU57" s="4">
        <f>SUM(W57:Z57)</f>
        <v>4894</v>
      </c>
      <c r="AV57" s="4">
        <f>SUM(AA57:AD57)</f>
        <v>6618.2</v>
      </c>
      <c r="AW57" s="4">
        <f>AW49*0.65</f>
        <v>8224.7620000000006</v>
      </c>
      <c r="AX57" s="4">
        <f>AX49*0.65</f>
        <v>11514.666800000001</v>
      </c>
      <c r="AY57" s="4">
        <f>AY49*0.65</f>
        <v>16120.533519999999</v>
      </c>
      <c r="AZ57" s="4">
        <f>AZ49*0.6</f>
        <v>19344.640223999999</v>
      </c>
      <c r="BA57" s="4">
        <f>BA49*0.6</f>
        <v>25148.032291199997</v>
      </c>
      <c r="BB57" s="4">
        <f>BB49*0.6</f>
        <v>32692.441978559997</v>
      </c>
      <c r="BC57" s="4">
        <f>BC49*0.6</f>
        <v>39230.930374271993</v>
      </c>
      <c r="BD57" s="4">
        <f>BD49*0.5</f>
        <v>39230.930374271993</v>
      </c>
      <c r="BE57" s="4">
        <f>BE49*0.5</f>
        <v>47077.116449126392</v>
      </c>
      <c r="BF57" s="4">
        <f>BF49*0.5</f>
        <v>56492.539738951666</v>
      </c>
      <c r="BG57" s="4">
        <f>BG49*0.5</f>
        <v>62141.79371284684</v>
      </c>
    </row>
    <row r="58" spans="2:59" s="4" customFormat="1" x14ac:dyDescent="0.25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f>Z58*1.26</f>
        <v>2654.82</v>
      </c>
      <c r="AE58" s="5"/>
      <c r="AF58" s="5"/>
      <c r="AG58" s="5"/>
      <c r="AH58" s="5"/>
      <c r="AI58" s="5"/>
      <c r="AT58" s="4">
        <f>SUM(S58:V58)</f>
        <v>5880</v>
      </c>
      <c r="AU58" s="4">
        <f t="shared" si="43"/>
        <v>7830</v>
      </c>
      <c r="AV58" s="4">
        <f t="shared" si="47"/>
        <v>9846.82</v>
      </c>
      <c r="AW58" s="4">
        <f>0.8*AW50</f>
        <v>10164.902400000001</v>
      </c>
      <c r="AX58" s="4">
        <f>0.8*AX50</f>
        <v>12197.882880000001</v>
      </c>
      <c r="AY58" s="4">
        <f>0.8*AY50</f>
        <v>14637.459456000001</v>
      </c>
      <c r="AZ58" s="4">
        <f>0.8*AZ50</f>
        <v>17564.9513472</v>
      </c>
      <c r="BA58" s="4">
        <f>0.8*BA50</f>
        <v>21077.941616640001</v>
      </c>
      <c r="BB58" s="4">
        <f>0.8*BB50</f>
        <v>25293.529939967997</v>
      </c>
      <c r="BC58" s="4">
        <f>0.8*BC50</f>
        <v>27822.882933964796</v>
      </c>
      <c r="BD58" s="4">
        <f>0.8*BD50</f>
        <v>30605.171227361279</v>
      </c>
      <c r="BE58" s="4">
        <f>0.8*BE50</f>
        <v>33665.688350097415</v>
      </c>
      <c r="BF58" s="4">
        <f>0.8*BF50</f>
        <v>37032.257185107155</v>
      </c>
      <c r="BG58" s="4">
        <f>0.8*BG50</f>
        <v>40735.482903617878</v>
      </c>
    </row>
    <row r="59" spans="2:59" s="4" customFormat="1" x14ac:dyDescent="0.25">
      <c r="B59" s="4" t="s">
        <v>45</v>
      </c>
      <c r="C59" s="5"/>
      <c r="D59" s="5"/>
      <c r="E59" s="5"/>
      <c r="F59" s="5"/>
      <c r="G59" s="5">
        <f t="shared" ref="G59:K59" si="53">G56+G49+G50-G57-G58</f>
        <v>566</v>
      </c>
      <c r="H59" s="5">
        <f t="shared" si="53"/>
        <v>921</v>
      </c>
      <c r="I59" s="5">
        <f t="shared" si="53"/>
        <v>1191</v>
      </c>
      <c r="J59" s="5">
        <f t="shared" si="53"/>
        <v>1391</v>
      </c>
      <c r="K59" s="5">
        <f t="shared" si="53"/>
        <v>1234</v>
      </c>
      <c r="L59" s="5">
        <f t="shared" ref="L59" si="54">L56+L49+L50-L57-L58</f>
        <v>1267</v>
      </c>
      <c r="M59" s="5">
        <f t="shared" ref="M59:T59" si="55">M56+M49+M50-M57-M58</f>
        <v>2063</v>
      </c>
      <c r="N59" s="5">
        <f t="shared" si="55"/>
        <v>2066</v>
      </c>
      <c r="O59" s="5">
        <f t="shared" si="55"/>
        <v>2215</v>
      </c>
      <c r="P59" s="5">
        <f t="shared" si="55"/>
        <v>2884</v>
      </c>
      <c r="Q59" s="5">
        <f t="shared" si="55"/>
        <v>3660</v>
      </c>
      <c r="R59" s="5">
        <f t="shared" si="55"/>
        <v>4847</v>
      </c>
      <c r="S59" s="5">
        <f t="shared" si="55"/>
        <v>5460</v>
      </c>
      <c r="T59" s="5">
        <f t="shared" si="55"/>
        <v>4233</v>
      </c>
      <c r="U59" s="5">
        <f t="shared" ref="U59:AD59" si="56">U56+U49+U50-U57-U58</f>
        <v>5382</v>
      </c>
      <c r="V59" s="5">
        <f t="shared" si="56"/>
        <v>6265.5999999999985</v>
      </c>
      <c r="W59" s="5">
        <f t="shared" si="56"/>
        <v>4511</v>
      </c>
      <c r="X59" s="5">
        <f t="shared" si="56"/>
        <v>4533</v>
      </c>
      <c r="Y59" s="5">
        <f t="shared" si="56"/>
        <v>4178</v>
      </c>
      <c r="Z59" s="5">
        <f t="shared" si="56"/>
        <v>4438</v>
      </c>
      <c r="AA59" s="5">
        <f>AA56+AA49+AA50-AA57-AA58</f>
        <v>3696</v>
      </c>
      <c r="AB59" s="5">
        <f t="shared" si="56"/>
        <v>4578</v>
      </c>
      <c r="AC59" s="5">
        <f t="shared" si="56"/>
        <v>4750</v>
      </c>
      <c r="AD59" s="5">
        <f>AD56+AD49+AD50-AD57-AD58</f>
        <v>4913.619999999999</v>
      </c>
      <c r="AE59" s="5">
        <f>AE51*0.2</f>
        <v>4330.4560000000001</v>
      </c>
      <c r="AF59" s="5">
        <f>AF51*0.2</f>
        <v>5204.1560000000018</v>
      </c>
      <c r="AG59" s="5">
        <f>AG51*0.2</f>
        <v>5132.3280000000004</v>
      </c>
      <c r="AH59" s="5">
        <f>AH51*0.2</f>
        <v>5383.6712000000007</v>
      </c>
      <c r="AI59" s="5"/>
      <c r="AT59" s="5">
        <f t="shared" ref="AT59" si="57">+AT51*0.25</f>
        <v>20487.650000000001</v>
      </c>
      <c r="AU59" s="4">
        <f t="shared" si="43"/>
        <v>17660</v>
      </c>
      <c r="AV59" s="4">
        <f>SUM(AA59:AD59)</f>
        <v>17937.62</v>
      </c>
      <c r="AW59" s="5">
        <f>AW51-AW52-AW54-AW55-AW57-AW58</f>
        <v>21818.495733759977</v>
      </c>
      <c r="AX59" s="5">
        <f>AX51-AX52-AX54-AX55-AX57-AX58</f>
        <v>31728.901172451526</v>
      </c>
      <c r="AY59" s="5">
        <f>AY51-AY52-AY54-AY55-AY57-AY58</f>
        <v>37640.783566288374</v>
      </c>
      <c r="AZ59" s="5">
        <f>AZ51-AZ52-AZ54-AZ55-AZ57-AZ58</f>
        <v>45762.369076297138</v>
      </c>
      <c r="BA59" s="5">
        <f>BA51-BA52-BA54-BA55-BA57-BA58</f>
        <v>54077.665299269123</v>
      </c>
      <c r="BB59" s="5">
        <f>BB51-BB52-BB54-BB55-BB57-BB58</f>
        <v>64171.816572751181</v>
      </c>
      <c r="BC59" s="5">
        <f>BC51-BC52-BC54-BC55-BC57-BC58</f>
        <v>73066.992132495521</v>
      </c>
      <c r="BD59" s="5">
        <f>BD51-BD52-BD54-BD55-BD57-BD58</f>
        <v>91179.012488322449</v>
      </c>
      <c r="BE59" s="5">
        <f>BE51-BE52-BE54-BE55-BE57-BE58</f>
        <v>104614.45631474536</v>
      </c>
      <c r="BF59" s="5">
        <f>BF51-BF52-BF54-BF55-BF57-BF58</f>
        <v>120234.84157392304</v>
      </c>
      <c r="BG59" s="5">
        <f>BG51-BG52-BG54-BG55-BG57-BG58</f>
        <v>132773.06622842641</v>
      </c>
    </row>
    <row r="60" spans="2:59" s="4" customFormat="1" x14ac:dyDescent="0.25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f>Z60*1.01</f>
        <v>1104.94</v>
      </c>
      <c r="AE60" s="5">
        <f>AD60*1.02</f>
        <v>1127.0388</v>
      </c>
      <c r="AF60" s="5">
        <f>AE60*1.02</f>
        <v>1149.5795760000001</v>
      </c>
      <c r="AG60" s="5">
        <f>AF60*1.02</f>
        <v>1172.57116752</v>
      </c>
      <c r="AH60" s="5">
        <f>AG60*1.02</f>
        <v>1196.0225908704001</v>
      </c>
      <c r="AI60" s="5"/>
      <c r="AT60" s="4">
        <f>SUM(S60:V60)</f>
        <v>3075</v>
      </c>
      <c r="AU60" s="4">
        <f>SUM(W60:Z60)</f>
        <v>3969</v>
      </c>
      <c r="AV60" s="4">
        <f>SUM(AA60:AD60)</f>
        <v>4368.9400000000005</v>
      </c>
      <c r="AW60" s="4">
        <f>AV60*1.04</f>
        <v>4543.6976000000004</v>
      </c>
      <c r="AX60" s="4">
        <f t="shared" ref="AX60:BB60" si="58">AW60*1.04</f>
        <v>4725.4455040000003</v>
      </c>
      <c r="AY60" s="4">
        <f t="shared" si="58"/>
        <v>4914.4633241600004</v>
      </c>
      <c r="AZ60" s="4">
        <f t="shared" si="58"/>
        <v>5111.0418571264008</v>
      </c>
      <c r="BA60" s="4">
        <f t="shared" si="58"/>
        <v>5315.4835314114571</v>
      </c>
      <c r="BB60" s="4">
        <f t="shared" si="58"/>
        <v>5528.1028726679151</v>
      </c>
      <c r="BC60" s="4">
        <f t="shared" ref="BC60:BG60" si="59">BB60*1.04</f>
        <v>5749.2269875746315</v>
      </c>
      <c r="BD60" s="4">
        <f t="shared" si="59"/>
        <v>5979.196067077617</v>
      </c>
      <c r="BE60" s="4">
        <f t="shared" si="59"/>
        <v>6218.363909760722</v>
      </c>
      <c r="BF60" s="4">
        <f t="shared" si="59"/>
        <v>6467.0984661511511</v>
      </c>
      <c r="BG60" s="4">
        <f t="shared" si="59"/>
        <v>6725.7824047971972</v>
      </c>
    </row>
    <row r="61" spans="2:59" s="4" customFormat="1" x14ac:dyDescent="0.25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f>Z61*1.01</f>
        <v>1292.8</v>
      </c>
      <c r="AE61" s="5">
        <f>AD61*1.02</f>
        <v>1318.6559999999999</v>
      </c>
      <c r="AF61" s="5">
        <f>AE61*1.02</f>
        <v>1345.0291199999999</v>
      </c>
      <c r="AG61" s="5">
        <f>AF61*1.02</f>
        <v>1371.9297024</v>
      </c>
      <c r="AH61" s="5">
        <f>AG61*1.02</f>
        <v>1399.3682964479999</v>
      </c>
      <c r="AI61" s="5"/>
      <c r="AT61" s="4">
        <f>SUM(S61:V61)</f>
        <v>4706.8</v>
      </c>
      <c r="AU61" s="4">
        <f t="shared" si="43"/>
        <v>4800</v>
      </c>
      <c r="AV61" s="4">
        <f t="shared" ref="AV60:AV61" si="60">SUM(AA61:AD61)</f>
        <v>5129.8</v>
      </c>
      <c r="AW61" s="4">
        <f>AV61*1.04</f>
        <v>5334.9920000000002</v>
      </c>
      <c r="AX61" s="4">
        <f t="shared" ref="AX61:BB61" si="61">AW61*1.04</f>
        <v>5548.3916800000006</v>
      </c>
      <c r="AY61" s="4">
        <f t="shared" si="61"/>
        <v>5770.327347200001</v>
      </c>
      <c r="AZ61" s="4">
        <f t="shared" si="61"/>
        <v>6001.1404410880014</v>
      </c>
      <c r="BA61" s="4">
        <f t="shared" si="61"/>
        <v>6241.1860587315214</v>
      </c>
      <c r="BB61" s="4">
        <f t="shared" si="61"/>
        <v>6490.8335010807823</v>
      </c>
      <c r="BC61" s="4">
        <f t="shared" ref="BC61:BG61" si="62">BB61*1.04</f>
        <v>6750.4668411240136</v>
      </c>
      <c r="BD61" s="4">
        <f t="shared" si="62"/>
        <v>7020.4855147689741</v>
      </c>
      <c r="BE61" s="4">
        <f t="shared" si="62"/>
        <v>7301.3049353597335</v>
      </c>
      <c r="BF61" s="4">
        <f t="shared" si="62"/>
        <v>7593.3571327741229</v>
      </c>
      <c r="BG61" s="4">
        <f t="shared" si="62"/>
        <v>7897.0914180850878</v>
      </c>
    </row>
    <row r="62" spans="2:59" s="4" customFormat="1" x14ac:dyDescent="0.25">
      <c r="B62" s="4" t="s">
        <v>48</v>
      </c>
      <c r="C62" s="5"/>
      <c r="D62" s="5"/>
      <c r="E62" s="5"/>
      <c r="F62" s="5"/>
      <c r="G62" s="5">
        <f t="shared" ref="G62" si="63">G60+G61</f>
        <v>1044</v>
      </c>
      <c r="H62" s="5">
        <f t="shared" ref="H62:I62" si="64">H60+H61</f>
        <v>971</v>
      </c>
      <c r="I62" s="5">
        <f t="shared" si="64"/>
        <v>930</v>
      </c>
      <c r="J62" s="5">
        <f t="shared" ref="J62:L62" si="65">J60+J61</f>
        <v>1044</v>
      </c>
      <c r="K62" s="5">
        <f t="shared" si="65"/>
        <v>951</v>
      </c>
      <c r="L62" s="5">
        <f t="shared" si="65"/>
        <v>940</v>
      </c>
      <c r="M62" s="5">
        <f t="shared" ref="M62:N62" si="66">M60+M61</f>
        <v>1254</v>
      </c>
      <c r="N62" s="5">
        <f t="shared" si="66"/>
        <v>1491</v>
      </c>
      <c r="O62" s="5">
        <f t="shared" ref="O62:R62" si="67">O60+O61</f>
        <v>1722</v>
      </c>
      <c r="P62" s="5">
        <f t="shared" si="67"/>
        <v>1549</v>
      </c>
      <c r="Q62" s="5">
        <f t="shared" si="67"/>
        <v>1605</v>
      </c>
      <c r="R62" s="5">
        <f t="shared" si="67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68">V60+V61</f>
        <v>2602.8000000000002</v>
      </c>
      <c r="W62" s="5">
        <f>W60+W61</f>
        <v>1847</v>
      </c>
      <c r="X62" s="5">
        <f t="shared" si="68"/>
        <v>2134</v>
      </c>
      <c r="Y62" s="5">
        <f t="shared" si="68"/>
        <v>2414</v>
      </c>
      <c r="Z62" s="5">
        <f t="shared" si="68"/>
        <v>2374</v>
      </c>
      <c r="AA62" s="5">
        <f t="shared" si="68"/>
        <v>2525</v>
      </c>
      <c r="AB62" s="5">
        <f t="shared" si="68"/>
        <v>2351</v>
      </c>
      <c r="AC62" s="5">
        <f t="shared" si="68"/>
        <v>2225</v>
      </c>
      <c r="AD62" s="5">
        <f t="shared" si="68"/>
        <v>2397.7399999999998</v>
      </c>
      <c r="AE62" s="5">
        <f>AE60+AE61</f>
        <v>2445.6948000000002</v>
      </c>
      <c r="AF62" s="5">
        <f t="shared" ref="AF62:AH62" si="69">AF60+AF61</f>
        <v>2494.6086960000002</v>
      </c>
      <c r="AG62" s="5">
        <f t="shared" si="69"/>
        <v>2544.5008699199998</v>
      </c>
      <c r="AH62" s="5">
        <f t="shared" si="69"/>
        <v>2595.3908873184</v>
      </c>
      <c r="AI62" s="5"/>
      <c r="AT62" s="4">
        <f t="shared" ref="AT62" si="70">+AT60+AT61</f>
        <v>7781.8</v>
      </c>
      <c r="AU62" s="4">
        <f>+AU60+AU61</f>
        <v>8769</v>
      </c>
      <c r="AV62" s="4">
        <f t="shared" ref="AV62:AZ62" si="71">+AV60+AV61</f>
        <v>9498.7400000000016</v>
      </c>
      <c r="AW62" s="4">
        <f>+AW60+AW61</f>
        <v>9878.6896000000015</v>
      </c>
      <c r="AX62" s="4">
        <f t="shared" si="71"/>
        <v>10273.837184</v>
      </c>
      <c r="AY62" s="4">
        <f t="shared" si="71"/>
        <v>10684.790671360002</v>
      </c>
      <c r="AZ62" s="4">
        <f t="shared" si="71"/>
        <v>11112.182298214402</v>
      </c>
      <c r="BA62" s="4">
        <f t="shared" ref="BA62" si="72">+BA60+BA61</f>
        <v>11556.669590142978</v>
      </c>
      <c r="BB62" s="4">
        <f t="shared" ref="BB62:BG62" si="73">+BB60+BB61</f>
        <v>12018.936373748696</v>
      </c>
      <c r="BC62" s="4">
        <f t="shared" si="73"/>
        <v>12499.693828698644</v>
      </c>
      <c r="BD62" s="4">
        <f t="shared" si="73"/>
        <v>12999.681581846591</v>
      </c>
      <c r="BE62" s="4">
        <f t="shared" si="73"/>
        <v>13519.668845120455</v>
      </c>
      <c r="BF62" s="4">
        <f t="shared" si="73"/>
        <v>14060.455598925273</v>
      </c>
      <c r="BG62" s="4">
        <f t="shared" si="73"/>
        <v>14622.873822882284</v>
      </c>
    </row>
    <row r="63" spans="2:59" s="4" customFormat="1" x14ac:dyDescent="0.25">
      <c r="B63" s="4" t="s">
        <v>49</v>
      </c>
      <c r="C63" s="5"/>
      <c r="D63" s="5"/>
      <c r="E63" s="5"/>
      <c r="F63" s="5"/>
      <c r="G63" s="5">
        <f t="shared" ref="G63" si="74">G59-G62</f>
        <v>-478</v>
      </c>
      <c r="H63" s="5">
        <f t="shared" ref="H63:I63" si="75">H59-H62</f>
        <v>-50</v>
      </c>
      <c r="I63" s="5">
        <f t="shared" si="75"/>
        <v>261</v>
      </c>
      <c r="J63" s="5">
        <f t="shared" ref="J63:L63" si="76">J59-J62</f>
        <v>347</v>
      </c>
      <c r="K63" s="5">
        <f t="shared" si="76"/>
        <v>283</v>
      </c>
      <c r="L63" s="5">
        <f t="shared" si="76"/>
        <v>327</v>
      </c>
      <c r="M63" s="5">
        <f t="shared" ref="M63:N63" si="77">M59-M62</f>
        <v>809</v>
      </c>
      <c r="N63" s="5">
        <f t="shared" si="77"/>
        <v>575</v>
      </c>
      <c r="O63" s="5">
        <f t="shared" ref="O63:R63" si="78">O59-O62</f>
        <v>493</v>
      </c>
      <c r="P63" s="5">
        <f t="shared" si="78"/>
        <v>1335</v>
      </c>
      <c r="Q63" s="5">
        <f t="shared" si="78"/>
        <v>2055</v>
      </c>
      <c r="R63" s="5">
        <f t="shared" si="78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79">V59-V62</f>
        <v>3662.7999999999984</v>
      </c>
      <c r="W63" s="5">
        <f>W59-W62</f>
        <v>2664</v>
      </c>
      <c r="X63" s="5">
        <f t="shared" si="79"/>
        <v>2399</v>
      </c>
      <c r="Y63" s="5">
        <f t="shared" si="79"/>
        <v>1764</v>
      </c>
      <c r="Z63" s="5">
        <f t="shared" si="79"/>
        <v>2064</v>
      </c>
      <c r="AA63" s="5">
        <f t="shared" si="79"/>
        <v>1171</v>
      </c>
      <c r="AB63" s="5">
        <f t="shared" si="79"/>
        <v>2227</v>
      </c>
      <c r="AC63" s="5">
        <f t="shared" si="79"/>
        <v>2525</v>
      </c>
      <c r="AD63" s="5">
        <f t="shared" si="79"/>
        <v>2515.8799999999992</v>
      </c>
      <c r="AE63" s="5">
        <f t="shared" ref="AE63:AH63" si="80">AE59-AE62</f>
        <v>1884.7611999999999</v>
      </c>
      <c r="AF63" s="5">
        <f t="shared" si="80"/>
        <v>2709.5473040000015</v>
      </c>
      <c r="AG63" s="5">
        <f t="shared" si="80"/>
        <v>2587.8271300800006</v>
      </c>
      <c r="AH63" s="5">
        <f t="shared" si="80"/>
        <v>2788.2803126816007</v>
      </c>
      <c r="AI63" s="5"/>
      <c r="AT63" s="5">
        <f t="shared" ref="AT63:AU63" si="81">AT59-AT62</f>
        <v>12705.850000000002</v>
      </c>
      <c r="AU63" s="5">
        <f t="shared" si="81"/>
        <v>8891</v>
      </c>
      <c r="AV63" s="5">
        <f t="shared" ref="AV63:BB63" si="82">AV59-AV62</f>
        <v>8438.8799999999974</v>
      </c>
      <c r="AW63" s="5">
        <f>AW59-AW62</f>
        <v>11939.806133759976</v>
      </c>
      <c r="AX63" s="5">
        <f t="shared" si="82"/>
        <v>21455.063988451526</v>
      </c>
      <c r="AY63" s="5">
        <f t="shared" si="82"/>
        <v>26955.992894928371</v>
      </c>
      <c r="AZ63" s="5">
        <f t="shared" si="82"/>
        <v>34650.186778082738</v>
      </c>
      <c r="BA63" s="5">
        <f t="shared" si="82"/>
        <v>42520.995709126146</v>
      </c>
      <c r="BB63" s="5">
        <f t="shared" si="82"/>
        <v>52152.88019900248</v>
      </c>
      <c r="BC63" s="5">
        <f t="shared" ref="BC63:BG63" si="83">BC59-BC62</f>
        <v>60567.298303796881</v>
      </c>
      <c r="BD63" s="5">
        <f t="shared" si="83"/>
        <v>78179.330906475865</v>
      </c>
      <c r="BE63" s="5">
        <f t="shared" si="83"/>
        <v>91094.787469624905</v>
      </c>
      <c r="BF63" s="5">
        <f t="shared" si="83"/>
        <v>106174.38597499777</v>
      </c>
      <c r="BG63" s="5">
        <f t="shared" si="83"/>
        <v>118150.19240554413</v>
      </c>
    </row>
    <row r="64" spans="2:59" s="4" customFormat="1" x14ac:dyDescent="0.25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</f>
        <v>337</v>
      </c>
      <c r="AD64" s="5">
        <f>Z64*1.01</f>
        <v>128.27000000000001</v>
      </c>
      <c r="AE64" s="5">
        <f>AD64*1.02</f>
        <v>130.83540000000002</v>
      </c>
      <c r="AF64" s="5">
        <f>AE64*1.02</f>
        <v>133.45210800000004</v>
      </c>
      <c r="AG64" s="5">
        <f>AF64*1.02</f>
        <v>136.12115016000004</v>
      </c>
      <c r="AH64" s="5">
        <f>AG64*1.02</f>
        <v>138.84357316320003</v>
      </c>
      <c r="AI64" s="5"/>
      <c r="AU64" s="4">
        <f t="shared" si="43"/>
        <v>1082</v>
      </c>
      <c r="AV64" s="4">
        <f t="shared" ref="AV64" si="84">SUM(AA64:AD64)</f>
        <v>1129.27</v>
      </c>
      <c r="AW64" s="4">
        <f t="shared" ref="AW64:BG64" si="85">AV94*$BI$81</f>
        <v>631.50171999999998</v>
      </c>
      <c r="AX64" s="4">
        <f t="shared" si="85"/>
        <v>845.21395351391959</v>
      </c>
      <c r="AY64" s="4">
        <f t="shared" si="85"/>
        <v>1224.3186785273322</v>
      </c>
      <c r="AZ64" s="4">
        <f t="shared" si="85"/>
        <v>1703.3839752760791</v>
      </c>
      <c r="BA64" s="4">
        <f t="shared" si="85"/>
        <v>2321.3946780831793</v>
      </c>
      <c r="BB64" s="4">
        <f t="shared" si="85"/>
        <v>3083.7153146657379</v>
      </c>
      <c r="BC64" s="4">
        <f t="shared" si="85"/>
        <v>4022.7374383980973</v>
      </c>
      <c r="BD64" s="4">
        <f t="shared" si="85"/>
        <v>5120.7680460154124</v>
      </c>
      <c r="BE64" s="4">
        <f t="shared" si="85"/>
        <v>6536.8697282077637</v>
      </c>
      <c r="BF64" s="4">
        <f t="shared" si="85"/>
        <v>8196.6079005709198</v>
      </c>
      <c r="BG64" s="4">
        <f t="shared" si="85"/>
        <v>10140.914796455587</v>
      </c>
    </row>
    <row r="65" spans="2:110" s="4" customFormat="1" x14ac:dyDescent="0.25">
      <c r="B65" s="4" t="s">
        <v>51</v>
      </c>
      <c r="C65" s="5"/>
      <c r="D65" s="5"/>
      <c r="E65" s="5"/>
      <c r="F65" s="5"/>
      <c r="G65" s="5">
        <f t="shared" ref="G65:N65" si="86">G63+G64</f>
        <v>-601</v>
      </c>
      <c r="H65" s="5">
        <f t="shared" si="86"/>
        <v>-253</v>
      </c>
      <c r="I65" s="5">
        <f t="shared" si="86"/>
        <v>176</v>
      </c>
      <c r="J65" s="5">
        <f t="shared" si="86"/>
        <v>160</v>
      </c>
      <c r="K65" s="5">
        <f t="shared" si="86"/>
        <v>70</v>
      </c>
      <c r="L65" s="5">
        <f t="shared" si="86"/>
        <v>150</v>
      </c>
      <c r="M65" s="5">
        <f t="shared" si="86"/>
        <v>555</v>
      </c>
      <c r="N65" s="5">
        <f t="shared" si="86"/>
        <v>379</v>
      </c>
      <c r="O65" s="5">
        <f t="shared" ref="O65:R65" si="87">O63+O64</f>
        <v>432</v>
      </c>
      <c r="P65" s="5">
        <f t="shared" si="87"/>
        <v>1316</v>
      </c>
      <c r="Q65" s="5">
        <f t="shared" si="87"/>
        <v>1933</v>
      </c>
      <c r="R65" s="5">
        <f t="shared" si="87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H65" si="88">V63+V64</f>
        <v>3744.7999999999984</v>
      </c>
      <c r="W65" s="5">
        <f t="shared" si="88"/>
        <v>2800</v>
      </c>
      <c r="X65" s="5">
        <f t="shared" si="88"/>
        <v>2937</v>
      </c>
      <c r="Y65" s="5">
        <f t="shared" si="88"/>
        <v>2045</v>
      </c>
      <c r="Z65" s="5">
        <f t="shared" si="88"/>
        <v>2191</v>
      </c>
      <c r="AA65" s="5">
        <f t="shared" si="88"/>
        <v>1553</v>
      </c>
      <c r="AB65" s="5">
        <f t="shared" si="88"/>
        <v>2509</v>
      </c>
      <c r="AC65" s="5">
        <f t="shared" si="88"/>
        <v>2862</v>
      </c>
      <c r="AD65" s="5">
        <f t="shared" si="88"/>
        <v>2644.1499999999992</v>
      </c>
      <c r="AE65" s="5">
        <f>AE63+AE64</f>
        <v>2015.5965999999999</v>
      </c>
      <c r="AF65" s="5">
        <f t="shared" si="88"/>
        <v>2842.9994120000015</v>
      </c>
      <c r="AG65" s="5">
        <f t="shared" si="88"/>
        <v>2723.9482802400007</v>
      </c>
      <c r="AH65" s="5">
        <f t="shared" si="88"/>
        <v>2927.1238858448005</v>
      </c>
      <c r="AI65" s="5"/>
      <c r="AU65" s="4">
        <f>+AU63+AU64</f>
        <v>9973</v>
      </c>
      <c r="AV65" s="4">
        <f t="shared" ref="AV65:BG65" si="89">+AV63+AV64</f>
        <v>9568.1499999999978</v>
      </c>
      <c r="AW65" s="4">
        <f t="shared" si="89"/>
        <v>12571.307853759976</v>
      </c>
      <c r="AX65" s="4">
        <f t="shared" si="89"/>
        <v>22300.277941965447</v>
      </c>
      <c r="AY65" s="4">
        <f t="shared" si="89"/>
        <v>28180.311573455703</v>
      </c>
      <c r="AZ65" s="4">
        <f t="shared" si="89"/>
        <v>36353.570753358814</v>
      </c>
      <c r="BA65" s="4">
        <f t="shared" si="89"/>
        <v>44842.390387209321</v>
      </c>
      <c r="BB65" s="4">
        <f t="shared" si="89"/>
        <v>55236.595513668217</v>
      </c>
      <c r="BC65" s="4">
        <f t="shared" si="89"/>
        <v>64590.035742194981</v>
      </c>
      <c r="BD65" s="4">
        <f t="shared" si="89"/>
        <v>83300.098952491273</v>
      </c>
      <c r="BE65" s="4">
        <f t="shared" si="89"/>
        <v>97631.657197832668</v>
      </c>
      <c r="BF65" s="4">
        <f t="shared" si="89"/>
        <v>114370.99387556869</v>
      </c>
      <c r="BG65" s="4">
        <f t="shared" si="89"/>
        <v>128291.10720199972</v>
      </c>
    </row>
    <row r="66" spans="2:110" s="4" customFormat="1" x14ac:dyDescent="0.25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v>601</v>
      </c>
      <c r="AD66" s="5">
        <f>AD65*0.16</f>
        <v>423.06399999999985</v>
      </c>
      <c r="AE66" s="5">
        <f>AE65*0.16</f>
        <v>322.49545599999999</v>
      </c>
      <c r="AF66" s="5">
        <f>AF65*0.16</f>
        <v>454.87990592000023</v>
      </c>
      <c r="AG66" s="5">
        <f>AG65*0.16</f>
        <v>435.83172483840013</v>
      </c>
      <c r="AH66" s="5">
        <f>AH65*0.16</f>
        <v>468.33982173516807</v>
      </c>
      <c r="AI66" s="5"/>
      <c r="AU66" s="4">
        <f t="shared" si="43"/>
        <v>728</v>
      </c>
      <c r="AV66" s="4">
        <f t="shared" ref="AV66" si="90">SUM(AA66:AD66)</f>
        <v>1857.0639999999999</v>
      </c>
      <c r="AW66" s="4">
        <f t="shared" ref="AW66:BB66" si="91">+AW65*0.15</f>
        <v>1885.6961780639963</v>
      </c>
      <c r="AX66" s="4">
        <f t="shared" si="91"/>
        <v>3345.0416912948172</v>
      </c>
      <c r="AY66" s="4">
        <f t="shared" si="91"/>
        <v>4227.0467360183557</v>
      </c>
      <c r="AZ66" s="4">
        <f t="shared" si="91"/>
        <v>5453.0356130038217</v>
      </c>
      <c r="BA66" s="4">
        <f t="shared" si="91"/>
        <v>6726.3585580813979</v>
      </c>
      <c r="BB66" s="4">
        <f t="shared" si="91"/>
        <v>8285.4893270502325</v>
      </c>
      <c r="BC66" s="4">
        <f t="shared" ref="BC66:BG66" si="92">+BC65*0.15</f>
        <v>9688.5053613292475</v>
      </c>
      <c r="BD66" s="4">
        <f t="shared" si="92"/>
        <v>12495.01484287369</v>
      </c>
      <c r="BE66" s="4">
        <f t="shared" si="92"/>
        <v>14644.748579674901</v>
      </c>
      <c r="BF66" s="4">
        <f t="shared" si="92"/>
        <v>17155.649081335301</v>
      </c>
      <c r="BG66" s="4">
        <f t="shared" si="92"/>
        <v>19243.666080299958</v>
      </c>
    </row>
    <row r="67" spans="2:110" s="4" customFormat="1" x14ac:dyDescent="0.25">
      <c r="B67" s="4" t="s">
        <v>53</v>
      </c>
      <c r="C67" s="5"/>
      <c r="D67" s="5"/>
      <c r="E67" s="5"/>
      <c r="F67" s="5"/>
      <c r="G67" s="5">
        <f t="shared" ref="G67:N67" si="93">G65-G66</f>
        <v>-658</v>
      </c>
      <c r="H67" s="5">
        <f t="shared" si="93"/>
        <v>-291</v>
      </c>
      <c r="I67" s="5">
        <f t="shared" si="93"/>
        <v>143</v>
      </c>
      <c r="J67" s="5">
        <f t="shared" si="93"/>
        <v>91</v>
      </c>
      <c r="K67" s="5">
        <f t="shared" si="93"/>
        <v>16</v>
      </c>
      <c r="L67" s="5">
        <f t="shared" si="93"/>
        <v>104</v>
      </c>
      <c r="M67" s="5">
        <f t="shared" si="93"/>
        <v>300</v>
      </c>
      <c r="N67" s="5">
        <f t="shared" si="93"/>
        <v>270</v>
      </c>
      <c r="O67" s="5">
        <f t="shared" ref="O67:R67" si="94">O65-O66</f>
        <v>337</v>
      </c>
      <c r="P67" s="5">
        <f t="shared" si="94"/>
        <v>1165</v>
      </c>
      <c r="Q67" s="5">
        <f t="shared" si="94"/>
        <v>1669</v>
      </c>
      <c r="R67" s="5">
        <f t="shared" si="94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H67" si="95">V65-V66</f>
        <v>3468.7999999999984</v>
      </c>
      <c r="W67" s="5">
        <f t="shared" si="95"/>
        <v>2513</v>
      </c>
      <c r="X67" s="5">
        <f t="shared" si="95"/>
        <v>2703</v>
      </c>
      <c r="Y67" s="5">
        <f t="shared" si="95"/>
        <v>1853</v>
      </c>
      <c r="Z67" s="5">
        <f t="shared" si="95"/>
        <v>2176</v>
      </c>
      <c r="AA67" s="5">
        <f t="shared" si="95"/>
        <v>1129</v>
      </c>
      <c r="AB67" s="5">
        <f t="shared" si="95"/>
        <v>2100</v>
      </c>
      <c r="AC67" s="5">
        <f t="shared" si="95"/>
        <v>2261</v>
      </c>
      <c r="AD67" s="5">
        <f t="shared" si="95"/>
        <v>2221.0859999999993</v>
      </c>
      <c r="AE67" s="5">
        <f>AE65-AE66</f>
        <v>1693.1011439999997</v>
      </c>
      <c r="AF67" s="5">
        <f>AF65-AF66</f>
        <v>2388.1195060800014</v>
      </c>
      <c r="AG67" s="5">
        <f t="shared" si="95"/>
        <v>2288.1165554016006</v>
      </c>
      <c r="AH67" s="5">
        <f t="shared" si="95"/>
        <v>2458.7840641096323</v>
      </c>
      <c r="AI67" s="5"/>
      <c r="AU67" s="4">
        <f>+AU65-AU66</f>
        <v>9245</v>
      </c>
      <c r="AV67" s="4">
        <f>+AV65-AV66</f>
        <v>7711.0859999999975</v>
      </c>
      <c r="AW67" s="4">
        <f t="shared" ref="AW67:BB67" si="96">+AW65-AW66</f>
        <v>10685.61167569598</v>
      </c>
      <c r="AX67" s="4">
        <f t="shared" si="96"/>
        <v>18955.23625067063</v>
      </c>
      <c r="AY67" s="4">
        <f t="shared" si="96"/>
        <v>23953.264837437346</v>
      </c>
      <c r="AZ67" s="4">
        <f t="shared" si="96"/>
        <v>30900.535140354994</v>
      </c>
      <c r="BA67" s="4">
        <f t="shared" si="96"/>
        <v>38116.031829127925</v>
      </c>
      <c r="BB67" s="4">
        <f t="shared" si="96"/>
        <v>46951.106186617981</v>
      </c>
      <c r="BC67" s="4">
        <f t="shared" ref="BC67:BG67" si="97">+BC65-BC66</f>
        <v>54901.530380865734</v>
      </c>
      <c r="BD67" s="4">
        <f t="shared" si="97"/>
        <v>70805.084109617586</v>
      </c>
      <c r="BE67" s="4">
        <f t="shared" si="97"/>
        <v>82986.908618157773</v>
      </c>
      <c r="BF67" s="4">
        <f t="shared" si="97"/>
        <v>97215.344794233388</v>
      </c>
      <c r="BG67" s="4">
        <f t="shared" si="97"/>
        <v>109047.44112169977</v>
      </c>
      <c r="BH67" s="4">
        <f>BG67*1.1</f>
        <v>119952.18523386975</v>
      </c>
      <c r="BI67" s="4">
        <f>BH67*1.1</f>
        <v>131947.40375725675</v>
      </c>
      <c r="BJ67" s="4">
        <f>BI67*1.1</f>
        <v>145142.14413298244</v>
      </c>
      <c r="BK67" s="4">
        <f>BJ67*1.1</f>
        <v>159656.35854628071</v>
      </c>
      <c r="BL67" s="4">
        <f>BK67*1.1</f>
        <v>175621.99440090879</v>
      </c>
      <c r="BM67" s="4">
        <f>BL67*1.1</f>
        <v>193184.19384099968</v>
      </c>
      <c r="BN67" s="4">
        <f>BM67*1.1</f>
        <v>212502.61322509966</v>
      </c>
      <c r="BO67" s="4">
        <f>BN67*1.1</f>
        <v>233752.87454760965</v>
      </c>
      <c r="BP67" s="4">
        <f>BO67*1.1</f>
        <v>257128.16200237063</v>
      </c>
      <c r="BQ67" s="4">
        <f>BP67*1.1</f>
        <v>282840.97820260772</v>
      </c>
      <c r="BR67" s="4">
        <f t="shared" ref="BH67:CM67" si="98">BQ67*(1+$BI$78)</f>
        <v>280012.56842058164</v>
      </c>
      <c r="BS67" s="4">
        <f t="shared" si="98"/>
        <v>277212.44273637584</v>
      </c>
      <c r="BT67" s="4">
        <f t="shared" si="98"/>
        <v>274440.3183090121</v>
      </c>
      <c r="BU67" s="4">
        <f t="shared" si="98"/>
        <v>271695.91512592195</v>
      </c>
      <c r="BV67" s="4">
        <f t="shared" si="98"/>
        <v>268978.95597466273</v>
      </c>
      <c r="BW67" s="4">
        <f t="shared" si="98"/>
        <v>266289.16641491611</v>
      </c>
      <c r="BX67" s="4">
        <f t="shared" si="98"/>
        <v>263626.27475076693</v>
      </c>
      <c r="BY67" s="4">
        <f t="shared" si="98"/>
        <v>260990.01200325927</v>
      </c>
      <c r="BZ67" s="4">
        <f t="shared" si="98"/>
        <v>258380.11188322667</v>
      </c>
      <c r="CA67" s="4">
        <f t="shared" si="98"/>
        <v>255796.31076439441</v>
      </c>
      <c r="CB67" s="4">
        <f t="shared" si="98"/>
        <v>253238.34765675047</v>
      </c>
      <c r="CC67" s="4">
        <f t="shared" si="98"/>
        <v>250705.96418018296</v>
      </c>
      <c r="CD67" s="4">
        <f t="shared" si="98"/>
        <v>248198.90453838112</v>
      </c>
      <c r="CE67" s="4">
        <f t="shared" si="98"/>
        <v>245716.9154929973</v>
      </c>
      <c r="CF67" s="4">
        <f t="shared" si="98"/>
        <v>243259.74633806731</v>
      </c>
      <c r="CG67" s="4">
        <f t="shared" si="98"/>
        <v>240827.14887468665</v>
      </c>
      <c r="CH67" s="4">
        <f t="shared" si="98"/>
        <v>238418.87738593979</v>
      </c>
      <c r="CI67" s="4">
        <f t="shared" si="98"/>
        <v>236034.68861208038</v>
      </c>
      <c r="CJ67" s="4">
        <f t="shared" si="98"/>
        <v>233674.34172595959</v>
      </c>
      <c r="CK67" s="4">
        <f t="shared" si="98"/>
        <v>231337.59830869999</v>
      </c>
      <c r="CL67" s="4">
        <f t="shared" si="98"/>
        <v>229024.22232561299</v>
      </c>
      <c r="CM67" s="4">
        <f t="shared" si="98"/>
        <v>226733.98010235687</v>
      </c>
      <c r="CN67" s="4">
        <f t="shared" ref="CN67:DF67" si="99">CM67*(1+$BI$78)</f>
        <v>224466.6403013333</v>
      </c>
      <c r="CO67" s="4">
        <f t="shared" si="99"/>
        <v>222221.97389831996</v>
      </c>
      <c r="CP67" s="4">
        <f t="shared" si="99"/>
        <v>219999.75415933676</v>
      </c>
      <c r="CQ67" s="4">
        <f t="shared" si="99"/>
        <v>217799.75661774341</v>
      </c>
      <c r="CR67" s="4">
        <f t="shared" si="99"/>
        <v>215621.75905156598</v>
      </c>
      <c r="CS67" s="4">
        <f t="shared" si="99"/>
        <v>213465.54146105034</v>
      </c>
      <c r="CT67" s="4">
        <f t="shared" si="99"/>
        <v>211330.88604643982</v>
      </c>
      <c r="CU67" s="4">
        <f t="shared" si="99"/>
        <v>209217.57718597542</v>
      </c>
      <c r="CV67" s="4">
        <f t="shared" si="99"/>
        <v>207125.40141411565</v>
      </c>
      <c r="CW67" s="4">
        <f t="shared" si="99"/>
        <v>205054.14739997449</v>
      </c>
      <c r="CX67" s="4">
        <f t="shared" si="99"/>
        <v>203003.60592597476</v>
      </c>
      <c r="CY67" s="4">
        <f t="shared" si="99"/>
        <v>200973.569866715</v>
      </c>
      <c r="CZ67" s="4">
        <f t="shared" si="99"/>
        <v>198963.83416804785</v>
      </c>
      <c r="DA67" s="4">
        <f t="shared" si="99"/>
        <v>196974.19582636736</v>
      </c>
      <c r="DB67" s="4">
        <f t="shared" si="99"/>
        <v>195004.45386810368</v>
      </c>
      <c r="DC67" s="4">
        <f t="shared" si="99"/>
        <v>193054.40932942263</v>
      </c>
      <c r="DD67" s="4">
        <f t="shared" si="99"/>
        <v>191123.86523612842</v>
      </c>
      <c r="DE67" s="4">
        <f t="shared" si="99"/>
        <v>189212.62658376712</v>
      </c>
      <c r="DF67" s="4">
        <f t="shared" si="99"/>
        <v>187320.50031792946</v>
      </c>
    </row>
    <row r="68" spans="2:110" x14ac:dyDescent="0.25">
      <c r="B68" s="1" t="s">
        <v>54</v>
      </c>
      <c r="C68" s="3"/>
      <c r="D68" s="3"/>
      <c r="E68" s="3"/>
      <c r="F68" s="3"/>
      <c r="G68" s="3">
        <f t="shared" ref="G68:K68" si="100">G67/G69</f>
        <v>-0.76069364161849706</v>
      </c>
      <c r="H68" s="3">
        <f t="shared" si="100"/>
        <v>-0.32881355932203388</v>
      </c>
      <c r="I68" s="3">
        <f t="shared" si="100"/>
        <v>0.15509761388286333</v>
      </c>
      <c r="J68" s="3">
        <f t="shared" si="100"/>
        <v>9.8913043478260868E-2</v>
      </c>
      <c r="K68" s="3">
        <f t="shared" si="100"/>
        <v>1.7112299465240642E-2</v>
      </c>
      <c r="L68" s="3">
        <f t="shared" ref="L68" si="101">L67/L69</f>
        <v>0.10048309178743961</v>
      </c>
      <c r="M68" s="3">
        <f t="shared" ref="M68:O68" si="102">M67/M69</f>
        <v>0.27149321266968324</v>
      </c>
      <c r="N68" s="3">
        <f t="shared" si="102"/>
        <v>0.2402135231316726</v>
      </c>
      <c r="O68" s="3">
        <f t="shared" si="102"/>
        <v>0.29744042365401591</v>
      </c>
      <c r="P68" s="3">
        <f t="shared" ref="P68" si="103">P67/P69</f>
        <v>1.0411081322609472</v>
      </c>
      <c r="Q68" s="3">
        <f t="shared" ref="Q68" si="104">Q67/Q69</f>
        <v>1.4861976847729297</v>
      </c>
      <c r="R68" s="3">
        <f t="shared" ref="R68" si="105">R67/R69</f>
        <v>2.044933920704846</v>
      </c>
      <c r="S68" s="3">
        <f t="shared" ref="S68:U68" si="106">S67/S69</f>
        <v>2.867761452031115</v>
      </c>
      <c r="T68" s="3">
        <f t="shared" si="106"/>
        <v>2.032900432900433</v>
      </c>
      <c r="U68" s="3">
        <f t="shared" si="106"/>
        <v>0.96049596309111884</v>
      </c>
      <c r="V68" s="3">
        <f t="shared" ref="V68:AC68" si="107">V67/V69</f>
        <v>0.99936617689426632</v>
      </c>
      <c r="W68" s="3">
        <f t="shared" si="107"/>
        <v>0.7246251441753172</v>
      </c>
      <c r="X68" s="3">
        <f t="shared" si="107"/>
        <v>0.77717078780908566</v>
      </c>
      <c r="Y68" s="3">
        <f t="shared" si="107"/>
        <v>0.53048955052963065</v>
      </c>
      <c r="Z68" s="3">
        <f t="shared" si="107"/>
        <v>0.62313860252004583</v>
      </c>
      <c r="AA68" s="3">
        <f t="shared" si="107"/>
        <v>0.32405281285878301</v>
      </c>
      <c r="AB68" s="3">
        <f t="shared" si="107"/>
        <v>0.60327492099971269</v>
      </c>
      <c r="AC68" s="42">
        <f t="shared" si="107"/>
        <v>0.64655418930511865</v>
      </c>
      <c r="AD68" s="42">
        <f>AD67/AD69</f>
        <v>0.6351404060623389</v>
      </c>
      <c r="AE68" s="42">
        <f>AE67/AE69</f>
        <v>0.48415817672290529</v>
      </c>
      <c r="AF68" s="42">
        <f>AF67/AF69</f>
        <v>0.68290520619960005</v>
      </c>
      <c r="AG68" s="42">
        <f>AG67/AG69</f>
        <v>0.65430842304878489</v>
      </c>
      <c r="AH68" s="42">
        <f>AH67/AH69</f>
        <v>0.70311240037450162</v>
      </c>
      <c r="AI68" s="42"/>
      <c r="AU68" s="19">
        <f>+AU67/AU69</f>
        <v>2.6545115210681214</v>
      </c>
      <c r="AV68" s="19">
        <f>+AV67/AV69</f>
        <v>2.2096385127874481</v>
      </c>
      <c r="AW68" s="19">
        <f t="shared" ref="AV68:BB68" si="108">+AW67/AW69</f>
        <v>3.0556510368018244</v>
      </c>
      <c r="AX68" s="19">
        <f t="shared" si="108"/>
        <v>5.4204278669346957</v>
      </c>
      <c r="AY68" s="19">
        <f t="shared" si="108"/>
        <v>6.8496610916320693</v>
      </c>
      <c r="AZ68" s="19">
        <f t="shared" si="108"/>
        <v>8.8362982957835268</v>
      </c>
      <c r="BA68" s="19">
        <f t="shared" si="108"/>
        <v>10.899637354626229</v>
      </c>
      <c r="BB68" s="19">
        <f t="shared" si="108"/>
        <v>13.426109861772371</v>
      </c>
      <c r="BC68" s="19">
        <f t="shared" ref="BC68:BG68" si="109">+BC67/BC69</f>
        <v>15.699608344542675</v>
      </c>
      <c r="BD68" s="19">
        <f t="shared" si="109"/>
        <v>20.247378927542918</v>
      </c>
      <c r="BE68" s="19">
        <f t="shared" si="109"/>
        <v>23.73088607896991</v>
      </c>
      <c r="BF68" s="19">
        <f t="shared" si="109"/>
        <v>27.799641062119928</v>
      </c>
      <c r="BG68" s="19">
        <f t="shared" si="109"/>
        <v>31.183140154904137</v>
      </c>
    </row>
    <row r="69" spans="2:110" s="4" customFormat="1" x14ac:dyDescent="0.25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v>3497</v>
      </c>
      <c r="AE69" s="5">
        <v>3497</v>
      </c>
      <c r="AF69" s="5">
        <v>3497</v>
      </c>
      <c r="AG69" s="5">
        <v>3497</v>
      </c>
      <c r="AH69" s="5">
        <v>3497</v>
      </c>
      <c r="AI69" s="5"/>
      <c r="AU69" s="4">
        <f>AVERAGE(W69:Z69)</f>
        <v>3482.75</v>
      </c>
      <c r="AV69" s="4">
        <f>AVERAGE(AA69:AD69)</f>
        <v>3489.75</v>
      </c>
      <c r="AW69" s="5">
        <v>3497</v>
      </c>
      <c r="AX69" s="5">
        <v>3497</v>
      </c>
      <c r="AY69" s="4">
        <f t="shared" ref="AW69:AZ69" si="110">AX69</f>
        <v>3497</v>
      </c>
      <c r="AZ69" s="4">
        <f t="shared" si="110"/>
        <v>3497</v>
      </c>
      <c r="BA69" s="4">
        <f t="shared" ref="BA69:BB69" si="111">AZ69</f>
        <v>3497</v>
      </c>
      <c r="BB69" s="4">
        <f t="shared" si="111"/>
        <v>3497</v>
      </c>
      <c r="BC69" s="4">
        <f t="shared" ref="BC69" si="112">BB69</f>
        <v>3497</v>
      </c>
      <c r="BD69" s="4">
        <f t="shared" ref="BD69" si="113">BC69</f>
        <v>3497</v>
      </c>
      <c r="BE69" s="4">
        <f t="shared" ref="BE69" si="114">BD69</f>
        <v>3497</v>
      </c>
      <c r="BF69" s="4">
        <f t="shared" ref="BF69" si="115">BE69</f>
        <v>3497</v>
      </c>
      <c r="BG69" s="4">
        <f t="shared" ref="BG69" si="116">BF69</f>
        <v>3497</v>
      </c>
    </row>
    <row r="71" spans="2:110" s="22" customFormat="1" x14ac:dyDescent="0.25">
      <c r="B71" s="22" t="s">
        <v>89</v>
      </c>
      <c r="C71" s="23"/>
      <c r="D71" s="23"/>
      <c r="E71" s="23"/>
      <c r="F71" s="23"/>
      <c r="G71" s="23"/>
      <c r="H71" s="23"/>
      <c r="I71" s="23"/>
      <c r="J71" s="23"/>
      <c r="K71" s="21">
        <f>K51/G51-1</f>
        <v>0.31799163179916312</v>
      </c>
      <c r="L71" s="21">
        <f t="shared" ref="L71" si="117">L51/H51-1</f>
        <v>-4.9448818897637747E-2</v>
      </c>
      <c r="M71" s="21">
        <f t="shared" ref="M71" si="118">M51/I51-1</f>
        <v>0.39155957480564818</v>
      </c>
      <c r="N71" s="21">
        <f t="shared" ref="N71" si="119">N51/J51-1</f>
        <v>0.45503791982665232</v>
      </c>
      <c r="O71" s="21">
        <f t="shared" ref="O71" si="120">O51/K51-1</f>
        <v>0.73583959899749374</v>
      </c>
      <c r="P71" s="21">
        <f t="shared" ref="P71:Q71" si="121">P51/L51-1</f>
        <v>0.98111332007952279</v>
      </c>
      <c r="Q71" s="21">
        <f t="shared" si="121"/>
        <v>0.56846425721126437</v>
      </c>
      <c r="R71" s="21">
        <f t="shared" ref="R71:S71" si="122">R51/N51-1</f>
        <v>0.64919955323901712</v>
      </c>
      <c r="S71" s="21">
        <f t="shared" si="122"/>
        <v>0.80537106555010096</v>
      </c>
      <c r="T71" s="21">
        <f>T51/P51-1</f>
        <v>0.41612309750794441</v>
      </c>
      <c r="U71" s="21">
        <f>U51/Q51-1</f>
        <v>0.55949698335392894</v>
      </c>
      <c r="V71" s="21">
        <f>V51/R51-1</f>
        <v>0.39999999999999991</v>
      </c>
      <c r="W71" s="21">
        <f t="shared" ref="W71:AH71" si="123">W51/S51-1</f>
        <v>0.24381531243335464</v>
      </c>
      <c r="X71" s="21">
        <f t="shared" si="123"/>
        <v>0.47200897602456604</v>
      </c>
      <c r="Y71" s="21">
        <f t="shared" si="123"/>
        <v>8.8375128181224838E-2</v>
      </c>
      <c r="Z71" s="21">
        <f>Z51/V51-1</f>
        <v>1.452839163770947E-2</v>
      </c>
      <c r="AA71" s="21">
        <f>AA51/W51-1</f>
        <v>-8.6930429936988296E-2</v>
      </c>
      <c r="AB71" s="21">
        <f t="shared" si="123"/>
        <v>2.2987122397400306E-2</v>
      </c>
      <c r="AC71" s="21">
        <f t="shared" si="123"/>
        <v>7.8458244111349051E-2</v>
      </c>
      <c r="AD71" s="21">
        <f t="shared" si="123"/>
        <v>5.211745539794177E-2</v>
      </c>
      <c r="AE71" s="21">
        <f t="shared" si="123"/>
        <v>1.6491244542509609E-2</v>
      </c>
      <c r="AF71" s="21">
        <f t="shared" si="123"/>
        <v>2.042274509803943E-2</v>
      </c>
      <c r="AG71" s="21">
        <f t="shared" si="123"/>
        <v>1.9046938289254189E-2</v>
      </c>
      <c r="AH71" s="21">
        <f t="shared" si="123"/>
        <v>1.6606442022702117E-2</v>
      </c>
      <c r="AI71" s="21"/>
      <c r="AL71" s="24">
        <f t="shared" ref="AL71:AN71" si="124">AL51/AK51-1</f>
        <v>0.58845907814070664</v>
      </c>
      <c r="AM71" s="24">
        <f t="shared" si="124"/>
        <v>0.26503272306147285</v>
      </c>
      <c r="AN71" s="24">
        <f t="shared" si="124"/>
        <v>0.73012574069611524</v>
      </c>
      <c r="AO71" s="24">
        <f>AO51/AN51-1</f>
        <v>0.67978989539054413</v>
      </c>
      <c r="AP71" s="24">
        <f>AP51/AO51-1</f>
        <v>0.82513159773516764</v>
      </c>
      <c r="AQ71" s="24">
        <f>AQ51/AP51-1</f>
        <v>0.14522590184326489</v>
      </c>
      <c r="AR71" s="24">
        <f>+AR51/AQ51-1</f>
        <v>0.28309870615998056</v>
      </c>
      <c r="AS71" s="24">
        <f>+AS51/AR51-1</f>
        <v>0.70671613394216126</v>
      </c>
      <c r="AT71" s="24">
        <f>+AT51/AS51-1</f>
        <v>0.52259442989056737</v>
      </c>
      <c r="AU71" s="24">
        <f>+AU51/AT51-1</f>
        <v>0.18086993871917945</v>
      </c>
      <c r="AV71" s="24">
        <f t="shared" ref="AV71:AZ71" si="125">+AV51/AU51-1</f>
        <v>2.2678603329441049E-2</v>
      </c>
      <c r="AW71" s="24">
        <f t="shared" si="125"/>
        <v>5.6137411575210017E-2</v>
      </c>
      <c r="AX71" s="24">
        <f t="shared" si="125"/>
        <v>0.17437225343765039</v>
      </c>
      <c r="AY71" s="24">
        <f t="shared" si="125"/>
        <v>0.16715192382047284</v>
      </c>
      <c r="AZ71" s="24">
        <f t="shared" si="125"/>
        <v>0.15831266380251519</v>
      </c>
      <c r="BA71" s="24">
        <f t="shared" ref="BA71:BB71" si="126">+BA51/AZ51-1</f>
        <v>0.16259138616786428</v>
      </c>
      <c r="BB71" s="24">
        <f t="shared" si="126"/>
        <v>0.16716927576612184</v>
      </c>
      <c r="BC71" s="24">
        <f t="shared" ref="BC71" si="127">+BC51/BB51-1</f>
        <v>0.13045059731580744</v>
      </c>
      <c r="BD71" s="24">
        <f t="shared" ref="BD71" si="128">+BD51/BC51-1</f>
        <v>0.13188279535964331</v>
      </c>
      <c r="BE71" s="24">
        <f t="shared" ref="BE71" si="129">+BE51/BD51-1</f>
        <v>0.13336146460931619</v>
      </c>
      <c r="BF71" s="24">
        <f t="shared" ref="BF71" si="130">+BF51/BE51-1</f>
        <v>0.13488514750032343</v>
      </c>
      <c r="BG71" s="24">
        <f t="shared" ref="BG71" si="131">+BG51/BF51-1</f>
        <v>0.10596502786016337</v>
      </c>
    </row>
    <row r="72" spans="2:110" x14ac:dyDescent="0.25">
      <c r="B72" s="20" t="s">
        <v>92</v>
      </c>
      <c r="K72" s="16">
        <f t="shared" ref="K72:Z72" si="132">+K37/G37-1</f>
        <v>0.40427490122026688</v>
      </c>
      <c r="L72" s="16">
        <f t="shared" si="132"/>
        <v>-4.9351902344897058E-2</v>
      </c>
      <c r="M72" s="16">
        <f t="shared" si="132"/>
        <v>0.43333401930319182</v>
      </c>
      <c r="N72" s="16">
        <f t="shared" si="132"/>
        <v>0.61086578348722065</v>
      </c>
      <c r="O72" s="16">
        <f t="shared" si="132"/>
        <v>1.088229976496113</v>
      </c>
      <c r="P72" s="16">
        <f t="shared" si="132"/>
        <v>1.2200772200772199</v>
      </c>
      <c r="Q72" s="16">
        <f t="shared" si="132"/>
        <v>0.73223259152907394</v>
      </c>
      <c r="R72" s="16">
        <f t="shared" si="132"/>
        <v>0.70903250816857732</v>
      </c>
      <c r="S72" s="16">
        <f t="shared" si="132"/>
        <v>0.67774891774891777</v>
      </c>
      <c r="T72" s="16">
        <f t="shared" si="132"/>
        <v>0.26556521739130434</v>
      </c>
      <c r="U72" s="16">
        <f t="shared" si="132"/>
        <v>0.42490675507666809</v>
      </c>
      <c r="V72" s="16">
        <f t="shared" si="132"/>
        <v>0.31327932598833441</v>
      </c>
      <c r="W72" s="16">
        <f t="shared" si="132"/>
        <v>0.36390171844359576</v>
      </c>
      <c r="X72" s="16">
        <f t="shared" si="132"/>
        <v>0.83018904964761764</v>
      </c>
      <c r="Y72" s="16">
        <f t="shared" si="132"/>
        <v>0.26533170462146982</v>
      </c>
      <c r="Z72" s="16">
        <f t="shared" si="132"/>
        <v>0.19549297025745282</v>
      </c>
      <c r="AA72" s="16">
        <f>+AA37/W37-1</f>
        <v>-8.5285249778303318E-2</v>
      </c>
      <c r="AB72" s="16">
        <f>+AB37/X37-1</f>
        <v>-4.7590852533573647E-2</v>
      </c>
      <c r="AC72" s="16">
        <f>+AC37/Y37-1</f>
        <v>6.3970633868050131E-2</v>
      </c>
      <c r="AD72" s="16">
        <f>+AD37/Z37-1</f>
        <v>0</v>
      </c>
      <c r="AE72" s="16">
        <f>+AE37/AA37-1</f>
        <v>0</v>
      </c>
      <c r="AF72" s="16">
        <f>+AF37/AB37-1</f>
        <v>0</v>
      </c>
      <c r="AG72" s="16">
        <f>+AG37/AC37-1</f>
        <v>0</v>
      </c>
      <c r="AH72" s="16">
        <f>+AH37/AD37-1</f>
        <v>0</v>
      </c>
      <c r="AI72" s="16"/>
      <c r="AR72" s="25">
        <f t="shared" ref="AR72:BB72" si="133">+AR37/AQ37-1</f>
        <v>0.35729051069477991</v>
      </c>
      <c r="AS72" s="25">
        <f t="shared" si="133"/>
        <v>0.87559116340959009</v>
      </c>
      <c r="AT72" s="25">
        <f t="shared" si="133"/>
        <v>0.403761953095785</v>
      </c>
      <c r="AU72" s="25">
        <f t="shared" si="133"/>
        <v>0.37654954785588313</v>
      </c>
      <c r="AV72" s="25">
        <f t="shared" si="133"/>
        <v>-1.6818710359115752E-2</v>
      </c>
      <c r="AW72" s="25">
        <f t="shared" si="133"/>
        <v>-2.0000000000000018E-2</v>
      </c>
      <c r="AX72" s="25">
        <f t="shared" si="133"/>
        <v>0.11906821815547852</v>
      </c>
      <c r="AY72" s="25">
        <f t="shared" si="133"/>
        <v>0.10000000000000009</v>
      </c>
      <c r="AZ72" s="25">
        <f t="shared" si="133"/>
        <v>0.10000000000000009</v>
      </c>
      <c r="BA72" s="25">
        <f t="shared" si="133"/>
        <v>0.10000000000000009</v>
      </c>
      <c r="BB72" s="25">
        <f t="shared" si="133"/>
        <v>0.10000000000000009</v>
      </c>
      <c r="BC72" s="25">
        <f t="shared" ref="BC72:BG72" si="134">+BC37/BB37-1</f>
        <v>0.10000000000000009</v>
      </c>
      <c r="BD72" s="25">
        <f t="shared" si="134"/>
        <v>0.10000000000000009</v>
      </c>
      <c r="BE72" s="25">
        <f t="shared" si="134"/>
        <v>0.10000000000000009</v>
      </c>
      <c r="BF72" s="25">
        <f t="shared" si="134"/>
        <v>0.10000000000000009</v>
      </c>
      <c r="BG72" s="25">
        <f t="shared" si="134"/>
        <v>0.10000000000000009</v>
      </c>
    </row>
    <row r="73" spans="2:110" x14ac:dyDescent="0.25">
      <c r="B73" s="20" t="s">
        <v>93</v>
      </c>
      <c r="K73" s="16">
        <f t="shared" ref="K73:AH73" si="135">+K42/G42-1</f>
        <v>0.33101713811610356</v>
      </c>
      <c r="L73" s="16">
        <f t="shared" si="135"/>
        <v>-5.4866280672732248E-2</v>
      </c>
      <c r="M73" s="16">
        <f t="shared" si="135"/>
        <v>0.50835629972440333</v>
      </c>
      <c r="N73" s="16">
        <f t="shared" si="135"/>
        <v>0.71375046476818782</v>
      </c>
      <c r="O73" s="16">
        <f t="shared" si="135"/>
        <v>0.75644771700171409</v>
      </c>
      <c r="P73" s="16">
        <f t="shared" si="135"/>
        <v>1.5090067094515751</v>
      </c>
      <c r="Q73" s="16">
        <f t="shared" si="135"/>
        <v>0.63975150996993846</v>
      </c>
      <c r="R73" s="16">
        <f t="shared" si="135"/>
        <v>0.7014080119272128</v>
      </c>
      <c r="S73" s="16">
        <f t="shared" si="135"/>
        <v>0.69352549102241356</v>
      </c>
      <c r="T73" s="16">
        <f t="shared" si="135"/>
        <v>0.25268262434539124</v>
      </c>
      <c r="U73" s="16">
        <f t="shared" si="135"/>
        <v>0.53863587626091669</v>
      </c>
      <c r="V73" s="16">
        <f t="shared" si="135"/>
        <v>0.43768310227569973</v>
      </c>
      <c r="W73" s="16">
        <f t="shared" si="135"/>
        <v>0.44334609226376598</v>
      </c>
      <c r="X73" s="16">
        <f t="shared" si="135"/>
        <v>0.85513187408152214</v>
      </c>
      <c r="Y73" s="16">
        <f t="shared" si="135"/>
        <v>0.17644422460462983</v>
      </c>
      <c r="Z73" s="16">
        <f t="shared" si="135"/>
        <v>0.12573999149421988</v>
      </c>
      <c r="AA73" s="16">
        <f t="shared" si="135"/>
        <v>-1.687129090216144E-2</v>
      </c>
      <c r="AB73" s="16">
        <f t="shared" si="135"/>
        <v>-0.14356681259120285</v>
      </c>
      <c r="AC73" s="16">
        <f t="shared" si="135"/>
        <v>9.1310326884837645E-2</v>
      </c>
      <c r="AD73" s="16">
        <f t="shared" si="135"/>
        <v>0</v>
      </c>
      <c r="AE73" s="16">
        <f t="shared" si="135"/>
        <v>0</v>
      </c>
      <c r="AF73" s="16">
        <f t="shared" si="135"/>
        <v>0</v>
      </c>
      <c r="AG73" s="16">
        <f t="shared" si="135"/>
        <v>0</v>
      </c>
      <c r="AH73" s="16">
        <f t="shared" si="135"/>
        <v>0</v>
      </c>
      <c r="AI73" s="16"/>
      <c r="AR73" s="25">
        <f t="shared" ref="AR73:BB73" si="136">+AR42/AQ42-1</f>
        <v>0.39565262627590125</v>
      </c>
      <c r="AS73" s="25">
        <f t="shared" si="136"/>
        <v>0.8252981439448186</v>
      </c>
      <c r="AT73" s="25">
        <f t="shared" si="136"/>
        <v>0.47203204567389845</v>
      </c>
      <c r="AU73" s="25">
        <f t="shared" si="136"/>
        <v>0.34781700789494252</v>
      </c>
      <c r="AV73" s="25">
        <f t="shared" si="136"/>
        <v>-2.0042416379331351E-2</v>
      </c>
      <c r="AW73" s="25">
        <f t="shared" si="136"/>
        <v>-2.0000000000000018E-2</v>
      </c>
      <c r="AX73" s="25">
        <f t="shared" si="136"/>
        <v>0.10000000000000009</v>
      </c>
      <c r="AY73" s="25">
        <f t="shared" si="136"/>
        <v>0.10000000000000009</v>
      </c>
      <c r="AZ73" s="25">
        <f t="shared" si="136"/>
        <v>0.10000000000000009</v>
      </c>
      <c r="BA73" s="25">
        <f t="shared" si="136"/>
        <v>0.10000000000000009</v>
      </c>
      <c r="BB73" s="25">
        <f t="shared" si="136"/>
        <v>0.10000000000000009</v>
      </c>
      <c r="BC73" s="25">
        <f t="shared" ref="BC73:BG73" si="137">+BC42/BB42-1</f>
        <v>0.10000000000000009</v>
      </c>
      <c r="BD73" s="25">
        <f t="shared" si="137"/>
        <v>0.10000000000000009</v>
      </c>
      <c r="BE73" s="25">
        <f t="shared" si="137"/>
        <v>0.10000000000000009</v>
      </c>
      <c r="BF73" s="25">
        <f t="shared" si="137"/>
        <v>0.10000000000000009</v>
      </c>
      <c r="BG73" s="25">
        <f t="shared" si="137"/>
        <v>0.10000000000000009</v>
      </c>
    </row>
    <row r="74" spans="2:110" x14ac:dyDescent="0.25">
      <c r="B74" s="18" t="s">
        <v>91</v>
      </c>
      <c r="K74" s="16">
        <f t="shared" ref="K74:O74" si="138">K45/G45-1</f>
        <v>0.39441436306640076</v>
      </c>
      <c r="L74" s="16">
        <f t="shared" si="138"/>
        <v>-4.9729102167182626E-2</v>
      </c>
      <c r="M74" s="16">
        <f t="shared" si="138"/>
        <v>0.43141075604053003</v>
      </c>
      <c r="N74" s="16">
        <f t="shared" si="138"/>
        <v>0.4053394107113788</v>
      </c>
      <c r="O74" s="16">
        <f t="shared" si="138"/>
        <v>0.67320662170447587</v>
      </c>
      <c r="P74" s="16">
        <f>P45/L45-1</f>
        <v>0.9385053960496843</v>
      </c>
      <c r="Q74" s="16">
        <f t="shared" ref="Q74" si="139">Q45/M45-1</f>
        <v>0.55091206098557044</v>
      </c>
      <c r="R74" s="16">
        <f>R45/N45-1</f>
        <v>0.74041468782578468</v>
      </c>
      <c r="S74" s="16">
        <f t="shared" ref="S74:U74" si="140">S45/O45-1</f>
        <v>0.89495541712470983</v>
      </c>
      <c r="T74" s="16">
        <f t="shared" si="140"/>
        <v>0.43592436974789917</v>
      </c>
      <c r="U74" s="16">
        <f t="shared" si="140"/>
        <v>0.561046256473273</v>
      </c>
      <c r="V74" s="16">
        <f t="shared" ref="V74" si="141">V45/R45-1</f>
        <v>0.39999999999999991</v>
      </c>
      <c r="W74" s="16">
        <f>W45/S45-1</f>
        <v>0.21683640582699493</v>
      </c>
      <c r="X74" s="16">
        <f t="shared" ref="X74" si="142">X45/T45-1</f>
        <v>0.49370885149963417</v>
      </c>
      <c r="Y74" s="16">
        <f t="shared" ref="Y74" si="143">Y45/U45-1</f>
        <v>4.4813044700590332E-2</v>
      </c>
      <c r="Z74" s="16">
        <f t="shared" ref="Z74:AA74" si="144">Z45/V45-1</f>
        <v>-1.9253624910862799E-2</v>
      </c>
      <c r="AA74" s="16">
        <f t="shared" si="144"/>
        <v>-0.12808560228837795</v>
      </c>
      <c r="AB74" s="16">
        <f>AB45/X45-1</f>
        <v>-9.2511876193741127E-2</v>
      </c>
      <c r="AC74" s="16">
        <f>AC45/Y45-1</f>
        <v>1.3400064578624526E-2</v>
      </c>
      <c r="AD74" s="16">
        <f>AD45/Z45-1</f>
        <v>0</v>
      </c>
      <c r="AE74" s="16">
        <f>AE45/AA45-1</f>
        <v>-1.0000000000000009E-2</v>
      </c>
      <c r="AF74" s="16">
        <f>AF45/AB45-1</f>
        <v>-1.0000000000000009E-2</v>
      </c>
      <c r="AG74" s="16">
        <f>AG45/AC45-1</f>
        <v>-1.000000000000012E-2</v>
      </c>
      <c r="AH74" s="16">
        <f>AH45/AD45-1</f>
        <v>-1.0000000000000009E-2</v>
      </c>
      <c r="AI74" s="16"/>
    </row>
    <row r="75" spans="2:110" x14ac:dyDescent="0.25">
      <c r="B75" s="18" t="s">
        <v>90</v>
      </c>
      <c r="C75" s="16"/>
      <c r="D75" s="16"/>
      <c r="E75" s="16"/>
      <c r="F75" s="16"/>
      <c r="G75" s="16">
        <f t="shared" ref="G75:K75" si="145">G53/G45</f>
        <v>0.18609290396124251</v>
      </c>
      <c r="H75" s="16">
        <f t="shared" si="145"/>
        <v>0.17685758513931887</v>
      </c>
      <c r="I75" s="16">
        <f t="shared" si="145"/>
        <v>0.21784879189399844</v>
      </c>
      <c r="J75" s="16">
        <f t="shared" si="145"/>
        <v>0.21618101904606871</v>
      </c>
      <c r="K75" s="16">
        <f t="shared" si="145"/>
        <v>0.2440220723482526</v>
      </c>
      <c r="L75" s="16">
        <f t="shared" ref="L75" si="146">L53/L45</f>
        <v>0.24373854612095297</v>
      </c>
      <c r="M75" s="16">
        <f t="shared" ref="M75" si="147">M53/M45</f>
        <v>0.27021508303838826</v>
      </c>
      <c r="N75" s="16">
        <f t="shared" ref="N75:U75" si="148">N53/N45</f>
        <v>0.19819298042395458</v>
      </c>
      <c r="O75" s="16">
        <f>O53/O45</f>
        <v>0.21131061438866497</v>
      </c>
      <c r="P75" s="16">
        <f t="shared" si="148"/>
        <v>0.25220588235294117</v>
      </c>
      <c r="Q75" s="16">
        <f t="shared" si="148"/>
        <v>0.28464846835776353</v>
      </c>
      <c r="R75" s="16">
        <f t="shared" si="148"/>
        <v>0.28858569051580701</v>
      </c>
      <c r="S75" s="16">
        <f t="shared" si="148"/>
        <v>0.29650638133298957</v>
      </c>
      <c r="T75" s="16">
        <f t="shared" si="148"/>
        <v>0.25727871250914414</v>
      </c>
      <c r="U75" s="16">
        <f t="shared" si="148"/>
        <v>0.26348046106269329</v>
      </c>
      <c r="V75" s="16">
        <f>V53/V45</f>
        <v>0.26631804135963871</v>
      </c>
      <c r="W75" s="16">
        <f>W53/W45</f>
        <v>0.1830702404915775</v>
      </c>
      <c r="X75" s="16">
        <f t="shared" ref="X75:AB75" si="149">X53/X45</f>
        <v>0.17522895342573094</v>
      </c>
      <c r="Y75" s="16">
        <f t="shared" si="149"/>
        <v>0.15746421267893659</v>
      </c>
      <c r="Z75" s="16">
        <f t="shared" si="149"/>
        <v>0.16616577799321378</v>
      </c>
      <c r="AA75" s="16">
        <f t="shared" si="149"/>
        <v>0.15571081409477522</v>
      </c>
      <c r="AB75" s="16">
        <f t="shared" si="149"/>
        <v>0.13858607663248787</v>
      </c>
      <c r="AC75" s="16">
        <f t="shared" ref="AC75:AD75" si="150">AC53/AC45</f>
        <v>0.15086824916361319</v>
      </c>
      <c r="AD75" s="16">
        <f t="shared" si="150"/>
        <v>0.16616577799321378</v>
      </c>
      <c r="AE75" s="16">
        <f t="shared" ref="AE75:AG75" si="151">AE53/AE45</f>
        <v>0.14718264049977292</v>
      </c>
      <c r="AF75" s="16">
        <f t="shared" si="151"/>
        <v>0.12988492589140191</v>
      </c>
      <c r="AG75" s="16">
        <f t="shared" si="151"/>
        <v>0.14229116077132639</v>
      </c>
      <c r="AH75" s="16">
        <f>AH53/AH45</f>
        <v>0.15774321009415535</v>
      </c>
      <c r="AI75" s="16"/>
      <c r="AR75" s="16">
        <f t="shared" ref="AR75:BG75" si="152">AR53/AR45</f>
        <v>0</v>
      </c>
      <c r="AS75" s="16">
        <f t="shared" si="152"/>
        <v>0.38841926345609062</v>
      </c>
      <c r="AT75" s="16">
        <f t="shared" si="152"/>
        <v>0.27064584436209632</v>
      </c>
      <c r="AU75" s="16">
        <f t="shared" si="152"/>
        <v>0.17052821969455731</v>
      </c>
      <c r="AV75" s="16">
        <f t="shared" si="152"/>
        <v>0.15312084458234274</v>
      </c>
      <c r="AW75" s="16">
        <f t="shared" si="152"/>
        <v>0.14456650967913409</v>
      </c>
      <c r="AX75" s="16">
        <f t="shared" si="152"/>
        <v>0.20999999999999991</v>
      </c>
      <c r="AY75" s="16">
        <f t="shared" si="152"/>
        <v>0.20999999999999996</v>
      </c>
      <c r="AZ75" s="16">
        <f t="shared" si="152"/>
        <v>0.20999999999999994</v>
      </c>
      <c r="BA75" s="16">
        <f t="shared" si="152"/>
        <v>0.20999999999999996</v>
      </c>
      <c r="BB75" s="16">
        <f t="shared" si="152"/>
        <v>0.20999999999999994</v>
      </c>
      <c r="BC75" s="16">
        <f t="shared" si="152"/>
        <v>0.21</v>
      </c>
      <c r="BD75" s="16">
        <f t="shared" si="152"/>
        <v>0.20999999999999996</v>
      </c>
      <c r="BE75" s="16">
        <f t="shared" si="152"/>
        <v>0.20999999999999994</v>
      </c>
      <c r="BF75" s="16">
        <f t="shared" si="152"/>
        <v>0.21000000000000002</v>
      </c>
      <c r="BG75" s="16">
        <f t="shared" si="152"/>
        <v>0.21</v>
      </c>
    </row>
    <row r="76" spans="2:110" x14ac:dyDescent="0.25">
      <c r="B76" s="18" t="s">
        <v>45</v>
      </c>
      <c r="C76" s="16"/>
      <c r="D76" s="16"/>
      <c r="E76" s="16"/>
      <c r="F76" s="16"/>
      <c r="G76" s="16">
        <f t="shared" ref="G76:K76" si="153">+G59/G51</f>
        <v>0.1246421493063202</v>
      </c>
      <c r="H76" s="16">
        <f t="shared" si="153"/>
        <v>0.14503937007874015</v>
      </c>
      <c r="I76" s="16">
        <f t="shared" si="153"/>
        <v>0.18895763921941933</v>
      </c>
      <c r="J76" s="16">
        <f t="shared" si="153"/>
        <v>0.18838028169014084</v>
      </c>
      <c r="K76" s="16">
        <f t="shared" si="153"/>
        <v>0.20618212197159566</v>
      </c>
      <c r="L76" s="16">
        <f t="shared" ref="L76" si="154">+L59/L51</f>
        <v>0.20990722332670642</v>
      </c>
      <c r="M76" s="16">
        <f t="shared" ref="M76" si="155">+M59/M51</f>
        <v>0.23520693193478509</v>
      </c>
      <c r="N76" s="16">
        <f>+N59/N51</f>
        <v>0.19229337304542071</v>
      </c>
      <c r="O76" s="16">
        <f t="shared" ref="O76:AB76" si="156">+O59/O51</f>
        <v>0.21320627586870727</v>
      </c>
      <c r="P76" s="16">
        <f t="shared" si="156"/>
        <v>0.24117745442381669</v>
      </c>
      <c r="Q76" s="16">
        <f t="shared" si="156"/>
        <v>0.26604637639020134</v>
      </c>
      <c r="R76" s="16">
        <f t="shared" si="156"/>
        <v>0.27354816863254133</v>
      </c>
      <c r="S76" s="16">
        <f>+S59/S51</f>
        <v>0.29110684580934099</v>
      </c>
      <c r="T76" s="16">
        <f t="shared" si="156"/>
        <v>0.24997047360340144</v>
      </c>
      <c r="U76" s="16">
        <f t="shared" si="156"/>
        <v>0.25086231005873033</v>
      </c>
      <c r="V76" s="16">
        <f t="shared" si="156"/>
        <v>0.25257794296679104</v>
      </c>
      <c r="W76" s="16">
        <f t="shared" si="156"/>
        <v>0.19336448197522396</v>
      </c>
      <c r="X76" s="16">
        <f t="shared" si="156"/>
        <v>0.18185100493440848</v>
      </c>
      <c r="Y76" s="16">
        <f t="shared" si="156"/>
        <v>0.17892933618843684</v>
      </c>
      <c r="Z76" s="16">
        <f t="shared" si="156"/>
        <v>0.17634203520483172</v>
      </c>
      <c r="AA76" s="16">
        <f t="shared" si="156"/>
        <v>0.1735129806112389</v>
      </c>
      <c r="AB76" s="39">
        <f t="shared" si="156"/>
        <v>0.17952941176470588</v>
      </c>
      <c r="AC76" s="39">
        <f t="shared" ref="AC76:AD76" si="157">+AC59/AC51</f>
        <v>0.18862679691843381</v>
      </c>
      <c r="AD76" s="39">
        <f t="shared" si="157"/>
        <v>0.18556919841804562</v>
      </c>
      <c r="AE76" s="39">
        <f t="shared" ref="AE76:AH76" si="158">+AE59/AE51</f>
        <v>0.2</v>
      </c>
      <c r="AF76" s="39">
        <f t="shared" si="158"/>
        <v>0.2</v>
      </c>
      <c r="AG76" s="39">
        <f t="shared" si="158"/>
        <v>0.2</v>
      </c>
      <c r="AH76" s="39">
        <f t="shared" si="158"/>
        <v>0.2</v>
      </c>
      <c r="AI76" s="39"/>
      <c r="AR76" s="16">
        <f t="shared" ref="AR76:BG76" si="159">+AR59/AR51</f>
        <v>0</v>
      </c>
      <c r="AS76" s="16">
        <f t="shared" si="159"/>
        <v>0</v>
      </c>
      <c r="AT76" s="16">
        <f t="shared" si="159"/>
        <v>0.25</v>
      </c>
      <c r="AU76" s="16">
        <f t="shared" si="159"/>
        <v>0.18248891736331416</v>
      </c>
      <c r="AV76" s="16">
        <f t="shared" si="159"/>
        <v>0.18124725807445771</v>
      </c>
      <c r="AW76" s="16">
        <f t="shared" si="159"/>
        <v>0.20874255933332239</v>
      </c>
      <c r="AX76" s="16">
        <f t="shared" si="159"/>
        <v>0.25848506145759614</v>
      </c>
      <c r="AY76" s="16">
        <f t="shared" si="159"/>
        <v>0.26273121997897902</v>
      </c>
      <c r="AZ76" s="16">
        <f t="shared" si="159"/>
        <v>0.27576282648782696</v>
      </c>
      <c r="BA76" s="16">
        <f t="shared" si="159"/>
        <v>0.28029674537347482</v>
      </c>
      <c r="BB76" s="16">
        <f t="shared" si="159"/>
        <v>0.28497752359404688</v>
      </c>
      <c r="BC76" s="16">
        <f t="shared" si="159"/>
        <v>0.28703570086945274</v>
      </c>
      <c r="BD76" s="16">
        <f t="shared" si="159"/>
        <v>0.31645219519966467</v>
      </c>
      <c r="BE76" s="16">
        <f t="shared" si="159"/>
        <v>0.32035867490794745</v>
      </c>
      <c r="BF76" s="16">
        <f t="shared" si="159"/>
        <v>0.32443164560800197</v>
      </c>
      <c r="BG76" s="16">
        <f t="shared" si="159"/>
        <v>0.32393767783980737</v>
      </c>
    </row>
    <row r="77" spans="2:110" x14ac:dyDescent="0.25">
      <c r="B77" s="41" t="s">
        <v>167</v>
      </c>
      <c r="G77" s="16">
        <f>G66/G65</f>
        <v>-9.4841930116472545E-2</v>
      </c>
      <c r="H77" s="16">
        <f>H66/H65</f>
        <v>-0.15019762845849802</v>
      </c>
      <c r="I77" s="16">
        <f>I66/I65</f>
        <v>0.1875</v>
      </c>
      <c r="J77" s="16">
        <f>J66/J65</f>
        <v>0.43125000000000002</v>
      </c>
      <c r="K77" s="16">
        <f>K66/K65</f>
        <v>0.77142857142857146</v>
      </c>
      <c r="L77" s="16">
        <f>L66/L65</f>
        <v>0.30666666666666664</v>
      </c>
      <c r="M77" s="16">
        <f>M66/M65</f>
        <v>0.45945945945945948</v>
      </c>
      <c r="N77" s="16">
        <f>N66/N65</f>
        <v>0.28759894459102903</v>
      </c>
      <c r="O77" s="16">
        <f>O66/O65</f>
        <v>0.21990740740740741</v>
      </c>
      <c r="P77" s="16">
        <f>P66/P65</f>
        <v>0.11474164133738601</v>
      </c>
      <c r="Q77" s="16">
        <f>Q66/Q65</f>
        <v>0.13657527159855148</v>
      </c>
      <c r="R77" s="16">
        <f>R66/R65</f>
        <v>0.11916508538899431</v>
      </c>
      <c r="S77" s="16">
        <f>S66/S65</f>
        <v>8.4942084942084939E-2</v>
      </c>
      <c r="T77" s="16">
        <f>T66/T65</f>
        <v>8.3886071010534524E-2</v>
      </c>
      <c r="U77" s="16">
        <f>U66/U65</f>
        <v>8.3883388338833881E-2</v>
      </c>
      <c r="V77" s="16">
        <f>V66/V65</f>
        <v>7.3702200384533248E-2</v>
      </c>
      <c r="W77" s="16">
        <f>W66/W65</f>
        <v>0.10249999999999999</v>
      </c>
      <c r="X77" s="16">
        <f>X66/X65</f>
        <v>7.9673135852911137E-2</v>
      </c>
      <c r="Y77" s="16">
        <f>Y66/Y65</f>
        <v>9.3887530562347193E-2</v>
      </c>
      <c r="Z77" s="16">
        <f>Z66/Z65</f>
        <v>6.8461889548151527E-3</v>
      </c>
      <c r="AA77" s="16">
        <f>AA66/AA65</f>
        <v>0.27301996136509982</v>
      </c>
      <c r="AB77" s="16">
        <f>AB66/AB65</f>
        <v>0.16301315265045835</v>
      </c>
      <c r="AC77" s="16">
        <f>AC66/AC65</f>
        <v>0.20999301187980432</v>
      </c>
      <c r="AD77" s="16">
        <f>AD66/AD65</f>
        <v>0.16</v>
      </c>
      <c r="AE77" s="16">
        <f>AE66/AE65</f>
        <v>0.16</v>
      </c>
      <c r="AF77" s="16">
        <f>AF66/AF65</f>
        <v>0.16</v>
      </c>
      <c r="AG77" s="16">
        <f>AG66/AG65</f>
        <v>0.16</v>
      </c>
      <c r="AH77" s="16">
        <f>AH66/AH65</f>
        <v>0.16</v>
      </c>
      <c r="AI77" s="16"/>
      <c r="AJ77" s="25"/>
      <c r="AK77" s="25"/>
    </row>
    <row r="78" spans="2:110" x14ac:dyDescent="0.25">
      <c r="BH78" s="27" t="s">
        <v>110</v>
      </c>
      <c r="BI78" s="25">
        <v>-0.01</v>
      </c>
    </row>
    <row r="79" spans="2:110" s="4" customFormat="1" x14ac:dyDescent="0.25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60">M67</f>
        <v>300</v>
      </c>
      <c r="N79" s="5">
        <f t="shared" si="160"/>
        <v>270</v>
      </c>
      <c r="O79" s="5">
        <f t="shared" si="160"/>
        <v>337</v>
      </c>
      <c r="P79" s="5">
        <f t="shared" si="160"/>
        <v>1165</v>
      </c>
      <c r="Q79" s="5">
        <f t="shared" si="160"/>
        <v>1669</v>
      </c>
      <c r="R79" s="5">
        <f t="shared" si="160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C79" si="161">V67</f>
        <v>3468.7999999999984</v>
      </c>
      <c r="W79" s="5">
        <f t="shared" si="161"/>
        <v>2513</v>
      </c>
      <c r="X79" s="5">
        <f t="shared" si="161"/>
        <v>2703</v>
      </c>
      <c r="Y79" s="5">
        <f t="shared" si="161"/>
        <v>1853</v>
      </c>
      <c r="Z79" s="5">
        <f t="shared" si="161"/>
        <v>2176</v>
      </c>
      <c r="AA79" s="5">
        <f t="shared" si="161"/>
        <v>1129</v>
      </c>
      <c r="AB79" s="5">
        <f t="shared" si="161"/>
        <v>2100</v>
      </c>
      <c r="AC79" s="5">
        <f t="shared" si="161"/>
        <v>2261</v>
      </c>
      <c r="AD79" s="5"/>
      <c r="AE79" s="5"/>
      <c r="AF79" s="5"/>
      <c r="AG79" s="5"/>
      <c r="AH79" s="5"/>
      <c r="AI79" s="5"/>
      <c r="BH79" s="27" t="s">
        <v>111</v>
      </c>
      <c r="BI79" s="29">
        <v>0.08</v>
      </c>
    </row>
    <row r="80" spans="2:110" s="4" customFormat="1" x14ac:dyDescent="0.25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AI80" s="5"/>
      <c r="BH80" s="27" t="s">
        <v>112</v>
      </c>
      <c r="BI80" s="4">
        <f>NPV(BI79,AW67:DG67)+Main!K5-Main!K6</f>
        <v>1471642.526160361</v>
      </c>
    </row>
    <row r="81" spans="2:61" s="4" customFormat="1" x14ac:dyDescent="0.25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AI81" s="5"/>
      <c r="BH81" s="27" t="s">
        <v>114</v>
      </c>
      <c r="BI81" s="25">
        <v>0.02</v>
      </c>
    </row>
    <row r="82" spans="2:61" s="4" customFormat="1" x14ac:dyDescent="0.25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AI82" s="5"/>
      <c r="BH82" s="27" t="s">
        <v>113</v>
      </c>
      <c r="BI82" s="19">
        <f>BI80/Main!K3</f>
        <v>420.83000462120702</v>
      </c>
    </row>
    <row r="83" spans="2:61" s="4" customFormat="1" x14ac:dyDescent="0.25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  <c r="AI83" s="5"/>
    </row>
    <row r="84" spans="2:61" s="4" customFormat="1" x14ac:dyDescent="0.25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  <c r="AI84" s="5"/>
    </row>
    <row r="85" spans="2:61" s="4" customFormat="1" x14ac:dyDescent="0.25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  <c r="AI85" s="5"/>
    </row>
    <row r="86" spans="2:61" s="4" customFormat="1" x14ac:dyDescent="0.25">
      <c r="B86" s="17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  <c r="AI86" s="5"/>
    </row>
    <row r="87" spans="2:61" s="4" customFormat="1" x14ac:dyDescent="0.25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  <c r="AI87" s="5"/>
    </row>
    <row r="88" spans="2:61" s="4" customFormat="1" x14ac:dyDescent="0.25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62">SUM(N80:N87)</f>
        <v>3019</v>
      </c>
      <c r="O88" s="5">
        <f t="shared" si="162"/>
        <v>1641</v>
      </c>
      <c r="P88" s="5">
        <f t="shared" si="162"/>
        <v>2124</v>
      </c>
      <c r="Q88" s="5">
        <f t="shared" si="162"/>
        <v>3147</v>
      </c>
      <c r="R88" s="5">
        <f t="shared" si="162"/>
        <v>4585</v>
      </c>
      <c r="S88" s="5">
        <f t="shared" ref="S88:AA88" si="163">SUM(S80:S87)</f>
        <v>3995</v>
      </c>
      <c r="T88" s="5">
        <f t="shared" si="163"/>
        <v>2351</v>
      </c>
      <c r="U88" s="5">
        <f t="shared" si="163"/>
        <v>5100</v>
      </c>
      <c r="V88" s="5">
        <f t="shared" si="163"/>
        <v>3278</v>
      </c>
      <c r="W88" s="5">
        <f t="shared" si="163"/>
        <v>2513</v>
      </c>
      <c r="X88" s="5">
        <f t="shared" si="163"/>
        <v>3065</v>
      </c>
      <c r="Y88" s="5">
        <f t="shared" si="163"/>
        <v>3308</v>
      </c>
      <c r="Z88" s="5">
        <f t="shared" si="163"/>
        <v>4370</v>
      </c>
      <c r="AA88" s="5">
        <f t="shared" si="163"/>
        <v>242</v>
      </c>
      <c r="AB88" s="5">
        <v>3612</v>
      </c>
      <c r="AC88" s="5"/>
      <c r="AD88" s="5"/>
      <c r="AE88" s="5"/>
      <c r="AF88" s="5"/>
      <c r="AG88" s="5"/>
      <c r="AH88" s="5"/>
      <c r="AI88" s="5"/>
      <c r="AS88" s="4">
        <f>SUM(O88:R88)</f>
        <v>11497</v>
      </c>
      <c r="AT88" s="4">
        <f>SUM(S88:V88)</f>
        <v>14724</v>
      </c>
      <c r="AU88" s="4">
        <f>SUM(W88:Z88)</f>
        <v>13256</v>
      </c>
    </row>
    <row r="89" spans="2:61" s="4" customForma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2:61" s="4" customFormat="1" x14ac:dyDescent="0.25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I90" s="5"/>
      <c r="AS90" s="4">
        <f>SUM(O90:R90)</f>
        <v>6482</v>
      </c>
      <c r="AT90" s="4">
        <f>SUM(S90:V90)</f>
        <v>7158</v>
      </c>
      <c r="AU90" s="4">
        <f>SUM(W90:Z90)</f>
        <v>8898</v>
      </c>
    </row>
    <row r="91" spans="2:61" s="4" customFormat="1" x14ac:dyDescent="0.25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64">O88-O90</f>
        <v>293</v>
      </c>
      <c r="P91" s="5">
        <f t="shared" si="164"/>
        <v>619</v>
      </c>
      <c r="Q91" s="5">
        <f t="shared" si="164"/>
        <v>1328</v>
      </c>
      <c r="R91" s="5">
        <f t="shared" si="164"/>
        <v>2775</v>
      </c>
      <c r="S91" s="5">
        <f t="shared" ref="S91" si="165">S88-S90</f>
        <v>2228</v>
      </c>
      <c r="T91" s="5">
        <f t="shared" ref="T91:AB91" si="166">T88-T90</f>
        <v>621</v>
      </c>
      <c r="U91" s="5">
        <f t="shared" si="166"/>
        <v>3297</v>
      </c>
      <c r="V91" s="5">
        <f t="shared" si="166"/>
        <v>1420</v>
      </c>
      <c r="W91" s="5">
        <f t="shared" si="166"/>
        <v>441</v>
      </c>
      <c r="X91" s="5">
        <f t="shared" si="166"/>
        <v>1005</v>
      </c>
      <c r="Y91" s="5">
        <f t="shared" si="166"/>
        <v>848</v>
      </c>
      <c r="Z91" s="5">
        <f t="shared" si="166"/>
        <v>2064</v>
      </c>
      <c r="AA91" s="5">
        <f t="shared" si="166"/>
        <v>-2531</v>
      </c>
      <c r="AB91" s="5">
        <f t="shared" si="166"/>
        <v>1342</v>
      </c>
      <c r="AC91" s="5"/>
      <c r="AD91" s="5"/>
      <c r="AE91" s="5"/>
      <c r="AF91" s="5"/>
      <c r="AG91" s="5"/>
      <c r="AH91" s="5"/>
      <c r="AI91" s="5"/>
      <c r="AS91" s="4">
        <f>+AS88-AS90</f>
        <v>5015</v>
      </c>
      <c r="AT91" s="4">
        <f>+AT88-AT90</f>
        <v>7566</v>
      </c>
      <c r="AU91" s="4">
        <f>+AU88-AU90</f>
        <v>4358</v>
      </c>
    </row>
    <row r="92" spans="2:61" s="4" customFormat="1" x14ac:dyDescent="0.25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67">SUM(N91:Q91)</f>
        <v>4108</v>
      </c>
      <c r="R92" s="7">
        <f t="shared" si="167"/>
        <v>5015</v>
      </c>
      <c r="S92" s="7">
        <f t="shared" si="167"/>
        <v>6950</v>
      </c>
      <c r="T92" s="7">
        <f t="shared" si="167"/>
        <v>6952</v>
      </c>
      <c r="U92" s="7">
        <f t="shared" si="167"/>
        <v>8921</v>
      </c>
      <c r="V92" s="7">
        <f t="shared" si="167"/>
        <v>7566</v>
      </c>
      <c r="W92" s="7">
        <f t="shared" ref="W92:AB92" si="168">SUM(T91:W91)</f>
        <v>5779</v>
      </c>
      <c r="X92" s="7">
        <f t="shared" si="168"/>
        <v>6163</v>
      </c>
      <c r="Y92" s="7">
        <f t="shared" si="168"/>
        <v>3714</v>
      </c>
      <c r="Z92" s="7">
        <f t="shared" si="168"/>
        <v>4358</v>
      </c>
      <c r="AA92" s="7">
        <f t="shared" si="168"/>
        <v>1386</v>
      </c>
      <c r="AB92" s="7">
        <f t="shared" si="168"/>
        <v>1723</v>
      </c>
      <c r="AC92" s="5"/>
      <c r="AD92" s="5"/>
      <c r="AE92" s="5"/>
      <c r="AF92" s="5"/>
      <c r="AG92" s="5"/>
      <c r="AH92" s="5"/>
      <c r="AI92" s="5"/>
    </row>
    <row r="93" spans="2:61" s="4" customForma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2:61" s="4" customFormat="1" x14ac:dyDescent="0.25">
      <c r="B94" s="28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C94" si="169">X95-X112</f>
        <v>25105</v>
      </c>
      <c r="Y94" s="5">
        <f t="shared" si="169"/>
        <v>26958</v>
      </c>
      <c r="Z94" s="5">
        <f t="shared" si="169"/>
        <v>23864</v>
      </c>
      <c r="AA94" s="5">
        <f t="shared" si="169"/>
        <v>21503</v>
      </c>
      <c r="AB94" s="5">
        <f t="shared" si="169"/>
        <v>22975</v>
      </c>
      <c r="AC94" s="5">
        <f t="shared" si="169"/>
        <v>25952</v>
      </c>
      <c r="AD94" s="5"/>
      <c r="AE94" s="5"/>
      <c r="AF94" s="5"/>
      <c r="AG94" s="5"/>
      <c r="AH94" s="5"/>
      <c r="AI94" s="5"/>
      <c r="AU94" s="4">
        <f>Z94</f>
        <v>23864</v>
      </c>
      <c r="AV94" s="4">
        <f>AU94+AV67</f>
        <v>31575.085999999996</v>
      </c>
      <c r="AW94" s="4">
        <f t="shared" ref="AW94:BB94" si="170">AV94+AW67</f>
        <v>42260.697675695978</v>
      </c>
      <c r="AX94" s="4">
        <f t="shared" si="170"/>
        <v>61215.933926366604</v>
      </c>
      <c r="AY94" s="4">
        <f t="shared" si="170"/>
        <v>85169.198763803957</v>
      </c>
      <c r="AZ94" s="4">
        <f t="shared" si="170"/>
        <v>116069.73390415896</v>
      </c>
      <c r="BA94" s="4">
        <f t="shared" si="170"/>
        <v>154185.76573328688</v>
      </c>
      <c r="BB94" s="4">
        <f t="shared" si="170"/>
        <v>201136.87191990486</v>
      </c>
      <c r="BC94" s="4">
        <f t="shared" ref="BC94" si="171">BB94+BC67</f>
        <v>256038.4023007706</v>
      </c>
      <c r="BD94" s="4">
        <f t="shared" ref="BD94" si="172">BC94+BD67</f>
        <v>326843.4864103882</v>
      </c>
      <c r="BE94" s="4">
        <f t="shared" ref="BE94" si="173">BD94+BE67</f>
        <v>409830.39502854599</v>
      </c>
      <c r="BF94" s="4">
        <f t="shared" ref="BF94" si="174">BE94+BF67</f>
        <v>507045.73982277937</v>
      </c>
      <c r="BG94" s="4">
        <f t="shared" ref="BG94" si="175">BF94+BG67</f>
        <v>616093.18094447919</v>
      </c>
    </row>
    <row r="95" spans="2:61" s="4" customFormat="1" x14ac:dyDescent="0.25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76">X95+Y67</f>
        <v>26958</v>
      </c>
      <c r="Z95" s="35">
        <f>16398+12696</f>
        <v>29094</v>
      </c>
      <c r="AA95" s="5">
        <v>26863</v>
      </c>
      <c r="AB95" s="5">
        <f>14635+16085</f>
        <v>30720</v>
      </c>
      <c r="AC95" s="5">
        <f>18111+15537</f>
        <v>33648</v>
      </c>
      <c r="AD95" s="5"/>
      <c r="AE95" s="5"/>
      <c r="AF95" s="5"/>
      <c r="AG95" s="5"/>
      <c r="AH95" s="5"/>
      <c r="AI95" s="5"/>
    </row>
    <row r="96" spans="2:61" s="4" customFormat="1" x14ac:dyDescent="0.25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>
        <v>3313</v>
      </c>
      <c r="AD96" s="5"/>
      <c r="AE96" s="5"/>
      <c r="AF96" s="5"/>
      <c r="AG96" s="5"/>
      <c r="AH96" s="5"/>
      <c r="AI96" s="5"/>
    </row>
    <row r="97" spans="2:35" s="4" customFormat="1" x14ac:dyDescent="0.25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>
        <v>14530</v>
      </c>
      <c r="AD97" s="5"/>
      <c r="AE97" s="5"/>
      <c r="AF97" s="5"/>
      <c r="AG97" s="5"/>
      <c r="AH97" s="5"/>
      <c r="AI97" s="5"/>
    </row>
    <row r="98" spans="2:35" s="4" customFormat="1" x14ac:dyDescent="0.25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>
        <v>4888</v>
      </c>
      <c r="AD98" s="5"/>
      <c r="AE98" s="5"/>
      <c r="AF98" s="5"/>
      <c r="AG98" s="5"/>
      <c r="AH98" s="5"/>
      <c r="AI98" s="5"/>
    </row>
    <row r="99" spans="2:35" s="4" customFormat="1" x14ac:dyDescent="0.25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>
        <v>5380</v>
      </c>
      <c r="AD99" s="5"/>
      <c r="AE99" s="5"/>
      <c r="AF99" s="5"/>
      <c r="AG99" s="5"/>
      <c r="AH99" s="5"/>
      <c r="AI99" s="5"/>
    </row>
    <row r="100" spans="2:35" s="4" customFormat="1" x14ac:dyDescent="0.25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>
        <v>5040</v>
      </c>
      <c r="AD100" s="5"/>
      <c r="AE100" s="5"/>
      <c r="AF100" s="5"/>
      <c r="AG100" s="5"/>
      <c r="AH100" s="5"/>
      <c r="AI100" s="5"/>
    </row>
    <row r="101" spans="2:35" s="4" customFormat="1" x14ac:dyDescent="0.25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0">
        <v>32902</v>
      </c>
      <c r="AC101" s="5">
        <v>36116</v>
      </c>
      <c r="AD101" s="5"/>
      <c r="AE101" s="5"/>
      <c r="AF101" s="5"/>
      <c r="AG101" s="5"/>
      <c r="AH101" s="5"/>
      <c r="AI101" s="5"/>
    </row>
    <row r="102" spans="2:35" s="4" customFormat="1" x14ac:dyDescent="0.25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>
        <v>4867</v>
      </c>
      <c r="AD102" s="5"/>
      <c r="AE102" s="5"/>
      <c r="AF102" s="5"/>
      <c r="AG102" s="5"/>
      <c r="AH102" s="5"/>
      <c r="AI102" s="5"/>
    </row>
    <row r="103" spans="2:35" s="4" customFormat="1" x14ac:dyDescent="0.25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>
        <v>184</v>
      </c>
      <c r="AD103" s="5"/>
      <c r="AE103" s="5"/>
      <c r="AF103" s="5"/>
      <c r="AG103" s="5"/>
      <c r="AH103" s="5"/>
      <c r="AI103" s="5"/>
    </row>
    <row r="104" spans="2:35" s="4" customFormat="1" x14ac:dyDescent="0.25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>
        <f>158+253</f>
        <v>411</v>
      </c>
      <c r="AD104" s="5"/>
      <c r="AE104" s="5"/>
      <c r="AF104" s="5"/>
      <c r="AG104" s="5"/>
      <c r="AH104" s="5"/>
      <c r="AI104" s="5"/>
    </row>
    <row r="105" spans="2:35" s="4" customFormat="1" x14ac:dyDescent="0.25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>
        <f>6486+4989</f>
        <v>11475</v>
      </c>
      <c r="AD105" s="5"/>
      <c r="AE105" s="5"/>
      <c r="AF105" s="5"/>
      <c r="AG105" s="5"/>
      <c r="AH105" s="5"/>
      <c r="AI105" s="5"/>
    </row>
    <row r="106" spans="2:35" s="4" customFormat="1" x14ac:dyDescent="0.25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C106" si="177">SUM(T95:T105)</f>
        <v>68513</v>
      </c>
      <c r="U106" s="5">
        <f t="shared" si="177"/>
        <v>74426</v>
      </c>
      <c r="V106" s="5">
        <f t="shared" si="177"/>
        <v>0</v>
      </c>
      <c r="W106" s="5">
        <f t="shared" si="177"/>
        <v>86833</v>
      </c>
      <c r="X106" s="5">
        <f t="shared" si="177"/>
        <v>25105</v>
      </c>
      <c r="Y106" s="5">
        <f t="shared" si="177"/>
        <v>26958</v>
      </c>
      <c r="Z106" s="5">
        <f t="shared" si="177"/>
        <v>106618</v>
      </c>
      <c r="AA106" s="5">
        <f t="shared" si="177"/>
        <v>109226</v>
      </c>
      <c r="AB106" s="5">
        <f t="shared" si="177"/>
        <v>112832</v>
      </c>
      <c r="AC106" s="5">
        <f t="shared" si="177"/>
        <v>119852</v>
      </c>
      <c r="AD106" s="5"/>
      <c r="AE106" s="5"/>
      <c r="AF106" s="5"/>
      <c r="AG106" s="5"/>
      <c r="AH106" s="5"/>
      <c r="AI106" s="5"/>
    </row>
    <row r="107" spans="2:35" x14ac:dyDescent="0.25">
      <c r="S107" s="5"/>
      <c r="T107" s="5"/>
      <c r="U107" s="5"/>
      <c r="AA107" s="5"/>
      <c r="AB107" s="5"/>
    </row>
    <row r="108" spans="2:35" x14ac:dyDescent="0.25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  <c r="AC108" s="5">
        <v>14654</v>
      </c>
    </row>
    <row r="109" spans="2:35" x14ac:dyDescent="0.25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  <c r="AC109" s="5">
        <v>10601</v>
      </c>
    </row>
    <row r="110" spans="2:35" x14ac:dyDescent="0.25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  <c r="AC110" s="5">
        <f>3031+3350</f>
        <v>6381</v>
      </c>
    </row>
    <row r="111" spans="2:35" x14ac:dyDescent="0.25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  <c r="AC111" s="5">
        <v>0</v>
      </c>
    </row>
    <row r="112" spans="2:35" x14ac:dyDescent="0.25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>
        <f>2291+5405</f>
        <v>7696</v>
      </c>
      <c r="AD112" s="5"/>
      <c r="AE112" s="5"/>
      <c r="AF112" s="5"/>
      <c r="AG112" s="5"/>
      <c r="AH112" s="5"/>
      <c r="AI112" s="5"/>
    </row>
    <row r="113" spans="2:59" x14ac:dyDescent="0.25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  <c r="AC113" s="5">
        <v>9810</v>
      </c>
    </row>
    <row r="114" spans="2:59" x14ac:dyDescent="0.25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  <c r="AC114" s="40">
        <f>69931+709</f>
        <v>70640</v>
      </c>
    </row>
    <row r="115" spans="2:59" x14ac:dyDescent="0.25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  <c r="AC115" s="5">
        <f>SUM(AC108:AC114)</f>
        <v>119782</v>
      </c>
    </row>
    <row r="116" spans="2:59" x14ac:dyDescent="0.25">
      <c r="S116" s="5"/>
    </row>
    <row r="117" spans="2:59" x14ac:dyDescent="0.25">
      <c r="B117" s="32" t="s">
        <v>152</v>
      </c>
      <c r="S117" s="5"/>
      <c r="Z117" s="5">
        <v>3540</v>
      </c>
      <c r="AA117" s="5"/>
      <c r="AB117" s="5">
        <v>3660</v>
      </c>
      <c r="AT117" s="4">
        <v>2913</v>
      </c>
      <c r="AU117" s="4">
        <v>3536</v>
      </c>
    </row>
    <row r="118" spans="2:59" x14ac:dyDescent="0.25">
      <c r="B118" s="32" t="s">
        <v>158</v>
      </c>
      <c r="S118" s="5"/>
      <c r="Z118" s="5"/>
      <c r="AA118" s="5"/>
      <c r="AB118" s="5"/>
      <c r="AT118" s="4">
        <v>1178</v>
      </c>
      <c r="AU118" s="4">
        <v>1201</v>
      </c>
      <c r="AV118" s="4">
        <f t="shared" ref="AV118:BB118" si="178">+AV37*AV123*8/1000</f>
        <v>1707.03648</v>
      </c>
      <c r="AW118" s="4">
        <f t="shared" si="178"/>
        <v>2230.5276672</v>
      </c>
      <c r="AX118" s="4">
        <f t="shared" si="178"/>
        <v>3120.1407776000005</v>
      </c>
      <c r="AY118" s="4">
        <f t="shared" si="178"/>
        <v>4118.5858264320004</v>
      </c>
      <c r="AZ118" s="4">
        <f t="shared" si="178"/>
        <v>5285.5184772544017</v>
      </c>
      <c r="BA118" s="4">
        <f t="shared" si="178"/>
        <v>6644.6517999769621</v>
      </c>
      <c r="BB118" s="4">
        <f t="shared" si="178"/>
        <v>8222.7566024714906</v>
      </c>
      <c r="BC118" s="4">
        <f t="shared" ref="BC118:BG118" si="179">+BC37*BC123*8/1000</f>
        <v>9296.2831589052694</v>
      </c>
      <c r="BD118" s="4">
        <f t="shared" si="179"/>
        <v>10502.287460601088</v>
      </c>
      <c r="BE118" s="4">
        <f t="shared" si="179"/>
        <v>11856.52979104702</v>
      </c>
      <c r="BF118" s="4">
        <f t="shared" si="179"/>
        <v>13376.597712976127</v>
      </c>
      <c r="BG118" s="4">
        <f t="shared" si="179"/>
        <v>15082.11392138058</v>
      </c>
    </row>
    <row r="119" spans="2:59" x14ac:dyDescent="0.25">
      <c r="B119" s="32" t="s">
        <v>159</v>
      </c>
      <c r="S119" s="5"/>
      <c r="Z119" s="5"/>
      <c r="AA119" s="5"/>
      <c r="AB119" s="5"/>
      <c r="AT119" s="4">
        <v>580</v>
      </c>
      <c r="AU119" s="4">
        <v>595</v>
      </c>
    </row>
    <row r="120" spans="2:59" x14ac:dyDescent="0.25">
      <c r="B120" s="32"/>
      <c r="S120" s="5"/>
      <c r="Z120" s="5"/>
      <c r="AA120" s="5"/>
      <c r="AB120" s="5"/>
      <c r="AT120" s="4"/>
      <c r="AU120" s="4"/>
    </row>
    <row r="121" spans="2:59" x14ac:dyDescent="0.25">
      <c r="B121" s="32" t="s">
        <v>160</v>
      </c>
      <c r="S121" s="5"/>
      <c r="Z121" s="5"/>
      <c r="AA121" s="5"/>
      <c r="AB121" s="5"/>
      <c r="AT121" s="4"/>
      <c r="AU121" s="6">
        <f>+AU118/8</f>
        <v>150.125</v>
      </c>
      <c r="AV121" s="4">
        <f>+AV118/8</f>
        <v>213.37956</v>
      </c>
      <c r="AW121" s="4">
        <f t="shared" ref="AW121:BB121" si="180">+AW118/8</f>
        <v>278.8159584</v>
      </c>
      <c r="AX121" s="4">
        <f t="shared" si="180"/>
        <v>390.01759720000007</v>
      </c>
      <c r="AY121" s="4">
        <f t="shared" si="180"/>
        <v>514.82322830400005</v>
      </c>
      <c r="AZ121" s="4">
        <f t="shared" si="180"/>
        <v>660.68980965680021</v>
      </c>
      <c r="BA121" s="4">
        <f t="shared" si="180"/>
        <v>830.58147499712027</v>
      </c>
      <c r="BB121" s="4">
        <f t="shared" si="180"/>
        <v>1027.8445753089363</v>
      </c>
      <c r="BC121" s="4">
        <f t="shared" ref="BC121:BG121" si="181">+BC118/8</f>
        <v>1162.0353948631587</v>
      </c>
      <c r="BD121" s="4">
        <f t="shared" si="181"/>
        <v>1312.785932575136</v>
      </c>
      <c r="BE121" s="4">
        <f t="shared" si="181"/>
        <v>1482.0662238808775</v>
      </c>
      <c r="BF121" s="4">
        <f t="shared" si="181"/>
        <v>1672.0747141220158</v>
      </c>
      <c r="BG121" s="4">
        <f t="shared" si="181"/>
        <v>1885.2642401725725</v>
      </c>
    </row>
    <row r="122" spans="2:59" x14ac:dyDescent="0.25">
      <c r="B122" s="32" t="s">
        <v>161</v>
      </c>
      <c r="S122" s="5"/>
      <c r="AU122" s="25">
        <f>+AU117/AT117-1</f>
        <v>0.21386886371438374</v>
      </c>
    </row>
    <row r="123" spans="2:59" x14ac:dyDescent="0.25">
      <c r="B123" s="32" t="s">
        <v>162</v>
      </c>
      <c r="S123" s="5"/>
      <c r="AU123" s="25">
        <f>+AU121*1000/AU37</f>
        <v>8.3007064654555152E-2</v>
      </c>
      <c r="AV123" s="25">
        <v>0.12</v>
      </c>
      <c r="AW123" s="25">
        <v>0.16</v>
      </c>
      <c r="AX123" s="25">
        <v>0.2</v>
      </c>
      <c r="AY123" s="25">
        <v>0.24</v>
      </c>
      <c r="AZ123" s="25">
        <v>0.28000000000000003</v>
      </c>
      <c r="BA123" s="25">
        <v>0.32</v>
      </c>
      <c r="BB123" s="25">
        <v>0.36</v>
      </c>
      <c r="BC123" s="25">
        <v>0.37</v>
      </c>
      <c r="BD123" s="25">
        <v>0.38</v>
      </c>
      <c r="BE123" s="25">
        <v>0.39</v>
      </c>
      <c r="BF123" s="25">
        <v>0.4</v>
      </c>
      <c r="BG123" s="25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29" sqref="C29"/>
    </sheetView>
  </sheetViews>
  <sheetFormatPr defaultColWidth="9.109375" defaultRowHeight="13.2" x14ac:dyDescent="0.25"/>
  <cols>
    <col min="1" max="1" width="5" style="27" bestFit="1" customWidth="1"/>
    <col min="2" max="2" width="9.109375" style="27"/>
    <col min="3" max="3" width="11.6640625" style="27" customWidth="1"/>
    <col min="4" max="16384" width="9.109375" style="27"/>
  </cols>
  <sheetData>
    <row r="1" spans="1:5" ht="14.4" x14ac:dyDescent="0.3">
      <c r="A1" s="33" t="s">
        <v>8</v>
      </c>
    </row>
    <row r="4" spans="1:5" x14ac:dyDescent="0.25">
      <c r="B4" s="27" t="s">
        <v>98</v>
      </c>
      <c r="C4" s="27" t="s">
        <v>99</v>
      </c>
      <c r="D4" s="27">
        <v>100000</v>
      </c>
    </row>
    <row r="5" spans="1:5" x14ac:dyDescent="0.25">
      <c r="C5" s="27" t="s">
        <v>100</v>
      </c>
      <c r="D5" s="27">
        <v>550000</v>
      </c>
    </row>
    <row r="6" spans="1:5" x14ac:dyDescent="0.25">
      <c r="B6" s="27" t="s">
        <v>101</v>
      </c>
      <c r="C6" s="27" t="s">
        <v>100</v>
      </c>
      <c r="D6" s="27">
        <v>750000</v>
      </c>
      <c r="E6" s="27">
        <v>950000</v>
      </c>
    </row>
    <row r="7" spans="1:5" x14ac:dyDescent="0.25">
      <c r="B7" s="27" t="s">
        <v>102</v>
      </c>
      <c r="C7" s="27" t="s">
        <v>103</v>
      </c>
      <c r="D7" s="27">
        <v>350000</v>
      </c>
      <c r="E7" s="27">
        <v>375000</v>
      </c>
    </row>
    <row r="8" spans="1:5" x14ac:dyDescent="0.25">
      <c r="B8" s="27" t="s">
        <v>104</v>
      </c>
      <c r="C8" s="27" t="s">
        <v>103</v>
      </c>
      <c r="D8" s="27">
        <v>250000</v>
      </c>
    </row>
    <row r="9" spans="1:5" x14ac:dyDescent="0.25">
      <c r="C9" s="27" t="s">
        <v>105</v>
      </c>
      <c r="D9" s="27">
        <v>300000</v>
      </c>
      <c r="E9" s="27">
        <v>125000</v>
      </c>
    </row>
    <row r="10" spans="1:5" x14ac:dyDescent="0.25">
      <c r="B10" s="27" t="s">
        <v>106</v>
      </c>
      <c r="C10" s="27" t="s">
        <v>107</v>
      </c>
      <c r="D10" s="27">
        <v>300000</v>
      </c>
    </row>
    <row r="11" spans="1:5" x14ac:dyDescent="0.25">
      <c r="C11" s="27" t="s">
        <v>108</v>
      </c>
      <c r="D11" s="27">
        <v>300000</v>
      </c>
    </row>
    <row r="12" spans="1:5" x14ac:dyDescent="0.25">
      <c r="C12" s="27" t="s">
        <v>109</v>
      </c>
      <c r="D12" s="27">
        <v>300000</v>
      </c>
    </row>
    <row r="13" spans="1:5" x14ac:dyDescent="0.25">
      <c r="B13" s="32" t="s">
        <v>155</v>
      </c>
    </row>
    <row r="14" spans="1:5" x14ac:dyDescent="0.25">
      <c r="B14" s="32" t="s">
        <v>156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09375" defaultRowHeight="13.2" x14ac:dyDescent="0.25"/>
  <cols>
    <col min="1" max="1" width="5" style="32" bestFit="1" customWidth="1"/>
    <col min="2" max="16384" width="9.109375" style="32"/>
  </cols>
  <sheetData>
    <row r="1" spans="1:1" x14ac:dyDescent="0.25">
      <c r="A1" s="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Szewczyk</cp:lastModifiedBy>
  <cp:revision/>
  <dcterms:created xsi:type="dcterms:W3CDTF">2022-07-01T16:14:29Z</dcterms:created>
  <dcterms:modified xsi:type="dcterms:W3CDTF">2024-11-10T20:54:08Z</dcterms:modified>
  <cp:category/>
  <cp:contentStatus/>
</cp:coreProperties>
</file>