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1s\OneDrive\Pulpit\inwestycje\modele\stare\"/>
    </mc:Choice>
  </mc:AlternateContent>
  <xr:revisionPtr revIDLastSave="0" documentId="13_ncr:1_{3923094F-99FE-49ED-94C0-C4D7F8F7212D}" xr6:coauthVersionLast="47" xr6:coauthVersionMax="47" xr10:uidLastSave="{00000000-0000-0000-0000-000000000000}"/>
  <bookViews>
    <workbookView xWindow="1152" yWindow="1152" windowWidth="17280" windowHeight="8880" activeTab="1" xr2:uid="{C9749322-AEA4-4C67-952F-0B1C4ACE8AD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" i="2" l="1"/>
  <c r="R7" i="2"/>
  <c r="Q7" i="2"/>
  <c r="P7" i="2"/>
  <c r="R3" i="2"/>
  <c r="Q3" i="2"/>
  <c r="P3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Z9" i="2"/>
  <c r="AC8" i="2"/>
  <c r="N18" i="2"/>
  <c r="O16" i="2"/>
  <c r="X19" i="2" l="1"/>
  <c r="X17" i="2"/>
  <c r="X16" i="2"/>
  <c r="X14" i="2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X13" i="2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X12" i="2"/>
  <c r="Y12" i="2" s="1"/>
  <c r="Z12" i="2" s="1"/>
  <c r="AA12" i="2" s="1"/>
  <c r="AB12" i="2" s="1"/>
  <c r="AC12" i="2" s="1"/>
  <c r="AD12" i="2" s="1"/>
  <c r="X8" i="2"/>
  <c r="X4" i="2"/>
  <c r="Y4" i="2" s="1"/>
  <c r="W19" i="2"/>
  <c r="W17" i="2"/>
  <c r="W4" i="2"/>
  <c r="V19" i="2"/>
  <c r="V17" i="2"/>
  <c r="V4" i="2"/>
  <c r="X3" i="2"/>
  <c r="Y3" i="2" s="1"/>
  <c r="Y7" i="2" s="1"/>
  <c r="W3" i="2"/>
  <c r="V3" i="2"/>
  <c r="U19" i="2"/>
  <c r="U17" i="2"/>
  <c r="U4" i="2"/>
  <c r="U3" i="2"/>
  <c r="P26" i="2"/>
  <c r="Q26" i="2"/>
  <c r="R26" i="2"/>
  <c r="P9" i="2"/>
  <c r="P27" i="2" s="1"/>
  <c r="R8" i="2"/>
  <c r="Q8" i="2"/>
  <c r="P8" i="2"/>
  <c r="P25" i="2"/>
  <c r="R25" i="2"/>
  <c r="Q25" i="2"/>
  <c r="O26" i="2"/>
  <c r="P5" i="2"/>
  <c r="P6" i="2" s="1"/>
  <c r="P32" i="2" s="1"/>
  <c r="Q5" i="2"/>
  <c r="Q6" i="2" s="1"/>
  <c r="Q32" i="2" s="1"/>
  <c r="R4" i="2"/>
  <c r="Q4" i="2"/>
  <c r="P4" i="2"/>
  <c r="O25" i="2"/>
  <c r="Y8" i="2" l="1"/>
  <c r="Y26" i="2" s="1"/>
  <c r="Z4" i="2"/>
  <c r="Z8" i="2" s="1"/>
  <c r="Z26" i="2" s="1"/>
  <c r="AA4" i="2"/>
  <c r="X26" i="2"/>
  <c r="O6" i="2"/>
  <c r="O32" i="2" s="1"/>
  <c r="Q9" i="2"/>
  <c r="O27" i="2"/>
  <c r="Z3" i="2"/>
  <c r="Z7" i="2" s="1"/>
  <c r="Z10" i="2" s="1"/>
  <c r="Y25" i="2"/>
  <c r="X25" i="2"/>
  <c r="AE12" i="2"/>
  <c r="P10" i="2"/>
  <c r="P11" i="2" s="1"/>
  <c r="O10" i="2"/>
  <c r="H32" i="2"/>
  <c r="I32" i="2"/>
  <c r="K32" i="2"/>
  <c r="L32" i="2"/>
  <c r="M32" i="2"/>
  <c r="G32" i="2"/>
  <c r="C16" i="2"/>
  <c r="C10" i="2"/>
  <c r="C6" i="2"/>
  <c r="G18" i="2"/>
  <c r="G16" i="2"/>
  <c r="G10" i="2"/>
  <c r="G6" i="2"/>
  <c r="D16" i="2"/>
  <c r="D10" i="2"/>
  <c r="D6" i="2"/>
  <c r="H16" i="2"/>
  <c r="H10" i="2"/>
  <c r="H6" i="2"/>
  <c r="E16" i="2"/>
  <c r="E10" i="2"/>
  <c r="E6" i="2"/>
  <c r="I16" i="2"/>
  <c r="I10" i="2"/>
  <c r="I6" i="2"/>
  <c r="F17" i="2"/>
  <c r="F14" i="2"/>
  <c r="U14" i="2" s="1"/>
  <c r="F13" i="2"/>
  <c r="U13" i="2" s="1"/>
  <c r="F12" i="2"/>
  <c r="U12" i="2" s="1"/>
  <c r="F9" i="2"/>
  <c r="U9" i="2" s="1"/>
  <c r="F8" i="2"/>
  <c r="U8" i="2" s="1"/>
  <c r="U26" i="2" s="1"/>
  <c r="F7" i="2"/>
  <c r="U7" i="2" s="1"/>
  <c r="F5" i="2"/>
  <c r="U5" i="2" s="1"/>
  <c r="F4" i="2"/>
  <c r="F3" i="2"/>
  <c r="J19" i="2"/>
  <c r="J17" i="2"/>
  <c r="J16" i="2"/>
  <c r="V16" i="2" s="1"/>
  <c r="J14" i="2"/>
  <c r="V14" i="2" s="1"/>
  <c r="J13" i="2"/>
  <c r="V13" i="2" s="1"/>
  <c r="J12" i="2"/>
  <c r="V12" i="2" s="1"/>
  <c r="J8" i="2"/>
  <c r="V8" i="2" s="1"/>
  <c r="V26" i="2" s="1"/>
  <c r="J9" i="2"/>
  <c r="V9" i="2" s="1"/>
  <c r="J7" i="2"/>
  <c r="V7" i="2" s="1"/>
  <c r="J5" i="2"/>
  <c r="V5" i="2" s="1"/>
  <c r="J4" i="2"/>
  <c r="J3" i="2"/>
  <c r="K16" i="2"/>
  <c r="K10" i="2"/>
  <c r="K6" i="2"/>
  <c r="L16" i="2"/>
  <c r="L10" i="2"/>
  <c r="L6" i="2"/>
  <c r="L25" i="2"/>
  <c r="L26" i="2"/>
  <c r="L27" i="2"/>
  <c r="M16" i="2"/>
  <c r="M10" i="2"/>
  <c r="M11" i="2" s="1"/>
  <c r="M6" i="2"/>
  <c r="D25" i="2"/>
  <c r="E25" i="2"/>
  <c r="G25" i="2"/>
  <c r="H25" i="2"/>
  <c r="I25" i="2"/>
  <c r="K25" i="2"/>
  <c r="M25" i="2"/>
  <c r="D26" i="2"/>
  <c r="E26" i="2"/>
  <c r="G26" i="2"/>
  <c r="H26" i="2"/>
  <c r="I26" i="2"/>
  <c r="K26" i="2"/>
  <c r="M26" i="2"/>
  <c r="D27" i="2"/>
  <c r="E27" i="2"/>
  <c r="G27" i="2"/>
  <c r="H27" i="2"/>
  <c r="I27" i="2"/>
  <c r="K27" i="2"/>
  <c r="M27" i="2"/>
  <c r="C27" i="2"/>
  <c r="C26" i="2"/>
  <c r="C25" i="2"/>
  <c r="N19" i="2"/>
  <c r="N17" i="2"/>
  <c r="N16" i="2"/>
  <c r="W16" i="2" s="1"/>
  <c r="N14" i="2"/>
  <c r="W14" i="2" s="1"/>
  <c r="N13" i="2"/>
  <c r="W13" i="2" s="1"/>
  <c r="N12" i="2"/>
  <c r="W12" i="2" s="1"/>
  <c r="N9" i="2"/>
  <c r="W9" i="2" s="1"/>
  <c r="N8" i="2"/>
  <c r="W8" i="2" s="1"/>
  <c r="W26" i="2" s="1"/>
  <c r="N7" i="2"/>
  <c r="W7" i="2" s="1"/>
  <c r="N5" i="2"/>
  <c r="N4" i="2"/>
  <c r="N3" i="2"/>
  <c r="C7" i="1"/>
  <c r="C4" i="1"/>
  <c r="O11" i="2" l="1"/>
  <c r="O28" i="2" s="1"/>
  <c r="U27" i="2"/>
  <c r="U6" i="2"/>
  <c r="P15" i="2"/>
  <c r="P29" i="2" s="1"/>
  <c r="P28" i="2"/>
  <c r="U25" i="2"/>
  <c r="U10" i="2"/>
  <c r="Q10" i="2"/>
  <c r="Q11" i="2" s="1"/>
  <c r="Q27" i="2"/>
  <c r="W25" i="2"/>
  <c r="W10" i="2"/>
  <c r="AB4" i="2"/>
  <c r="AA8" i="2"/>
  <c r="AA26" i="2" s="1"/>
  <c r="V6" i="2"/>
  <c r="V27" i="2"/>
  <c r="R5" i="2"/>
  <c r="W5" i="2"/>
  <c r="V25" i="2"/>
  <c r="V10" i="2"/>
  <c r="O15" i="2"/>
  <c r="O18" i="2" s="1"/>
  <c r="AA3" i="2"/>
  <c r="AA7" i="2" s="1"/>
  <c r="AF12" i="2"/>
  <c r="C11" i="2"/>
  <c r="C15" i="2"/>
  <c r="C28" i="2"/>
  <c r="F16" i="2"/>
  <c r="U16" i="2" s="1"/>
  <c r="G11" i="2"/>
  <c r="G28" i="2" s="1"/>
  <c r="D11" i="2"/>
  <c r="D28" i="2"/>
  <c r="D15" i="2"/>
  <c r="H11" i="2"/>
  <c r="H28" i="2"/>
  <c r="H15" i="2"/>
  <c r="F10" i="2"/>
  <c r="E11" i="2"/>
  <c r="E28" i="2" s="1"/>
  <c r="F26" i="2"/>
  <c r="I11" i="2"/>
  <c r="I15" i="2"/>
  <c r="I28" i="2"/>
  <c r="F27" i="2"/>
  <c r="F25" i="2"/>
  <c r="F6" i="2"/>
  <c r="J27" i="2"/>
  <c r="J26" i="2"/>
  <c r="J10" i="2"/>
  <c r="J25" i="2"/>
  <c r="J6" i="2"/>
  <c r="K11" i="2"/>
  <c r="K28" i="2"/>
  <c r="K15" i="2"/>
  <c r="L11" i="2"/>
  <c r="L28" i="2" s="1"/>
  <c r="N25" i="2"/>
  <c r="N27" i="2"/>
  <c r="N26" i="2"/>
  <c r="M15" i="2"/>
  <c r="M28" i="2"/>
  <c r="N10" i="2"/>
  <c r="N6" i="2"/>
  <c r="P18" i="2" l="1"/>
  <c r="W27" i="2"/>
  <c r="W6" i="2"/>
  <c r="Q15" i="2"/>
  <c r="Q28" i="2"/>
  <c r="U11" i="2"/>
  <c r="J32" i="2"/>
  <c r="V32" i="2"/>
  <c r="V11" i="2"/>
  <c r="N32" i="2"/>
  <c r="O29" i="2"/>
  <c r="AB8" i="2"/>
  <c r="AB26" i="2" s="1"/>
  <c r="AC4" i="2"/>
  <c r="R6" i="2"/>
  <c r="R32" i="2" s="1"/>
  <c r="R9" i="2"/>
  <c r="X5" i="2"/>
  <c r="R27" i="2"/>
  <c r="Z25" i="2"/>
  <c r="AB3" i="2"/>
  <c r="AB7" i="2" s="1"/>
  <c r="AG12" i="2"/>
  <c r="P20" i="2"/>
  <c r="P31" i="2"/>
  <c r="O31" i="2"/>
  <c r="O20" i="2"/>
  <c r="C29" i="2"/>
  <c r="C18" i="2"/>
  <c r="G15" i="2"/>
  <c r="G29" i="2" s="1"/>
  <c r="D18" i="2"/>
  <c r="D29" i="2"/>
  <c r="F11" i="2"/>
  <c r="F15" i="2" s="1"/>
  <c r="F18" i="2" s="1"/>
  <c r="F20" i="2" s="1"/>
  <c r="F22" i="2" s="1"/>
  <c r="H18" i="2"/>
  <c r="H29" i="2"/>
  <c r="E15" i="2"/>
  <c r="E29" i="2" s="1"/>
  <c r="I29" i="2"/>
  <c r="I18" i="2"/>
  <c r="J11" i="2"/>
  <c r="J28" i="2" s="1"/>
  <c r="K18" i="2"/>
  <c r="K29" i="2"/>
  <c r="L15" i="2"/>
  <c r="L29" i="2" s="1"/>
  <c r="N11" i="2"/>
  <c r="N15" i="2" s="1"/>
  <c r="M29" i="2"/>
  <c r="M18" i="2"/>
  <c r="U15" i="2" l="1"/>
  <c r="U28" i="2"/>
  <c r="R10" i="2"/>
  <c r="R11" i="2" s="1"/>
  <c r="X9" i="2"/>
  <c r="X10" i="2" s="1"/>
  <c r="V28" i="2"/>
  <c r="V15" i="2"/>
  <c r="Q18" i="2"/>
  <c r="Q29" i="2"/>
  <c r="Y5" i="2"/>
  <c r="X6" i="2"/>
  <c r="W32" i="2"/>
  <c r="W11" i="2"/>
  <c r="AC26" i="2"/>
  <c r="AD4" i="2"/>
  <c r="AA25" i="2"/>
  <c r="AC3" i="2"/>
  <c r="AC7" i="2" s="1"/>
  <c r="AH12" i="2"/>
  <c r="P30" i="2"/>
  <c r="P22" i="2"/>
  <c r="O30" i="2"/>
  <c r="O22" i="2"/>
  <c r="C20" i="2"/>
  <c r="C31" i="2"/>
  <c r="G20" i="2"/>
  <c r="G31" i="2"/>
  <c r="F28" i="2"/>
  <c r="F31" i="2"/>
  <c r="F30" i="2"/>
  <c r="F29" i="2"/>
  <c r="D20" i="2"/>
  <c r="D31" i="2"/>
  <c r="H20" i="2"/>
  <c r="H31" i="2"/>
  <c r="E18" i="2"/>
  <c r="E31" i="2"/>
  <c r="E20" i="2"/>
  <c r="I20" i="2"/>
  <c r="I31" i="2"/>
  <c r="J15" i="2"/>
  <c r="J29" i="2" s="1"/>
  <c r="K20" i="2"/>
  <c r="K31" i="2"/>
  <c r="N28" i="2"/>
  <c r="L18" i="2"/>
  <c r="L20" i="2" s="1"/>
  <c r="M31" i="2"/>
  <c r="M20" i="2"/>
  <c r="N29" i="2"/>
  <c r="X27" i="2" l="1"/>
  <c r="X32" i="2"/>
  <c r="X11" i="2"/>
  <c r="Y9" i="2"/>
  <c r="Y10" i="2" s="1"/>
  <c r="Z5" i="2"/>
  <c r="Y6" i="2"/>
  <c r="R15" i="2"/>
  <c r="R28" i="2"/>
  <c r="V29" i="2"/>
  <c r="V18" i="2"/>
  <c r="AD26" i="2"/>
  <c r="AE4" i="2"/>
  <c r="AD8" i="2"/>
  <c r="Q31" i="2"/>
  <c r="Q20" i="2"/>
  <c r="W15" i="2"/>
  <c r="W28" i="2"/>
  <c r="U18" i="2"/>
  <c r="U29" i="2"/>
  <c r="AB25" i="2"/>
  <c r="AD3" i="2"/>
  <c r="AD7" i="2" s="1"/>
  <c r="AI12" i="2"/>
  <c r="C22" i="2"/>
  <c r="C30" i="2"/>
  <c r="G22" i="2"/>
  <c r="G30" i="2"/>
  <c r="D22" i="2"/>
  <c r="D30" i="2"/>
  <c r="H22" i="2"/>
  <c r="H30" i="2"/>
  <c r="E22" i="2"/>
  <c r="E30" i="2"/>
  <c r="J18" i="2"/>
  <c r="J31" i="2" s="1"/>
  <c r="I22" i="2"/>
  <c r="I30" i="2"/>
  <c r="K22" i="2"/>
  <c r="K30" i="2"/>
  <c r="L31" i="2"/>
  <c r="L22" i="2"/>
  <c r="L30" i="2"/>
  <c r="M22" i="2"/>
  <c r="M30" i="2"/>
  <c r="N20" i="2"/>
  <c r="N31" i="2"/>
  <c r="Y27" i="2" l="1"/>
  <c r="R18" i="2"/>
  <c r="R29" i="2"/>
  <c r="X28" i="2"/>
  <c r="X15" i="2"/>
  <c r="V31" i="2"/>
  <c r="V20" i="2"/>
  <c r="Y32" i="2"/>
  <c r="Y11" i="2"/>
  <c r="W29" i="2"/>
  <c r="W18" i="2"/>
  <c r="Q22" i="2"/>
  <c r="Q30" i="2"/>
  <c r="U31" i="2"/>
  <c r="U20" i="2"/>
  <c r="Z27" i="2"/>
  <c r="AA5" i="2"/>
  <c r="Z6" i="2"/>
  <c r="AF4" i="2"/>
  <c r="AE8" i="2"/>
  <c r="AE26" i="2" s="1"/>
  <c r="AC25" i="2"/>
  <c r="AE3" i="2"/>
  <c r="AE7" i="2" s="1"/>
  <c r="AD25" i="2"/>
  <c r="AJ12" i="2"/>
  <c r="J20" i="2"/>
  <c r="J22" i="2" s="1"/>
  <c r="N22" i="2"/>
  <c r="N30" i="2"/>
  <c r="Y28" i="2" l="1"/>
  <c r="Y15" i="2"/>
  <c r="X29" i="2"/>
  <c r="X18" i="2"/>
  <c r="W20" i="2"/>
  <c r="W31" i="2"/>
  <c r="AG4" i="2"/>
  <c r="AF8" i="2"/>
  <c r="AF26" i="2" s="1"/>
  <c r="Z32" i="2"/>
  <c r="Z11" i="2"/>
  <c r="AB5" i="2"/>
  <c r="AA10" i="2"/>
  <c r="AA6" i="2"/>
  <c r="U22" i="2"/>
  <c r="U30" i="2"/>
  <c r="V30" i="2"/>
  <c r="V22" i="2"/>
  <c r="R31" i="2"/>
  <c r="R20" i="2"/>
  <c r="AF3" i="2"/>
  <c r="AF7" i="2" s="1"/>
  <c r="AE25" i="2"/>
  <c r="AK12" i="2"/>
  <c r="J30" i="2"/>
  <c r="Z28" i="2" l="1"/>
  <c r="Z15" i="2"/>
  <c r="AH4" i="2"/>
  <c r="AG8" i="2"/>
  <c r="AG26" i="2"/>
  <c r="X20" i="2"/>
  <c r="X31" i="2"/>
  <c r="AB10" i="2"/>
  <c r="AC5" i="2"/>
  <c r="AB6" i="2"/>
  <c r="W22" i="2"/>
  <c r="W30" i="2"/>
  <c r="Y29" i="2"/>
  <c r="Y18" i="2"/>
  <c r="R30" i="2"/>
  <c r="R22" i="2"/>
  <c r="AA11" i="2"/>
  <c r="AA32" i="2"/>
  <c r="AA27" i="2"/>
  <c r="AG3" i="2"/>
  <c r="AG7" i="2" s="1"/>
  <c r="AF25" i="2"/>
  <c r="AL12" i="2"/>
  <c r="AB11" i="2" l="1"/>
  <c r="AB32" i="2"/>
  <c r="AC10" i="2"/>
  <c r="AD5" i="2"/>
  <c r="AC6" i="2"/>
  <c r="AB27" i="2"/>
  <c r="X22" i="2"/>
  <c r="X30" i="2"/>
  <c r="AI4" i="2"/>
  <c r="AH8" i="2"/>
  <c r="AH26" i="2" s="1"/>
  <c r="AA28" i="2"/>
  <c r="AA15" i="2"/>
  <c r="Z18" i="2"/>
  <c r="Z29" i="2"/>
  <c r="Y20" i="2"/>
  <c r="Y31" i="2"/>
  <c r="AH3" i="2"/>
  <c r="AH7" i="2" s="1"/>
  <c r="AM12" i="2"/>
  <c r="AJ4" i="2" l="1"/>
  <c r="AI8" i="2"/>
  <c r="AI26" i="2" s="1"/>
  <c r="Y22" i="2"/>
  <c r="Y30" i="2"/>
  <c r="AC27" i="2"/>
  <c r="Z31" i="2"/>
  <c r="Z20" i="2"/>
  <c r="AC32" i="2"/>
  <c r="AC11" i="2"/>
  <c r="AE5" i="2"/>
  <c r="AD10" i="2"/>
  <c r="AD27" i="2"/>
  <c r="AD6" i="2"/>
  <c r="AA18" i="2"/>
  <c r="AA29" i="2"/>
  <c r="AB28" i="2"/>
  <c r="AB15" i="2"/>
  <c r="AG25" i="2"/>
  <c r="AI3" i="2"/>
  <c r="AI7" i="2" s="1"/>
  <c r="AN12" i="2"/>
  <c r="AE10" i="2" l="1"/>
  <c r="AF5" i="2"/>
  <c r="AE6" i="2"/>
  <c r="AC28" i="2"/>
  <c r="AC15" i="2"/>
  <c r="AB18" i="2"/>
  <c r="AB29" i="2"/>
  <c r="AA20" i="2"/>
  <c r="AA31" i="2"/>
  <c r="Z22" i="2"/>
  <c r="Z30" i="2"/>
  <c r="AD32" i="2"/>
  <c r="AD11" i="2"/>
  <c r="AK4" i="2"/>
  <c r="AJ8" i="2"/>
  <c r="AJ26" i="2"/>
  <c r="AH25" i="2"/>
  <c r="AJ3" i="2"/>
  <c r="AJ7" i="2" s="1"/>
  <c r="AO12" i="2"/>
  <c r="AA22" i="2" l="1"/>
  <c r="AA30" i="2"/>
  <c r="AE32" i="2"/>
  <c r="AE11" i="2"/>
  <c r="AB20" i="2"/>
  <c r="AB31" i="2"/>
  <c r="AF10" i="2"/>
  <c r="AG5" i="2"/>
  <c r="AF6" i="2"/>
  <c r="AC18" i="2"/>
  <c r="AC29" i="2"/>
  <c r="AL4" i="2"/>
  <c r="AK8" i="2"/>
  <c r="AK26" i="2"/>
  <c r="AD15" i="2"/>
  <c r="AD28" i="2"/>
  <c r="AE27" i="2"/>
  <c r="AK3" i="2"/>
  <c r="AK7" i="2" s="1"/>
  <c r="AI25" i="2"/>
  <c r="AP12" i="2"/>
  <c r="AF27" i="2" l="1"/>
  <c r="AC19" i="2"/>
  <c r="AC31" i="2" s="1"/>
  <c r="AE28" i="2"/>
  <c r="AE15" i="2"/>
  <c r="AH5" i="2"/>
  <c r="AG10" i="2"/>
  <c r="AG27" i="2"/>
  <c r="AG6" i="2"/>
  <c r="AD18" i="2"/>
  <c r="AD29" i="2"/>
  <c r="AM4" i="2"/>
  <c r="AL8" i="2"/>
  <c r="AL26" i="2"/>
  <c r="AF32" i="2"/>
  <c r="AF11" i="2"/>
  <c r="AB30" i="2"/>
  <c r="AB22" i="2"/>
  <c r="AJ25" i="2"/>
  <c r="AL3" i="2"/>
  <c r="AL7" i="2" s="1"/>
  <c r="AQ12" i="2"/>
  <c r="AC20" i="2" l="1"/>
  <c r="AG32" i="2"/>
  <c r="AG11" i="2"/>
  <c r="AF28" i="2"/>
  <c r="AF15" i="2"/>
  <c r="AN4" i="2"/>
  <c r="AM8" i="2"/>
  <c r="AM26" i="2" s="1"/>
  <c r="AD19" i="2"/>
  <c r="AD31" i="2" s="1"/>
  <c r="AI5" i="2"/>
  <c r="AH10" i="2"/>
  <c r="AH6" i="2"/>
  <c r="AC30" i="2"/>
  <c r="AC22" i="2"/>
  <c r="AE29" i="2"/>
  <c r="AE18" i="2"/>
  <c r="AM3" i="2"/>
  <c r="AM7" i="2" s="1"/>
  <c r="AK25" i="2"/>
  <c r="AR12" i="2"/>
  <c r="AD20" i="2" l="1"/>
  <c r="AF18" i="2"/>
  <c r="AF29" i="2"/>
  <c r="AJ5" i="2"/>
  <c r="AI10" i="2"/>
  <c r="AI6" i="2"/>
  <c r="AE19" i="2"/>
  <c r="AE31" i="2" s="1"/>
  <c r="AG28" i="2"/>
  <c r="AG15" i="2"/>
  <c r="AH27" i="2"/>
  <c r="AD30" i="2"/>
  <c r="AD22" i="2"/>
  <c r="AO4" i="2"/>
  <c r="AN8" i="2"/>
  <c r="AN26" i="2" s="1"/>
  <c r="AH11" i="2"/>
  <c r="AH32" i="2"/>
  <c r="AL25" i="2"/>
  <c r="AN3" i="2"/>
  <c r="AN7" i="2" s="1"/>
  <c r="AM25" i="2"/>
  <c r="AS12" i="2"/>
  <c r="AE20" i="2" l="1"/>
  <c r="AE30" i="2" s="1"/>
  <c r="AG29" i="2"/>
  <c r="AG18" i="2"/>
  <c r="AK5" i="2"/>
  <c r="AJ10" i="2"/>
  <c r="AJ27" i="2"/>
  <c r="AJ6" i="2"/>
  <c r="AH28" i="2"/>
  <c r="AH15" i="2"/>
  <c r="AF19" i="2"/>
  <c r="AF31" i="2" s="1"/>
  <c r="AI32" i="2"/>
  <c r="AI11" i="2"/>
  <c r="AI27" i="2"/>
  <c r="AP4" i="2"/>
  <c r="AO8" i="2"/>
  <c r="AO26" i="2"/>
  <c r="AO3" i="2"/>
  <c r="AO7" i="2" s="1"/>
  <c r="AT12" i="2"/>
  <c r="AE22" i="2" l="1"/>
  <c r="AF20" i="2"/>
  <c r="AF30" i="2"/>
  <c r="AF22" i="2"/>
  <c r="AG19" i="2"/>
  <c r="AG31" i="2" s="1"/>
  <c r="AJ11" i="2"/>
  <c r="AJ32" i="2"/>
  <c r="AQ4" i="2"/>
  <c r="AP8" i="2"/>
  <c r="AP26" i="2" s="1"/>
  <c r="AH18" i="2"/>
  <c r="AH29" i="2"/>
  <c r="AL5" i="2"/>
  <c r="AK10" i="2"/>
  <c r="AK6" i="2"/>
  <c r="AI15" i="2"/>
  <c r="AI28" i="2"/>
  <c r="AN25" i="2"/>
  <c r="AP3" i="2"/>
  <c r="AP7" i="2" s="1"/>
  <c r="AU12" i="2"/>
  <c r="AG20" i="2" l="1"/>
  <c r="AR4" i="2"/>
  <c r="AQ8" i="2"/>
  <c r="AQ26" i="2" s="1"/>
  <c r="AJ28" i="2"/>
  <c r="AJ15" i="2"/>
  <c r="AG30" i="2"/>
  <c r="AG22" i="2"/>
  <c r="AK32" i="2"/>
  <c r="AK11" i="2"/>
  <c r="AK27" i="2"/>
  <c r="AH19" i="2"/>
  <c r="AH31" i="2" s="1"/>
  <c r="AI29" i="2"/>
  <c r="AI18" i="2"/>
  <c r="AM5" i="2"/>
  <c r="AL10" i="2"/>
  <c r="AL6" i="2"/>
  <c r="AO25" i="2"/>
  <c r="AQ3" i="2"/>
  <c r="AQ7" i="2" s="1"/>
  <c r="AP25" i="2"/>
  <c r="AV12" i="2"/>
  <c r="AK15" i="2" l="1"/>
  <c r="AK28" i="2"/>
  <c r="AH20" i="2"/>
  <c r="AJ18" i="2"/>
  <c r="AJ29" i="2"/>
  <c r="AL32" i="2"/>
  <c r="AL11" i="2"/>
  <c r="AL27" i="2"/>
  <c r="AN5" i="2"/>
  <c r="AM10" i="2"/>
  <c r="AM6" i="2"/>
  <c r="AI19" i="2"/>
  <c r="AI31" i="2" s="1"/>
  <c r="AS4" i="2"/>
  <c r="AR8" i="2"/>
  <c r="AR26" i="2" s="1"/>
  <c r="AR3" i="2"/>
  <c r="AR7" i="2" s="1"/>
  <c r="AQ25" i="2"/>
  <c r="AW12" i="2"/>
  <c r="AM27" i="2" l="1"/>
  <c r="AH30" i="2"/>
  <c r="AH22" i="2"/>
  <c r="AO5" i="2"/>
  <c r="AN10" i="2"/>
  <c r="AN6" i="2"/>
  <c r="AJ19" i="2"/>
  <c r="AJ31" i="2" s="1"/>
  <c r="AT4" i="2"/>
  <c r="AS8" i="2"/>
  <c r="AS26" i="2" s="1"/>
  <c r="AI20" i="2"/>
  <c r="AL15" i="2"/>
  <c r="AL28" i="2"/>
  <c r="AM11" i="2"/>
  <c r="AM32" i="2"/>
  <c r="AK18" i="2"/>
  <c r="AK29" i="2"/>
  <c r="AS3" i="2"/>
  <c r="AS7" i="2" s="1"/>
  <c r="AR25" i="2"/>
  <c r="AX12" i="2"/>
  <c r="AN27" i="2" l="1"/>
  <c r="AJ20" i="2"/>
  <c r="AK19" i="2"/>
  <c r="AK31" i="2" s="1"/>
  <c r="AK20" i="2"/>
  <c r="AP5" i="2"/>
  <c r="AO10" i="2"/>
  <c r="AO6" i="2"/>
  <c r="AJ22" i="2"/>
  <c r="AJ30" i="2"/>
  <c r="AL29" i="2"/>
  <c r="AL18" i="2"/>
  <c r="AU4" i="2"/>
  <c r="AT8" i="2"/>
  <c r="AT26" i="2" s="1"/>
  <c r="AN32" i="2"/>
  <c r="AN11" i="2"/>
  <c r="AM28" i="2"/>
  <c r="AM15" i="2"/>
  <c r="AI30" i="2"/>
  <c r="AI22" i="2"/>
  <c r="AT3" i="2"/>
  <c r="AT7" i="2" s="1"/>
  <c r="AS25" i="2"/>
  <c r="AY12" i="2"/>
  <c r="AV4" i="2" l="1"/>
  <c r="AU8" i="2"/>
  <c r="AU26" i="2" s="1"/>
  <c r="AO11" i="2"/>
  <c r="AO32" i="2"/>
  <c r="AO27" i="2"/>
  <c r="AQ5" i="2"/>
  <c r="AP10" i="2"/>
  <c r="AP6" i="2"/>
  <c r="AL19" i="2"/>
  <c r="AL31" i="2" s="1"/>
  <c r="AM29" i="2"/>
  <c r="AM18" i="2"/>
  <c r="AK22" i="2"/>
  <c r="AK30" i="2"/>
  <c r="AN28" i="2"/>
  <c r="AN15" i="2"/>
  <c r="AU3" i="2"/>
  <c r="AU7" i="2" s="1"/>
  <c r="AT25" i="2"/>
  <c r="AL20" i="2" l="1"/>
  <c r="AP11" i="2"/>
  <c r="AP32" i="2"/>
  <c r="AO15" i="2"/>
  <c r="AO28" i="2"/>
  <c r="AL30" i="2"/>
  <c r="AL22" i="2"/>
  <c r="AP27" i="2"/>
  <c r="AR5" i="2"/>
  <c r="AQ10" i="2"/>
  <c r="AQ6" i="2"/>
  <c r="AN29" i="2"/>
  <c r="AN18" i="2"/>
  <c r="AM19" i="2"/>
  <c r="AM31" i="2" s="1"/>
  <c r="AW4" i="2"/>
  <c r="AV8" i="2"/>
  <c r="AV26" i="2"/>
  <c r="AV3" i="2"/>
  <c r="AV7" i="2" s="1"/>
  <c r="AM20" i="2" l="1"/>
  <c r="AQ32" i="2"/>
  <c r="AQ11" i="2"/>
  <c r="AS5" i="2"/>
  <c r="AR10" i="2"/>
  <c r="AR6" i="2"/>
  <c r="AQ27" i="2"/>
  <c r="AX4" i="2"/>
  <c r="AW8" i="2"/>
  <c r="AW26" i="2" s="1"/>
  <c r="AO29" i="2"/>
  <c r="AO18" i="2"/>
  <c r="AN19" i="2"/>
  <c r="AN31" i="2" s="1"/>
  <c r="AM22" i="2"/>
  <c r="AM30" i="2"/>
  <c r="AP28" i="2"/>
  <c r="AP15" i="2"/>
  <c r="AU25" i="2"/>
  <c r="AW3" i="2"/>
  <c r="AW7" i="2" s="1"/>
  <c r="AR27" i="2" l="1"/>
  <c r="AP29" i="2"/>
  <c r="AP18" i="2"/>
  <c r="AN20" i="2"/>
  <c r="AT5" i="2"/>
  <c r="AS10" i="2"/>
  <c r="AS6" i="2"/>
  <c r="AY4" i="2"/>
  <c r="AX8" i="2"/>
  <c r="AX26" i="2" s="1"/>
  <c r="AR32" i="2"/>
  <c r="AR11" i="2"/>
  <c r="AQ28" i="2"/>
  <c r="AQ15" i="2"/>
  <c r="AO19" i="2"/>
  <c r="AO31" i="2" s="1"/>
  <c r="AX3" i="2"/>
  <c r="AX7" i="2" s="1"/>
  <c r="AV25" i="2"/>
  <c r="AS27" i="2" l="1"/>
  <c r="AY8" i="2"/>
  <c r="AY26" i="2" s="1"/>
  <c r="AS11" i="2"/>
  <c r="AS32" i="2"/>
  <c r="AQ18" i="2"/>
  <c r="AQ29" i="2"/>
  <c r="AU5" i="2"/>
  <c r="AT10" i="2"/>
  <c r="AT6" i="2"/>
  <c r="AN30" i="2"/>
  <c r="AN22" i="2"/>
  <c r="AP19" i="2"/>
  <c r="AP31" i="2" s="1"/>
  <c r="AO20" i="2"/>
  <c r="AR28" i="2"/>
  <c r="AR15" i="2"/>
  <c r="AW25" i="2"/>
  <c r="AY3" i="2"/>
  <c r="AY7" i="2" s="1"/>
  <c r="AP20" i="2" l="1"/>
  <c r="AT11" i="2"/>
  <c r="AT32" i="2"/>
  <c r="AR18" i="2"/>
  <c r="AR29" i="2"/>
  <c r="AQ19" i="2"/>
  <c r="AQ31" i="2" s="1"/>
  <c r="AO22" i="2"/>
  <c r="AO30" i="2"/>
  <c r="AT27" i="2"/>
  <c r="AV5" i="2"/>
  <c r="AU10" i="2"/>
  <c r="AU6" i="2"/>
  <c r="AP30" i="2"/>
  <c r="AP22" i="2"/>
  <c r="AS15" i="2"/>
  <c r="AS28" i="2"/>
  <c r="AY25" i="2"/>
  <c r="AX25" i="2"/>
  <c r="AU27" i="2" l="1"/>
  <c r="AQ20" i="2"/>
  <c r="AW5" i="2"/>
  <c r="AV10" i="2"/>
  <c r="AV6" i="2"/>
  <c r="AS18" i="2"/>
  <c r="AS29" i="2"/>
  <c r="AR19" i="2"/>
  <c r="AR31" i="2" s="1"/>
  <c r="AU11" i="2"/>
  <c r="AU32" i="2"/>
  <c r="AT28" i="2"/>
  <c r="AT15" i="2"/>
  <c r="AV27" i="2" l="1"/>
  <c r="AR20" i="2"/>
  <c r="AR30" i="2" s="1"/>
  <c r="AU28" i="2"/>
  <c r="AU15" i="2"/>
  <c r="AV11" i="2"/>
  <c r="AV32" i="2"/>
  <c r="AT29" i="2"/>
  <c r="AT18" i="2"/>
  <c r="AX5" i="2"/>
  <c r="AW10" i="2"/>
  <c r="AW6" i="2"/>
  <c r="AS19" i="2"/>
  <c r="AS31" i="2" s="1"/>
  <c r="AQ30" i="2"/>
  <c r="AQ22" i="2"/>
  <c r="AS20" i="2" l="1"/>
  <c r="AR22" i="2"/>
  <c r="AW27" i="2"/>
  <c r="AW11" i="2"/>
  <c r="AW32" i="2"/>
  <c r="AT19" i="2"/>
  <c r="AT31" i="2" s="1"/>
  <c r="AV28" i="2"/>
  <c r="AV15" i="2"/>
  <c r="AY5" i="2"/>
  <c r="AX10" i="2"/>
  <c r="AX6" i="2"/>
  <c r="AU29" i="2"/>
  <c r="AU18" i="2"/>
  <c r="AS22" i="2"/>
  <c r="AS30" i="2"/>
  <c r="AT20" i="2" l="1"/>
  <c r="AX27" i="2"/>
  <c r="AV18" i="2"/>
  <c r="AV29" i="2"/>
  <c r="AU19" i="2"/>
  <c r="AU31" i="2" s="1"/>
  <c r="AT30" i="2"/>
  <c r="AT22" i="2"/>
  <c r="AX32" i="2"/>
  <c r="AX11" i="2"/>
  <c r="AY10" i="2"/>
  <c r="AY6" i="2"/>
  <c r="AW28" i="2"/>
  <c r="AW15" i="2"/>
  <c r="AU20" i="2" l="1"/>
  <c r="AY27" i="2"/>
  <c r="AY32" i="2"/>
  <c r="AY11" i="2"/>
  <c r="AX28" i="2"/>
  <c r="AX15" i="2"/>
  <c r="AU30" i="2"/>
  <c r="AU22" i="2"/>
  <c r="AW18" i="2"/>
  <c r="AW29" i="2"/>
  <c r="AV19" i="2"/>
  <c r="AV31" i="2" s="1"/>
  <c r="AV20" i="2" l="1"/>
  <c r="AV30" i="2" s="1"/>
  <c r="AV22" i="2"/>
  <c r="AW19" i="2"/>
  <c r="AW31" i="2" s="1"/>
  <c r="AX18" i="2"/>
  <c r="AX29" i="2"/>
  <c r="AY28" i="2"/>
  <c r="AY15" i="2"/>
  <c r="AW20" i="2" l="1"/>
  <c r="AX19" i="2"/>
  <c r="AX31" i="2" s="1"/>
  <c r="AX20" i="2"/>
  <c r="AY18" i="2"/>
  <c r="AY29" i="2"/>
  <c r="AW30" i="2"/>
  <c r="AW22" i="2"/>
  <c r="AY19" i="2" l="1"/>
  <c r="AY31" i="2" s="1"/>
  <c r="AY20" i="2"/>
  <c r="AX22" i="2"/>
  <c r="AX30" i="2"/>
  <c r="AY30" i="2" l="1"/>
  <c r="AY22" i="2"/>
  <c r="AZ20" i="2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BB25" i="2" s="1"/>
  <c r="BB26" i="2" s="1"/>
</calcChain>
</file>

<file path=xl/sharedStrings.xml><?xml version="1.0" encoding="utf-8"?>
<sst xmlns="http://schemas.openxmlformats.org/spreadsheetml/2006/main" count="62" uniqueCount="61">
  <si>
    <t>Price</t>
  </si>
  <si>
    <t>MC</t>
  </si>
  <si>
    <t>Cash</t>
  </si>
  <si>
    <t>Debt</t>
  </si>
  <si>
    <t>EV</t>
  </si>
  <si>
    <t>S/O</t>
  </si>
  <si>
    <t>Q4</t>
  </si>
  <si>
    <t>CEO</t>
  </si>
  <si>
    <t>Pasquale Romano</t>
  </si>
  <si>
    <t>CRO</t>
  </si>
  <si>
    <t>Michael Hughes</t>
  </si>
  <si>
    <t>1800 employees</t>
  </si>
  <si>
    <t>founded 2007</t>
  </si>
  <si>
    <t>HQ in Campbell, California</t>
  </si>
  <si>
    <t>Revenue</t>
  </si>
  <si>
    <t>COGS</t>
  </si>
  <si>
    <t>Gross Profit</t>
  </si>
  <si>
    <t>R&amp;D</t>
  </si>
  <si>
    <t>S&amp;M</t>
  </si>
  <si>
    <t>G&amp;A</t>
  </si>
  <si>
    <t>Operating Profit</t>
  </si>
  <si>
    <t>Interest income</t>
  </si>
  <si>
    <t>Pretax Income</t>
  </si>
  <si>
    <t>Taxes</t>
  </si>
  <si>
    <t>Net Income</t>
  </si>
  <si>
    <t>Shares</t>
  </si>
  <si>
    <t>EPS</t>
  </si>
  <si>
    <t>Other</t>
  </si>
  <si>
    <t>Charging Systems R</t>
  </si>
  <si>
    <t>Subscriptions R</t>
  </si>
  <si>
    <t>Charging Systems Costs</t>
  </si>
  <si>
    <t>Subscriptions Costs</t>
  </si>
  <si>
    <t>Other Costs</t>
  </si>
  <si>
    <t>Charging Systems Margin</t>
  </si>
  <si>
    <t>Subscriptions Margin</t>
  </si>
  <si>
    <t>Other Margin</t>
  </si>
  <si>
    <t>Gross Margin</t>
  </si>
  <si>
    <t>Operating Margin</t>
  </si>
  <si>
    <t>Net Margin</t>
  </si>
  <si>
    <t>Tax Rate</t>
  </si>
  <si>
    <t>Revenue Y/Y</t>
  </si>
  <si>
    <t>FQ120</t>
  </si>
  <si>
    <t>FQ220</t>
  </si>
  <si>
    <t>FQ320</t>
  </si>
  <si>
    <t>FQ420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</si>
  <si>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</si>
  <si>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</si>
  <si>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</si>
  <si>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</si>
  <si>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</si>
  <si>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</si>
  <si>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</si>
  <si>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</si>
  <si>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</si>
  <si>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</si>
  <si>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</si>
  <si>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</si>
  <si>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225000 chargers as of jan  31 2023; 38% growth y/y</t>
  </si>
  <si>
    <t>NPV</t>
  </si>
  <si>
    <t>Discount Rate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</si>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</sst>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theme="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0" applyFont="1"/>
    <xf numFmtId="4" fontId="2" fillId="0" borderId="0" xfId="0" applyNumberFormat="1" applyFont="1"/>
    <xf numFmtId="0" fontId="5" fillId="0" borderId="0" xfId="0" applyFont="1"/>
    <xf numFmtId="9" fontId="5" fillId="0" borderId="0" xfId="1" applyFont="1"/>
    <xf numFmtId="10" fontId="5" fillId="0" borderId="0" xfId="0" applyNumberFormat="1" applyFont="1"/>
    <xf numFmtId="0" fontId="0" fillId="0" borderId="0" xfId="0" applyAlignment="1">
      <alignment horizontal="right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4" fontId="0" fillId="0" borderId="1" xfId="0" applyNumberFormat="1" applyBorder="1"/>
    <xf numFmtId="4" fontId="2" fillId="0" borderId="1" xfId="0" applyNumberFormat="1" applyFont="1" applyBorder="1"/>
    <xf numFmtId="0" fontId="0" fillId="0" borderId="1" xfId="0" applyBorder="1"/>
    <xf numFmtId="9" fontId="5" fillId="0" borderId="1" xfId="1" applyFont="1" applyBorder="1"/>
    <xf numFmtId="0" fontId="5" fillId="0" borderId="1" xfId="0" applyFont="1" applyBorder="1"/>
    <xf numFmtId="9" fontId="0" fillId="0" borderId="0" xfId="1" applyFont="1"/>
    <xf numFmtId="9" fontId="0" fillId="0" borderId="0" xfId="0" applyNumberFormat="1"/>
    <xf numFmtId="164" fontId="5" fillId="0" borderId="0" xfId="0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0</xdr:row>
      <xdr:rowOff>127908</xdr:rowOff>
    </xdr:from>
    <xdr:to>
      <xdr:col>15</xdr:col>
      <xdr:colOff>19050</xdr:colOff>
      <xdr:row>61</xdr:row>
      <xdr:rowOff>27021</xdr:rowOff>
    </xdr:to>
    <xdr:cxnSp macro="">
      <xdr:nvCxnSpPr>
        <xdr:cNvPr id="5" name="Łącznik prosty 4">
          <a:extLst>
            <a:ext uri="{FF2B5EF4-FFF2-40B4-BE49-F238E27FC236}">
              <a16:creationId xmlns:a16="http://schemas.microsoft.com/office/drawing/2014/main" id="{EA65FC66-EB50-BEED-2E61-5F2B56443025}"/>
            </a:ext>
          </a:extLst>
        </xdr:cNvPr>
        <xdr:cNvCxnSpPr/>
      </xdr:nvCxnSpPr>
      <xdr:spPr>
        <a:xfrm>
          <a:off x="11347968" y="127908"/>
          <a:ext cx="0" cy="1128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705E-AD91-4F18-8310-50C8CD76B790}">
  <dimension ref="B2:D24"/>
  <sheetViews>
    <sheetView workbookViewId="0">
      <selection activeCell="A5" sqref="A5"/>
    </sheetView>
  </sheetViews>
  <sheetFormatPr defaultRowHeight="14.4" x14ac:dyDescent="0.3"/>
  <cols>
    <col min="3" max="3" width="10.109375" bestFit="1" customWidth="1"/>
  </cols>
  <sheetData>
    <row r="2" spans="2:4" x14ac:dyDescent="0.3">
      <c r="B2" t="s">
        <v>0</v>
      </c>
      <c r="C2" s="2">
        <v>8.77</v>
      </c>
      <c r="D2" t="s">
        <v>6</v>
      </c>
    </row>
    <row r="3" spans="2:4" x14ac:dyDescent="0.3">
      <c r="B3" t="s">
        <v>5</v>
      </c>
      <c r="C3" s="1">
        <v>350.49299999999999</v>
      </c>
    </row>
    <row r="4" spans="2:4" x14ac:dyDescent="0.3">
      <c r="B4" t="s">
        <v>1</v>
      </c>
      <c r="C4" s="1">
        <f>C2*C3</f>
        <v>3073.8236099999999</v>
      </c>
    </row>
    <row r="5" spans="2:4" x14ac:dyDescent="0.3">
      <c r="B5" t="s">
        <v>2</v>
      </c>
      <c r="C5" s="1">
        <v>399.55799999999999</v>
      </c>
    </row>
    <row r="6" spans="2:4" x14ac:dyDescent="0.3">
      <c r="B6" t="s">
        <v>3</v>
      </c>
      <c r="C6" s="1">
        <v>0</v>
      </c>
    </row>
    <row r="7" spans="2:4" x14ac:dyDescent="0.3">
      <c r="B7" t="s">
        <v>4</v>
      </c>
      <c r="C7" s="1">
        <f>C4-C5+C6</f>
        <v>2674.2656099999999</v>
      </c>
    </row>
    <row r="10" spans="2:4" x14ac:dyDescent="0.3">
      <c r="B10" s="3" t="s">
        <v>7</v>
      </c>
      <c r="C10" s="3" t="s">
        <v>8</v>
      </c>
      <c r="D10" s="3"/>
    </row>
    <row r="11" spans="2:4" x14ac:dyDescent="0.3">
      <c r="B11" s="3" t="s">
        <v>9</v>
      </c>
      <c r="C11" s="3" t="s">
        <v>10</v>
      </c>
      <c r="D11" s="3"/>
    </row>
    <row r="12" spans="2:4" x14ac:dyDescent="0.3">
      <c r="B12" s="3"/>
      <c r="C12" s="3"/>
      <c r="D12" s="3"/>
    </row>
    <row r="13" spans="2:4" x14ac:dyDescent="0.3">
      <c r="B13" s="3" t="s">
        <v>11</v>
      </c>
      <c r="C13" s="3"/>
      <c r="D13" s="3"/>
    </row>
    <row r="15" spans="2:4" x14ac:dyDescent="0.3">
      <c r="B15" s="3" t="s">
        <v>12</v>
      </c>
    </row>
    <row r="17" spans="2:2" x14ac:dyDescent="0.3">
      <c r="B17" t="s">
        <v>13</v>
      </c>
    </row>
    <row r="19" spans="2:2" x14ac:dyDescent="0.3">
      <c r="B19" t="s">
        <v>57</v>
      </c>
    </row>
    <row r="24" spans="2:2" x14ac:dyDescent="0.3">
      <c r="B2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25C2-9D70-4A4F-8288-C738E12CD060}">
  <dimension ref="B1:XFD38"/>
  <sheetViews>
    <sheetView tabSelected="1" zoomScale="98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defaultRowHeight="14.4" x14ac:dyDescent="0.3"/>
  <cols>
    <col min="2" max="2" width="24.44140625" bestFit="1" customWidth="1"/>
    <col min="3" max="9" width="10.109375" bestFit="1" customWidth="1"/>
    <col min="10" max="10" width="10.44140625" customWidth="1"/>
    <col min="11" max="13" width="10.109375" bestFit="1" customWidth="1"/>
    <col min="14" max="14" width="10.44140625" customWidth="1"/>
    <col min="15" max="15" width="10.109375" bestFit="1" customWidth="1"/>
    <col min="22" max="22" width="9.88671875" bestFit="1" customWidth="1"/>
    <col min="53" max="53" width="13.33203125" bestFit="1" customWidth="1"/>
    <col min="54" max="54" width="10.44140625" bestFit="1" customWidth="1"/>
  </cols>
  <sheetData>
    <row r="1" spans="2:90 16384:16384" x14ac:dyDescent="0.3">
      <c r="C1" s="5">
        <v>43951</v>
      </c>
      <c r="D1" s="5">
        <v>44043</v>
      </c>
      <c r="E1" s="5">
        <v>44135</v>
      </c>
      <c r="F1" s="12">
        <v>44227</v>
      </c>
      <c r="G1" s="5">
        <v>44316</v>
      </c>
      <c r="H1" s="5">
        <v>44408</v>
      </c>
      <c r="I1" s="5">
        <v>44500</v>
      </c>
      <c r="J1" s="5">
        <v>44592</v>
      </c>
      <c r="K1" s="5">
        <v>44681</v>
      </c>
      <c r="L1" s="5">
        <v>44773</v>
      </c>
      <c r="M1" s="5">
        <v>44865</v>
      </c>
      <c r="N1" s="5">
        <v>44957</v>
      </c>
    </row>
    <row r="2" spans="2:90 16384:16384" x14ac:dyDescent="0.3">
      <c r="C2" s="11" t="s">
        <v>41</v>
      </c>
      <c r="D2" s="11" t="s">
        <v>42</v>
      </c>
      <c r="E2" s="11" t="s">
        <v>43</v>
      </c>
      <c r="F2" s="13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 t="s">
        <v>51</v>
      </c>
      <c r="N2" s="11" t="s">
        <v>52</v>
      </c>
      <c r="O2" s="11" t="s">
        <v>53</v>
      </c>
      <c r="P2" s="11" t="s">
        <v>54</v>
      </c>
      <c r="Q2" s="11" t="s">
        <v>55</v>
      </c>
      <c r="R2" s="11" t="s">
        <v>56</v>
      </c>
      <c r="U2">
        <v>2020</v>
      </c>
      <c r="V2">
        <v>2021</v>
      </c>
      <c r="W2">
        <v>2022</v>
      </c>
      <c r="X2">
        <v>2023</v>
      </c>
      <c r="Y2">
        <v>2024</v>
      </c>
      <c r="Z2">
        <v>2025</v>
      </c>
      <c r="AA2">
        <v>2026</v>
      </c>
      <c r="AB2">
        <v>2027</v>
      </c>
      <c r="AC2">
        <v>2028</v>
      </c>
      <c r="AD2">
        <v>2029</v>
      </c>
      <c r="AE2">
        <v>2030</v>
      </c>
      <c r="AF2">
        <v>2031</v>
      </c>
      <c r="AG2">
        <v>2032</v>
      </c>
      <c r="AH2">
        <v>2033</v>
      </c>
      <c r="AI2">
        <v>2034</v>
      </c>
      <c r="AJ2">
        <v>2035</v>
      </c>
      <c r="AK2">
        <v>2036</v>
      </c>
      <c r="AL2">
        <v>2037</v>
      </c>
      <c r="AM2">
        <v>2038</v>
      </c>
      <c r="AN2">
        <v>2039</v>
      </c>
      <c r="AO2">
        <v>2040</v>
      </c>
      <c r="AP2">
        <v>2041</v>
      </c>
      <c r="AQ2">
        <v>2042</v>
      </c>
      <c r="AR2">
        <v>2043</v>
      </c>
      <c r="AS2">
        <v>2044</v>
      </c>
      <c r="AT2">
        <v>2045</v>
      </c>
      <c r="AU2">
        <v>2046</v>
      </c>
      <c r="AV2">
        <v>2047</v>
      </c>
      <c r="AW2">
        <v>2048</v>
      </c>
      <c r="AX2">
        <v>2049</v>
      </c>
      <c r="AY2">
        <v>2050</v>
      </c>
      <c r="AZ2">
        <v>2051</v>
      </c>
      <c r="BA2">
        <v>2052</v>
      </c>
      <c r="BB2">
        <v>2053</v>
      </c>
      <c r="BC2">
        <v>2054</v>
      </c>
      <c r="BD2">
        <v>2055</v>
      </c>
      <c r="BE2">
        <v>2056</v>
      </c>
      <c r="BF2">
        <v>2057</v>
      </c>
      <c r="BG2">
        <v>2058</v>
      </c>
      <c r="BH2">
        <v>2059</v>
      </c>
      <c r="BI2">
        <v>2060</v>
      </c>
      <c r="BJ2">
        <v>2061</v>
      </c>
      <c r="BK2">
        <v>2062</v>
      </c>
      <c r="BL2">
        <v>2063</v>
      </c>
      <c r="BM2">
        <v>2064</v>
      </c>
      <c r="BN2">
        <v>2065</v>
      </c>
      <c r="BO2">
        <v>2066</v>
      </c>
      <c r="BP2">
        <v>2067</v>
      </c>
      <c r="BQ2">
        <v>2068</v>
      </c>
      <c r="BR2">
        <v>2069</v>
      </c>
      <c r="BS2">
        <v>2070</v>
      </c>
      <c r="BT2">
        <v>2071</v>
      </c>
      <c r="BU2">
        <v>2072</v>
      </c>
      <c r="BV2">
        <v>2073</v>
      </c>
      <c r="BW2">
        <v>2074</v>
      </c>
      <c r="BX2">
        <v>2075</v>
      </c>
      <c r="BY2">
        <v>2076</v>
      </c>
      <c r="BZ2">
        <v>2077</v>
      </c>
      <c r="CA2">
        <v>2078</v>
      </c>
      <c r="CB2">
        <v>2079</v>
      </c>
      <c r="CC2">
        <v>2080</v>
      </c>
      <c r="CD2">
        <v>2081</v>
      </c>
      <c r="CE2">
        <v>2082</v>
      </c>
      <c r="CF2">
        <v>2083</v>
      </c>
      <c r="CG2">
        <v>2084</v>
      </c>
      <c r="CH2">
        <v>2085</v>
      </c>
      <c r="CI2">
        <v>2086</v>
      </c>
      <c r="CJ2">
        <v>2087</v>
      </c>
      <c r="CK2">
        <v>2088</v>
      </c>
      <c r="CL2">
        <v>2089</v>
      </c>
    </row>
    <row r="3" spans="2:90 16384:16384" x14ac:dyDescent="0.3">
      <c r="B3" t="s">
        <v>28</v>
      </c>
      <c r="C3" s="2">
        <v>19.657</v>
      </c>
      <c r="D3" s="2">
        <v>21.367999999999999</v>
      </c>
      <c r="E3" s="2">
        <v>22.565999999999999</v>
      </c>
      <c r="F3" s="14">
        <f>91.893-E3-D3-C3</f>
        <v>28.302000000000003</v>
      </c>
      <c r="G3" s="2">
        <v>26.8</v>
      </c>
      <c r="H3" s="2">
        <v>40.874000000000002</v>
      </c>
      <c r="I3" s="2">
        <v>47.511000000000003</v>
      </c>
      <c r="J3" s="2">
        <f>173.85-I3-H3-G3</f>
        <v>58.665000000000006</v>
      </c>
      <c r="K3" s="2">
        <v>59.551000000000002</v>
      </c>
      <c r="L3" s="2">
        <v>84.147999999999996</v>
      </c>
      <c r="M3" s="2">
        <v>97.591999999999999</v>
      </c>
      <c r="N3" s="2">
        <f>363.622-M3-L3-K3</f>
        <v>122.33100000000003</v>
      </c>
      <c r="O3" s="2">
        <v>98.32</v>
      </c>
      <c r="P3">
        <f>L3*1.5</f>
        <v>126.22199999999999</v>
      </c>
      <c r="Q3">
        <f>M3*1.6</f>
        <v>156.1472</v>
      </c>
      <c r="R3">
        <f>N3*1.6</f>
        <v>195.72960000000006</v>
      </c>
      <c r="U3" s="2">
        <f>SUM(C3:F3)</f>
        <v>91.893000000000001</v>
      </c>
      <c r="V3" s="2">
        <f>SUM(G3:J3)</f>
        <v>173.85000000000002</v>
      </c>
      <c r="W3" s="2">
        <f>SUM(K3:N3)</f>
        <v>363.62200000000001</v>
      </c>
      <c r="X3" s="2">
        <f>SUM(O3:R3)</f>
        <v>576.41880000000003</v>
      </c>
      <c r="Y3" s="2">
        <f>X3*1.4</f>
        <v>806.98631999999998</v>
      </c>
      <c r="Z3" s="2">
        <f>Y3*1.4</f>
        <v>1129.7808479999999</v>
      </c>
      <c r="AA3" s="2">
        <f>Z3*1.24</f>
        <v>1400.9282515199998</v>
      </c>
      <c r="AB3" s="2">
        <f>AA3*1.168</f>
        <v>1636.2841977753596</v>
      </c>
      <c r="AC3" s="2">
        <f>AB3*1.168</f>
        <v>1911.1799430016199</v>
      </c>
      <c r="AD3" s="2">
        <f>AC3*1.168</f>
        <v>2232.258173425892</v>
      </c>
      <c r="AE3" s="2">
        <f>AD3*1.168</f>
        <v>2607.2775465614418</v>
      </c>
      <c r="AF3" s="2">
        <f>AE3*1.08</f>
        <v>2815.8597502863572</v>
      </c>
      <c r="AG3" s="2">
        <f t="shared" ref="AG3:AY3" si="0">AF3*1.08</f>
        <v>3041.1285303092659</v>
      </c>
      <c r="AH3" s="2">
        <f t="shared" si="0"/>
        <v>3284.4188127340076</v>
      </c>
      <c r="AI3" s="2">
        <f t="shared" si="0"/>
        <v>3547.1723177527283</v>
      </c>
      <c r="AJ3" s="2">
        <f t="shared" si="0"/>
        <v>3830.946103172947</v>
      </c>
      <c r="AK3" s="2">
        <f t="shared" si="0"/>
        <v>4137.4217914267829</v>
      </c>
      <c r="AL3" s="2">
        <f t="shared" si="0"/>
        <v>4468.415534740926</v>
      </c>
      <c r="AM3" s="2">
        <f t="shared" si="0"/>
        <v>4825.8887775202002</v>
      </c>
      <c r="AN3" s="2">
        <f t="shared" si="0"/>
        <v>5211.9598797218168</v>
      </c>
      <c r="AO3" s="2">
        <f t="shared" si="0"/>
        <v>5628.9166700995629</v>
      </c>
      <c r="AP3" s="2">
        <f t="shared" si="0"/>
        <v>6079.2300037075283</v>
      </c>
      <c r="AQ3" s="2">
        <f t="shared" si="0"/>
        <v>6565.5684040041315</v>
      </c>
      <c r="AR3" s="2">
        <f t="shared" si="0"/>
        <v>7090.8138763244624</v>
      </c>
      <c r="AS3" s="2">
        <f t="shared" si="0"/>
        <v>7658.0789864304197</v>
      </c>
      <c r="AT3" s="2">
        <f t="shared" si="0"/>
        <v>8270.725305344853</v>
      </c>
      <c r="AU3" s="2">
        <f t="shared" si="0"/>
        <v>8932.3833297724414</v>
      </c>
      <c r="AV3" s="2">
        <f t="shared" si="0"/>
        <v>9646.9739961542382</v>
      </c>
      <c r="AW3" s="2">
        <f t="shared" si="0"/>
        <v>10418.731915846578</v>
      </c>
      <c r="AX3" s="2">
        <f t="shared" si="0"/>
        <v>11252.230469114305</v>
      </c>
      <c r="AY3" s="2">
        <f t="shared" si="0"/>
        <v>12152.40890664345</v>
      </c>
    </row>
    <row r="4" spans="2:90 16384:16384" x14ac:dyDescent="0.3">
      <c r="B4" s="6" t="s">
        <v>29</v>
      </c>
      <c r="C4" s="2">
        <v>9.0039999999999996</v>
      </c>
      <c r="D4" s="2">
        <v>9.8109999999999999</v>
      </c>
      <c r="E4" s="2">
        <v>10.782</v>
      </c>
      <c r="F4" s="14">
        <f>40.563-E4-D4-C4</f>
        <v>10.966000000000003</v>
      </c>
      <c r="G4" s="2">
        <v>10.824</v>
      </c>
      <c r="H4" s="2">
        <v>12.082000000000001</v>
      </c>
      <c r="I4" s="2">
        <v>13.397</v>
      </c>
      <c r="J4" s="2">
        <f>53.512-I4-H4-G4</f>
        <v>17.209000000000003</v>
      </c>
      <c r="K4" s="2">
        <v>17.646000000000001</v>
      </c>
      <c r="L4" s="2">
        <v>20.244</v>
      </c>
      <c r="M4" s="2">
        <v>21.67</v>
      </c>
      <c r="N4" s="2">
        <f>85.296-M4-L4-K4</f>
        <v>25.736000000000004</v>
      </c>
      <c r="O4" s="2">
        <v>26.364999999999998</v>
      </c>
      <c r="P4">
        <f>L4*1.4</f>
        <v>28.341599999999996</v>
      </c>
      <c r="Q4">
        <f>M4*1.4</f>
        <v>30.338000000000001</v>
      </c>
      <c r="R4">
        <f>N4*1.3</f>
        <v>33.456800000000008</v>
      </c>
      <c r="U4" s="2">
        <f t="shared" ref="U4:U9" si="1">SUM(C4:F4)</f>
        <v>40.563000000000002</v>
      </c>
      <c r="V4" s="2">
        <f>SUM(G4:J4)</f>
        <v>53.512</v>
      </c>
      <c r="W4" s="2">
        <f>SUM(K4:N4)</f>
        <v>85.296000000000006</v>
      </c>
      <c r="X4" s="2">
        <f>SUM(O4:R4)</f>
        <v>118.50140000000002</v>
      </c>
      <c r="Y4" s="2">
        <f>X4*1.6</f>
        <v>189.60224000000005</v>
      </c>
      <c r="Z4" s="2">
        <f>Y4*1.2</f>
        <v>227.52268800000004</v>
      </c>
      <c r="AA4" s="2">
        <f>Y4*1.4</f>
        <v>265.44313600000004</v>
      </c>
      <c r="AB4" s="2">
        <f>AA4*1.3</f>
        <v>345.07607680000007</v>
      </c>
      <c r="AC4" s="2">
        <f>AB4*1.3</f>
        <v>448.59889984000012</v>
      </c>
      <c r="AD4" s="2">
        <f>AC4*1.3</f>
        <v>583.17856979200019</v>
      </c>
      <c r="AE4" s="2">
        <f>AD4*1.3</f>
        <v>758.13214072960022</v>
      </c>
      <c r="AF4" s="2">
        <f>AE4*1.09</f>
        <v>826.3640333952643</v>
      </c>
      <c r="AG4" s="2">
        <f t="shared" ref="AG4:AY4" si="2">AF4*1.09</f>
        <v>900.7367964008381</v>
      </c>
      <c r="AH4" s="2">
        <f t="shared" si="2"/>
        <v>981.80310807691365</v>
      </c>
      <c r="AI4" s="2">
        <f t="shared" si="2"/>
        <v>1070.165387803836</v>
      </c>
      <c r="AJ4" s="2">
        <f t="shared" si="2"/>
        <v>1166.4802727061813</v>
      </c>
      <c r="AK4" s="2">
        <f t="shared" si="2"/>
        <v>1271.4634972497377</v>
      </c>
      <c r="AL4" s="2">
        <f t="shared" si="2"/>
        <v>1385.8952120022141</v>
      </c>
      <c r="AM4" s="2">
        <f t="shared" si="2"/>
        <v>1510.6257810824134</v>
      </c>
      <c r="AN4" s="2">
        <f t="shared" si="2"/>
        <v>1646.5821013798306</v>
      </c>
      <c r="AO4" s="2">
        <f t="shared" si="2"/>
        <v>1794.7744905040156</v>
      </c>
      <c r="AP4" s="2">
        <f t="shared" si="2"/>
        <v>1956.3041946493772</v>
      </c>
      <c r="AQ4" s="2">
        <f t="shared" si="2"/>
        <v>2132.3715721678213</v>
      </c>
      <c r="AR4" s="2">
        <f t="shared" si="2"/>
        <v>2324.2850136629254</v>
      </c>
      <c r="AS4" s="2">
        <f t="shared" si="2"/>
        <v>2533.470664892589</v>
      </c>
      <c r="AT4" s="2">
        <f t="shared" si="2"/>
        <v>2761.4830247329223</v>
      </c>
      <c r="AU4" s="2">
        <f t="shared" si="2"/>
        <v>3010.0164969588855</v>
      </c>
      <c r="AV4" s="2">
        <f t="shared" si="2"/>
        <v>3280.9179816851852</v>
      </c>
      <c r="AW4" s="2">
        <f t="shared" si="2"/>
        <v>3576.2006000368519</v>
      </c>
      <c r="AX4" s="2">
        <f t="shared" si="2"/>
        <v>3898.0586540401687</v>
      </c>
      <c r="AY4" s="2">
        <f t="shared" si="2"/>
        <v>4248.8839329037837</v>
      </c>
    </row>
    <row r="5" spans="2:90 16384:16384" x14ac:dyDescent="0.3">
      <c r="B5" s="6" t="s">
        <v>27</v>
      </c>
      <c r="C5" s="2">
        <v>4.1150000000000002</v>
      </c>
      <c r="D5" s="2">
        <v>3.778</v>
      </c>
      <c r="E5" s="2">
        <v>3.0169999999999999</v>
      </c>
      <c r="F5" s="14">
        <f>14.034-E5-D5-C5</f>
        <v>3.1240000000000006</v>
      </c>
      <c r="G5" s="2">
        <v>2.8860000000000001</v>
      </c>
      <c r="H5" s="2">
        <v>3.165</v>
      </c>
      <c r="I5" s="2">
        <v>4.1260000000000003</v>
      </c>
      <c r="J5" s="2">
        <f>13.644-I5-H5-G5</f>
        <v>3.4670000000000005</v>
      </c>
      <c r="K5" s="2">
        <v>4.4359999999999999</v>
      </c>
      <c r="L5" s="2">
        <v>3.9</v>
      </c>
      <c r="M5" s="2">
        <v>6.0789999999999997</v>
      </c>
      <c r="N5" s="2">
        <f>19.176-M5-L5-K5</f>
        <v>4.7609999999999975</v>
      </c>
      <c r="O5" s="2">
        <v>5.3449999999999998</v>
      </c>
      <c r="P5">
        <f>L5*1.4</f>
        <v>5.46</v>
      </c>
      <c r="Q5">
        <f>M5*1.1</f>
        <v>6.6869000000000005</v>
      </c>
      <c r="R5">
        <f>N5*1.7</f>
        <v>8.0936999999999948</v>
      </c>
      <c r="U5" s="2">
        <f t="shared" si="1"/>
        <v>14.034000000000001</v>
      </c>
      <c r="V5" s="2">
        <f>SUM(G5:J5)</f>
        <v>13.644</v>
      </c>
      <c r="W5" s="2">
        <f>SUM(K5:N5)</f>
        <v>19.175999999999995</v>
      </c>
      <c r="X5" s="2">
        <f>SUM(O5:R5)</f>
        <v>25.585599999999996</v>
      </c>
      <c r="Y5" s="2">
        <f>X5*1.4</f>
        <v>35.819839999999992</v>
      </c>
      <c r="Z5" s="2">
        <f t="shared" ref="Z5:AE5" si="3">Y5*1.5</f>
        <v>53.729759999999985</v>
      </c>
      <c r="AA5" s="2">
        <f t="shared" si="3"/>
        <v>80.59463999999997</v>
      </c>
      <c r="AB5" s="2">
        <f t="shared" si="3"/>
        <v>120.89195999999995</v>
      </c>
      <c r="AC5" s="2">
        <f t="shared" si="3"/>
        <v>181.33793999999995</v>
      </c>
      <c r="AD5" s="2">
        <f t="shared" si="3"/>
        <v>272.00690999999995</v>
      </c>
      <c r="AE5" s="2">
        <f t="shared" si="3"/>
        <v>408.01036499999992</v>
      </c>
      <c r="AF5" s="2">
        <f>AE5*1.12</f>
        <v>456.97160879999996</v>
      </c>
      <c r="AG5" s="2">
        <f t="shared" ref="AG5:AY5" si="4">AF5*1.12</f>
        <v>511.80820185599998</v>
      </c>
      <c r="AH5" s="2">
        <f t="shared" si="4"/>
        <v>573.22518607872007</v>
      </c>
      <c r="AI5" s="2">
        <f t="shared" si="4"/>
        <v>642.01220840816654</v>
      </c>
      <c r="AJ5" s="2">
        <f t="shared" si="4"/>
        <v>719.05367341714657</v>
      </c>
      <c r="AK5" s="2">
        <f t="shared" si="4"/>
        <v>805.34011422720425</v>
      </c>
      <c r="AL5" s="2">
        <f t="shared" si="4"/>
        <v>901.98092793446881</v>
      </c>
      <c r="AM5" s="2">
        <f t="shared" si="4"/>
        <v>1010.2186392866051</v>
      </c>
      <c r="AN5" s="2">
        <f t="shared" si="4"/>
        <v>1131.444876000998</v>
      </c>
      <c r="AO5" s="2">
        <f t="shared" si="4"/>
        <v>1267.2182611211178</v>
      </c>
      <c r="AP5" s="2">
        <f t="shared" si="4"/>
        <v>1419.2844524556522</v>
      </c>
      <c r="AQ5" s="2">
        <f t="shared" si="4"/>
        <v>1589.5985867503307</v>
      </c>
      <c r="AR5" s="2">
        <f t="shared" si="4"/>
        <v>1780.3504171603706</v>
      </c>
      <c r="AS5" s="2">
        <f t="shared" si="4"/>
        <v>1993.9924672196153</v>
      </c>
      <c r="AT5" s="2">
        <f t="shared" si="4"/>
        <v>2233.2715632859695</v>
      </c>
      <c r="AU5" s="2">
        <f t="shared" si="4"/>
        <v>2501.2641508802863</v>
      </c>
      <c r="AV5" s="2">
        <f t="shared" si="4"/>
        <v>2801.415848985921</v>
      </c>
      <c r="AW5" s="2">
        <f t="shared" si="4"/>
        <v>3137.5857508642316</v>
      </c>
      <c r="AX5" s="2">
        <f t="shared" si="4"/>
        <v>3514.0960409679396</v>
      </c>
      <c r="AY5" s="2">
        <f t="shared" si="4"/>
        <v>3935.7875658840926</v>
      </c>
    </row>
    <row r="6" spans="2:90 16384:16384" s="4" customFormat="1" x14ac:dyDescent="0.3">
      <c r="B6" s="4" t="s">
        <v>14</v>
      </c>
      <c r="C6" s="7">
        <f t="shared" ref="C6:R6" si="5">+C3+C4+C5</f>
        <v>32.776000000000003</v>
      </c>
      <c r="D6" s="7">
        <f t="shared" si="5"/>
        <v>34.957000000000001</v>
      </c>
      <c r="E6" s="7">
        <f t="shared" si="5"/>
        <v>36.365000000000002</v>
      </c>
      <c r="F6" s="15">
        <f t="shared" si="5"/>
        <v>42.39200000000001</v>
      </c>
      <c r="G6" s="7">
        <f t="shared" si="5"/>
        <v>40.510000000000005</v>
      </c>
      <c r="H6" s="7">
        <f t="shared" si="5"/>
        <v>56.121000000000002</v>
      </c>
      <c r="I6" s="7">
        <f t="shared" si="5"/>
        <v>65.034000000000006</v>
      </c>
      <c r="J6" s="7">
        <f t="shared" si="5"/>
        <v>79.341000000000008</v>
      </c>
      <c r="K6" s="7">
        <f t="shared" si="5"/>
        <v>81.63300000000001</v>
      </c>
      <c r="L6" s="7">
        <f t="shared" si="5"/>
        <v>108.292</v>
      </c>
      <c r="M6" s="7">
        <f t="shared" si="5"/>
        <v>125.34099999999999</v>
      </c>
      <c r="N6" s="7">
        <f t="shared" si="5"/>
        <v>152.82800000000003</v>
      </c>
      <c r="O6" s="7">
        <f t="shared" si="5"/>
        <v>130.03</v>
      </c>
      <c r="P6" s="7">
        <f t="shared" si="5"/>
        <v>160.02359999999999</v>
      </c>
      <c r="Q6" s="7">
        <f t="shared" si="5"/>
        <v>193.1721</v>
      </c>
      <c r="R6" s="7">
        <f t="shared" si="5"/>
        <v>237.28010000000006</v>
      </c>
      <c r="U6" s="7">
        <f t="shared" ref="U6:AF6" si="6">+U3+U4+U5</f>
        <v>146.49</v>
      </c>
      <c r="V6" s="7">
        <f t="shared" si="6"/>
        <v>241.00600000000003</v>
      </c>
      <c r="W6" s="7">
        <f t="shared" si="6"/>
        <v>468.09399999999999</v>
      </c>
      <c r="X6" s="7">
        <f t="shared" si="6"/>
        <v>720.50580000000002</v>
      </c>
      <c r="Y6" s="7">
        <f t="shared" si="6"/>
        <v>1032.4084</v>
      </c>
      <c r="Z6" s="7">
        <f t="shared" si="6"/>
        <v>1411.0332959999998</v>
      </c>
      <c r="AA6" s="7">
        <f t="shared" si="6"/>
        <v>1746.9660275199999</v>
      </c>
      <c r="AB6" s="7">
        <f t="shared" si="6"/>
        <v>2102.2522345753596</v>
      </c>
      <c r="AC6" s="7">
        <f t="shared" si="6"/>
        <v>2541.1167828416201</v>
      </c>
      <c r="AD6" s="7">
        <f t="shared" si="6"/>
        <v>3087.4436532178925</v>
      </c>
      <c r="AE6" s="7">
        <f t="shared" si="6"/>
        <v>3773.4200522910423</v>
      </c>
      <c r="AF6" s="7">
        <f t="shared" si="6"/>
        <v>4099.1953924816216</v>
      </c>
      <c r="AG6" s="7">
        <f t="shared" ref="AG6:AY6" si="7">+AG3+AG4+AG5</f>
        <v>4453.6735285661043</v>
      </c>
      <c r="AH6" s="7">
        <f t="shared" si="7"/>
        <v>4839.447106889641</v>
      </c>
      <c r="AI6" s="7">
        <f t="shared" si="7"/>
        <v>5259.3499139647311</v>
      </c>
      <c r="AJ6" s="7">
        <f t="shared" si="7"/>
        <v>5716.480049296275</v>
      </c>
      <c r="AK6" s="7">
        <f t="shared" si="7"/>
        <v>6214.2254029037249</v>
      </c>
      <c r="AL6" s="7">
        <f t="shared" si="7"/>
        <v>6756.2916746776091</v>
      </c>
      <c r="AM6" s="7">
        <f t="shared" si="7"/>
        <v>7346.7331978892189</v>
      </c>
      <c r="AN6" s="7">
        <f t="shared" si="7"/>
        <v>7989.9868571026454</v>
      </c>
      <c r="AO6" s="7">
        <f t="shared" si="7"/>
        <v>8690.9094217246966</v>
      </c>
      <c r="AP6" s="7">
        <f t="shared" si="7"/>
        <v>9454.8186508125582</v>
      </c>
      <c r="AQ6" s="7">
        <f t="shared" si="7"/>
        <v>10287.538562922284</v>
      </c>
      <c r="AR6" s="7">
        <f t="shared" si="7"/>
        <v>11195.449307147759</v>
      </c>
      <c r="AS6" s="7">
        <f t="shared" si="7"/>
        <v>12185.542118542624</v>
      </c>
      <c r="AT6" s="7">
        <f t="shared" si="7"/>
        <v>13265.479893363745</v>
      </c>
      <c r="AU6" s="7">
        <f t="shared" si="7"/>
        <v>14443.663977611614</v>
      </c>
      <c r="AV6" s="7">
        <f t="shared" si="7"/>
        <v>15729.307826825345</v>
      </c>
      <c r="AW6" s="7">
        <f t="shared" si="7"/>
        <v>17132.518266747662</v>
      </c>
      <c r="AX6" s="7">
        <f t="shared" si="7"/>
        <v>18664.385164122414</v>
      </c>
      <c r="AY6" s="7">
        <f t="shared" si="7"/>
        <v>20337.080405431327</v>
      </c>
    </row>
    <row r="7" spans="2:90 16384:16384" x14ac:dyDescent="0.3">
      <c r="B7" t="s">
        <v>30</v>
      </c>
      <c r="C7" s="2">
        <v>18.616</v>
      </c>
      <c r="D7" s="2">
        <v>20.408000000000001</v>
      </c>
      <c r="E7" s="2">
        <v>22.382000000000001</v>
      </c>
      <c r="F7" s="14">
        <f>87.083-E7-D7-C7</f>
        <v>25.676999999999992</v>
      </c>
      <c r="G7" s="2">
        <v>23.742000000000001</v>
      </c>
      <c r="H7" s="2">
        <v>35.384</v>
      </c>
      <c r="I7" s="2">
        <v>38.72</v>
      </c>
      <c r="J7" s="2">
        <f>147.313-I7-H7-G7</f>
        <v>49.466999999999985</v>
      </c>
      <c r="K7" s="2">
        <v>56.265999999999998</v>
      </c>
      <c r="L7" s="2">
        <v>74.352000000000004</v>
      </c>
      <c r="M7" s="2">
        <v>85.820999999999998</v>
      </c>
      <c r="N7" s="2">
        <f>318.628-M7-L7-K7</f>
        <v>102.18899999999999</v>
      </c>
      <c r="O7" s="2">
        <v>80.921999999999997</v>
      </c>
      <c r="P7">
        <f>P3*0.8</f>
        <v>100.9776</v>
      </c>
      <c r="Q7">
        <f>Q3*0.8</f>
        <v>124.91776</v>
      </c>
      <c r="R7">
        <f>R3*0.8</f>
        <v>156.58368000000007</v>
      </c>
      <c r="U7" s="2">
        <f t="shared" si="1"/>
        <v>87.082999999999998</v>
      </c>
      <c r="V7" s="2">
        <f>SUM(G7:J7)</f>
        <v>147.31299999999999</v>
      </c>
      <c r="W7" s="2">
        <f>SUM(K7:N7)</f>
        <v>318.62799999999999</v>
      </c>
      <c r="X7" s="2">
        <f>SUM(O7:R7)</f>
        <v>463.40104000000008</v>
      </c>
      <c r="Y7" s="2">
        <f>Y3*0.8</f>
        <v>645.58905600000003</v>
      </c>
      <c r="Z7" s="2">
        <f>Z3*0.8</f>
        <v>903.82467839999993</v>
      </c>
      <c r="AA7" s="2">
        <f>AA3*0.79</f>
        <v>1106.7333187007998</v>
      </c>
      <c r="AB7" s="2">
        <f>AB3*0.78</f>
        <v>1276.3016742647806</v>
      </c>
      <c r="AC7" s="2">
        <f>AC3*0.77</f>
        <v>1471.6085561112473</v>
      </c>
      <c r="AD7" s="2">
        <f>AD3*0.76</f>
        <v>1696.5162118036778</v>
      </c>
      <c r="AE7" s="2">
        <f t="shared" ref="AE7:AY7" si="8">AE3*0.76</f>
        <v>1981.5309353866958</v>
      </c>
      <c r="AF7" s="2">
        <f t="shared" si="8"/>
        <v>2140.0534102176316</v>
      </c>
      <c r="AG7" s="2">
        <f t="shared" si="8"/>
        <v>2311.2576830350422</v>
      </c>
      <c r="AH7" s="2">
        <f t="shared" si="8"/>
        <v>2496.1582976778459</v>
      </c>
      <c r="AI7" s="2">
        <f t="shared" si="8"/>
        <v>2695.8509614920736</v>
      </c>
      <c r="AJ7" s="2">
        <f t="shared" si="8"/>
        <v>2911.5190384114399</v>
      </c>
      <c r="AK7" s="2">
        <f t="shared" si="8"/>
        <v>3144.4405614843549</v>
      </c>
      <c r="AL7" s="2">
        <f t="shared" si="8"/>
        <v>3395.9958064031039</v>
      </c>
      <c r="AM7" s="2">
        <f t="shared" si="8"/>
        <v>3667.675470915352</v>
      </c>
      <c r="AN7" s="2">
        <f t="shared" si="8"/>
        <v>3961.0895085885809</v>
      </c>
      <c r="AO7" s="2">
        <f t="shared" si="8"/>
        <v>4277.9766692756675</v>
      </c>
      <c r="AP7" s="2">
        <f t="shared" si="8"/>
        <v>4620.2148028177216</v>
      </c>
      <c r="AQ7" s="2">
        <f t="shared" si="8"/>
        <v>4989.8319870431396</v>
      </c>
      <c r="AR7" s="2">
        <f t="shared" si="8"/>
        <v>5389.0185460065914</v>
      </c>
      <c r="AS7" s="2">
        <f t="shared" si="8"/>
        <v>5820.1400296871188</v>
      </c>
      <c r="AT7" s="2">
        <f t="shared" si="8"/>
        <v>6285.7512320620881</v>
      </c>
      <c r="AU7" s="2">
        <f t="shared" si="8"/>
        <v>6788.6113306270554</v>
      </c>
      <c r="AV7" s="2">
        <f t="shared" si="8"/>
        <v>7331.7002370772207</v>
      </c>
      <c r="AW7" s="2">
        <f t="shared" si="8"/>
        <v>7918.2362560433994</v>
      </c>
      <c r="AX7" s="2">
        <f t="shared" si="8"/>
        <v>8551.6951565268719</v>
      </c>
      <c r="AY7" s="2">
        <f t="shared" si="8"/>
        <v>9235.8307690490219</v>
      </c>
    </row>
    <row r="8" spans="2:90 16384:16384" x14ac:dyDescent="0.3">
      <c r="B8" t="s">
        <v>31</v>
      </c>
      <c r="C8" s="2">
        <v>4.7729999999999997</v>
      </c>
      <c r="D8" s="2">
        <v>4.452</v>
      </c>
      <c r="E8" s="2">
        <v>5.3220000000000001</v>
      </c>
      <c r="F8" s="14">
        <f>20.385-E8-D8-C8</f>
        <v>5.8380000000000027</v>
      </c>
      <c r="G8" s="2">
        <v>5.64</v>
      </c>
      <c r="H8" s="2">
        <v>7.83</v>
      </c>
      <c r="I8" s="2">
        <v>7.6369999999999996</v>
      </c>
      <c r="J8" s="2">
        <f>31.19-I8-H8-G8</f>
        <v>10.083000000000002</v>
      </c>
      <c r="K8" s="2">
        <v>10.628</v>
      </c>
      <c r="L8" s="2">
        <v>13.278</v>
      </c>
      <c r="M8" s="2">
        <v>13.4</v>
      </c>
      <c r="N8" s="2">
        <f>51.416-M8-L8-K8</f>
        <v>14.11</v>
      </c>
      <c r="O8" s="2">
        <v>14.804</v>
      </c>
      <c r="P8">
        <f>P4*0.52</f>
        <v>14.737631999999998</v>
      </c>
      <c r="Q8">
        <f>Q4*0.52</f>
        <v>15.775760000000002</v>
      </c>
      <c r="R8">
        <f>R4*0.52</f>
        <v>17.397536000000006</v>
      </c>
      <c r="U8" s="2">
        <f t="shared" si="1"/>
        <v>20.385000000000005</v>
      </c>
      <c r="V8" s="2">
        <f>SUM(G8:J8)</f>
        <v>31.19</v>
      </c>
      <c r="W8" s="2">
        <f>SUM(K8:N8)</f>
        <v>51.415999999999997</v>
      </c>
      <c r="X8" s="2">
        <f>SUM(O8:R8)</f>
        <v>62.714928</v>
      </c>
      <c r="Y8" s="2">
        <f t="shared" ref="Y8:AF8" si="9">Y4*0.52</f>
        <v>98.593164800000025</v>
      </c>
      <c r="Z8" s="2">
        <f t="shared" si="9"/>
        <v>118.31179776000003</v>
      </c>
      <c r="AA8" s="2">
        <f t="shared" si="9"/>
        <v>138.03043072000003</v>
      </c>
      <c r="AB8" s="2">
        <f t="shared" si="9"/>
        <v>179.43955993600005</v>
      </c>
      <c r="AC8" s="2">
        <f t="shared" si="9"/>
        <v>233.27142791680006</v>
      </c>
      <c r="AD8" s="2">
        <f t="shared" si="9"/>
        <v>303.25285629184009</v>
      </c>
      <c r="AE8" s="2">
        <f t="shared" si="9"/>
        <v>394.22871317939212</v>
      </c>
      <c r="AF8" s="2">
        <f t="shared" si="9"/>
        <v>429.70929736553745</v>
      </c>
      <c r="AG8" s="2">
        <f t="shared" ref="AG8:AX8" si="10">AG4*0.52</f>
        <v>468.38313412843581</v>
      </c>
      <c r="AH8" s="2">
        <f t="shared" si="10"/>
        <v>510.53761619999511</v>
      </c>
      <c r="AI8" s="2">
        <f t="shared" si="10"/>
        <v>556.48600165799473</v>
      </c>
      <c r="AJ8" s="2">
        <f t="shared" si="10"/>
        <v>606.56974180721431</v>
      </c>
      <c r="AK8" s="2">
        <f t="shared" si="10"/>
        <v>661.16101856986359</v>
      </c>
      <c r="AL8" s="2">
        <f t="shared" si="10"/>
        <v>720.66551024115131</v>
      </c>
      <c r="AM8" s="2">
        <f t="shared" si="10"/>
        <v>785.52540616285501</v>
      </c>
      <c r="AN8" s="2">
        <f t="shared" si="10"/>
        <v>856.22269271751202</v>
      </c>
      <c r="AO8" s="2">
        <f t="shared" si="10"/>
        <v>933.28273506208814</v>
      </c>
      <c r="AP8" s="2">
        <f t="shared" si="10"/>
        <v>1017.2781812176762</v>
      </c>
      <c r="AQ8" s="2">
        <f t="shared" si="10"/>
        <v>1108.8332175272672</v>
      </c>
      <c r="AR8" s="2">
        <f t="shared" si="10"/>
        <v>1208.6282071047212</v>
      </c>
      <c r="AS8" s="2">
        <f t="shared" si="10"/>
        <v>1317.4047457441463</v>
      </c>
      <c r="AT8" s="2">
        <f t="shared" si="10"/>
        <v>1435.9711728611196</v>
      </c>
      <c r="AU8" s="2">
        <f t="shared" si="10"/>
        <v>1565.2085784186204</v>
      </c>
      <c r="AV8" s="2">
        <f t="shared" si="10"/>
        <v>1706.0773504762963</v>
      </c>
      <c r="AW8" s="2">
        <f t="shared" si="10"/>
        <v>1859.624312019163</v>
      </c>
      <c r="AX8" s="2">
        <f t="shared" si="10"/>
        <v>2026.9905001008879</v>
      </c>
      <c r="AY8" s="2">
        <f>AY4*0.52</f>
        <v>2209.4196451099674</v>
      </c>
    </row>
    <row r="9" spans="2:90 16384:16384" x14ac:dyDescent="0.3">
      <c r="B9" t="s">
        <v>32</v>
      </c>
      <c r="C9" s="2">
        <v>1.623</v>
      </c>
      <c r="D9" s="2">
        <v>1.069</v>
      </c>
      <c r="E9" s="2">
        <v>1.4079999999999999</v>
      </c>
      <c r="F9" s="14">
        <f>6.073-E9-D9-C9</f>
        <v>1.973000000000001</v>
      </c>
      <c r="G9" s="2">
        <v>1.911</v>
      </c>
      <c r="H9" s="2">
        <v>2.13</v>
      </c>
      <c r="I9" s="2">
        <v>2.621</v>
      </c>
      <c r="J9" s="2">
        <f>8.97-I9-H9-G9</f>
        <v>2.3080000000000003</v>
      </c>
      <c r="K9" s="2">
        <v>2.6320000000000001</v>
      </c>
      <c r="L9" s="2">
        <v>2.5089999999999999</v>
      </c>
      <c r="M9" s="2">
        <v>3.4390000000000001</v>
      </c>
      <c r="N9" s="2">
        <f>12.117-M9-L9-K9</f>
        <v>3.5370000000000004</v>
      </c>
      <c r="O9" s="2">
        <v>3.7690000000000001</v>
      </c>
      <c r="P9">
        <f>P5*0.67</f>
        <v>3.6582000000000003</v>
      </c>
      <c r="Q9">
        <f>Q5*0.67</f>
        <v>4.4802230000000005</v>
      </c>
      <c r="R9">
        <f>R5*0.67</f>
        <v>5.4227789999999967</v>
      </c>
      <c r="U9" s="2">
        <f t="shared" si="1"/>
        <v>6.0730000000000004</v>
      </c>
      <c r="V9" s="2">
        <f>SUM(G9:J9)</f>
        <v>8.9700000000000006</v>
      </c>
      <c r="W9" s="2">
        <f>SUM(K9:N9)</f>
        <v>12.117000000000001</v>
      </c>
      <c r="X9" s="2">
        <f>SUM(O9:R9)</f>
        <v>17.330202</v>
      </c>
      <c r="Y9" s="2">
        <f>Y5*0.64</f>
        <v>22.924697599999995</v>
      </c>
      <c r="Z9" s="2">
        <f>Z5*0.7</f>
        <v>37.610831999999988</v>
      </c>
      <c r="AA9" s="2">
        <f t="shared" ref="AA9:AY9" si="11">AA5*0.7</f>
        <v>56.416247999999975</v>
      </c>
      <c r="AB9" s="2">
        <f t="shared" si="11"/>
        <v>84.624371999999966</v>
      </c>
      <c r="AC9" s="2">
        <f t="shared" si="11"/>
        <v>126.93655799999995</v>
      </c>
      <c r="AD9" s="2">
        <f t="shared" si="11"/>
        <v>190.40483699999996</v>
      </c>
      <c r="AE9" s="2">
        <f t="shared" si="11"/>
        <v>285.60725549999995</v>
      </c>
      <c r="AF9" s="2">
        <f t="shared" si="11"/>
        <v>319.88012615999997</v>
      </c>
      <c r="AG9" s="2">
        <f t="shared" si="11"/>
        <v>358.26574129919999</v>
      </c>
      <c r="AH9" s="2">
        <f t="shared" si="11"/>
        <v>401.257630255104</v>
      </c>
      <c r="AI9" s="2">
        <f t="shared" si="11"/>
        <v>449.40854588571653</v>
      </c>
      <c r="AJ9" s="2">
        <f t="shared" si="11"/>
        <v>503.33757139200259</v>
      </c>
      <c r="AK9" s="2">
        <f t="shared" si="11"/>
        <v>563.73807995904292</v>
      </c>
      <c r="AL9" s="2">
        <f t="shared" si="11"/>
        <v>631.3866495541281</v>
      </c>
      <c r="AM9" s="2">
        <f t="shared" si="11"/>
        <v>707.15304750062353</v>
      </c>
      <c r="AN9" s="2">
        <f t="shared" si="11"/>
        <v>792.01141320069848</v>
      </c>
      <c r="AO9" s="2">
        <f t="shared" si="11"/>
        <v>887.05278278478249</v>
      </c>
      <c r="AP9" s="2">
        <f t="shared" si="11"/>
        <v>993.49911671895643</v>
      </c>
      <c r="AQ9" s="2">
        <f t="shared" si="11"/>
        <v>1112.7190107252313</v>
      </c>
      <c r="AR9" s="2">
        <f t="shared" si="11"/>
        <v>1246.2452920122594</v>
      </c>
      <c r="AS9" s="2">
        <f t="shared" si="11"/>
        <v>1395.7947270537306</v>
      </c>
      <c r="AT9" s="2">
        <f t="shared" si="11"/>
        <v>1563.2900943001785</v>
      </c>
      <c r="AU9" s="2">
        <f t="shared" si="11"/>
        <v>1750.8849056162003</v>
      </c>
      <c r="AV9" s="2">
        <f t="shared" si="11"/>
        <v>1960.9910942901445</v>
      </c>
      <c r="AW9" s="2">
        <f t="shared" si="11"/>
        <v>2196.310025604962</v>
      </c>
      <c r="AX9" s="2">
        <f t="shared" si="11"/>
        <v>2459.8672286775577</v>
      </c>
      <c r="AY9" s="2">
        <f t="shared" si="11"/>
        <v>2755.0512961188647</v>
      </c>
    </row>
    <row r="10" spans="2:90 16384:16384" x14ac:dyDescent="0.3">
      <c r="B10" t="s">
        <v>15</v>
      </c>
      <c r="C10" s="2">
        <f t="shared" ref="C10:R10" si="12">C7+C8+C9</f>
        <v>25.012</v>
      </c>
      <c r="D10" s="2">
        <f t="shared" si="12"/>
        <v>25.928999999999998</v>
      </c>
      <c r="E10" s="2">
        <f t="shared" si="12"/>
        <v>29.112000000000002</v>
      </c>
      <c r="F10" s="14">
        <f t="shared" si="12"/>
        <v>33.487999999999992</v>
      </c>
      <c r="G10" s="2">
        <f t="shared" si="12"/>
        <v>31.293000000000003</v>
      </c>
      <c r="H10" s="2">
        <f t="shared" si="12"/>
        <v>45.344000000000001</v>
      </c>
      <c r="I10" s="2">
        <f t="shared" si="12"/>
        <v>48.978000000000002</v>
      </c>
      <c r="J10" s="2">
        <f t="shared" si="12"/>
        <v>61.857999999999983</v>
      </c>
      <c r="K10" s="2">
        <f t="shared" si="12"/>
        <v>69.52600000000001</v>
      </c>
      <c r="L10" s="2">
        <f t="shared" si="12"/>
        <v>90.13900000000001</v>
      </c>
      <c r="M10" s="2">
        <f t="shared" si="12"/>
        <v>102.66</v>
      </c>
      <c r="N10" s="2">
        <f t="shared" si="12"/>
        <v>119.836</v>
      </c>
      <c r="O10" s="2">
        <f t="shared" si="12"/>
        <v>99.495000000000005</v>
      </c>
      <c r="P10" s="2">
        <f t="shared" si="12"/>
        <v>119.37343199999998</v>
      </c>
      <c r="Q10" s="2">
        <f t="shared" si="12"/>
        <v>145.173743</v>
      </c>
      <c r="R10" s="2">
        <f t="shared" si="12"/>
        <v>179.40399500000007</v>
      </c>
      <c r="U10" s="2">
        <f t="shared" ref="U10:AF10" si="13">U7+U8+U9</f>
        <v>113.541</v>
      </c>
      <c r="V10" s="2">
        <f t="shared" si="13"/>
        <v>187.47299999999998</v>
      </c>
      <c r="W10" s="2">
        <f t="shared" si="13"/>
        <v>382.161</v>
      </c>
      <c r="X10" s="2">
        <f t="shared" si="13"/>
        <v>543.44617000000005</v>
      </c>
      <c r="Y10" s="2">
        <f t="shared" si="13"/>
        <v>767.10691840000004</v>
      </c>
      <c r="Z10" s="2">
        <f t="shared" si="13"/>
        <v>1059.7473081599999</v>
      </c>
      <c r="AA10" s="2">
        <f t="shared" si="13"/>
        <v>1301.1799974207997</v>
      </c>
      <c r="AB10" s="2">
        <f t="shared" si="13"/>
        <v>1540.3656062007806</v>
      </c>
      <c r="AC10" s="2">
        <f t="shared" si="13"/>
        <v>1831.8165420280473</v>
      </c>
      <c r="AD10" s="2">
        <f t="shared" si="13"/>
        <v>2190.173905095518</v>
      </c>
      <c r="AE10" s="2">
        <f t="shared" si="13"/>
        <v>2661.366904066088</v>
      </c>
      <c r="AF10" s="2">
        <f t="shared" si="13"/>
        <v>2889.6428337431694</v>
      </c>
      <c r="AG10" s="2">
        <f t="shared" ref="AG10:AX10" si="14">AG7+AG8+AG9</f>
        <v>3137.9065584626778</v>
      </c>
      <c r="AH10" s="2">
        <f t="shared" si="14"/>
        <v>3407.9535441329454</v>
      </c>
      <c r="AI10" s="2">
        <f t="shared" si="14"/>
        <v>3701.7455090357848</v>
      </c>
      <c r="AJ10" s="2">
        <f t="shared" si="14"/>
        <v>4021.4263516106571</v>
      </c>
      <c r="AK10" s="2">
        <f t="shared" si="14"/>
        <v>4369.3396600132619</v>
      </c>
      <c r="AL10" s="2">
        <f t="shared" si="14"/>
        <v>4748.0479661983827</v>
      </c>
      <c r="AM10" s="2">
        <f t="shared" si="14"/>
        <v>5160.3539245788306</v>
      </c>
      <c r="AN10" s="2">
        <f t="shared" si="14"/>
        <v>5609.3236145067913</v>
      </c>
      <c r="AO10" s="2">
        <f t="shared" si="14"/>
        <v>6098.3121871225385</v>
      </c>
      <c r="AP10" s="2">
        <f t="shared" si="14"/>
        <v>6630.9921007543544</v>
      </c>
      <c r="AQ10" s="2">
        <f t="shared" si="14"/>
        <v>7211.3842152956386</v>
      </c>
      <c r="AR10" s="2">
        <f t="shared" si="14"/>
        <v>7843.8920451235717</v>
      </c>
      <c r="AS10" s="2">
        <f t="shared" si="14"/>
        <v>8533.339502484996</v>
      </c>
      <c r="AT10" s="2">
        <f t="shared" si="14"/>
        <v>9285.0124992233868</v>
      </c>
      <c r="AU10" s="2">
        <f t="shared" si="14"/>
        <v>10104.704814661876</v>
      </c>
      <c r="AV10" s="2">
        <f t="shared" si="14"/>
        <v>10998.768681843661</v>
      </c>
      <c r="AW10" s="2">
        <f t="shared" si="14"/>
        <v>11974.170593667524</v>
      </c>
      <c r="AX10" s="2">
        <f t="shared" si="14"/>
        <v>13038.552885305318</v>
      </c>
      <c r="AY10" s="2">
        <f>AY7+AY8+AY9</f>
        <v>14200.301710277854</v>
      </c>
      <c r="XFD10" s="2"/>
    </row>
    <row r="11" spans="2:90 16384:16384" x14ac:dyDescent="0.3">
      <c r="B11" t="s">
        <v>16</v>
      </c>
      <c r="C11" s="2">
        <f t="shared" ref="C11:R11" si="15">C6-C10</f>
        <v>7.7640000000000029</v>
      </c>
      <c r="D11" s="2">
        <f t="shared" si="15"/>
        <v>9.0280000000000022</v>
      </c>
      <c r="E11" s="2">
        <f t="shared" si="15"/>
        <v>7.2530000000000001</v>
      </c>
      <c r="F11" s="14">
        <f t="shared" si="15"/>
        <v>8.9040000000000177</v>
      </c>
      <c r="G11" s="2">
        <f t="shared" si="15"/>
        <v>9.2170000000000023</v>
      </c>
      <c r="H11" s="2">
        <f t="shared" si="15"/>
        <v>10.777000000000001</v>
      </c>
      <c r="I11" s="2">
        <f t="shared" si="15"/>
        <v>16.056000000000004</v>
      </c>
      <c r="J11" s="2">
        <f t="shared" si="15"/>
        <v>17.483000000000025</v>
      </c>
      <c r="K11" s="2">
        <f t="shared" si="15"/>
        <v>12.106999999999999</v>
      </c>
      <c r="L11" s="2">
        <f t="shared" si="15"/>
        <v>18.152999999999992</v>
      </c>
      <c r="M11" s="2">
        <f t="shared" si="15"/>
        <v>22.680999999999997</v>
      </c>
      <c r="N11" s="2">
        <f t="shared" si="15"/>
        <v>32.992000000000033</v>
      </c>
      <c r="O11" s="2">
        <f t="shared" si="15"/>
        <v>30.534999999999997</v>
      </c>
      <c r="P11" s="2">
        <f t="shared" si="15"/>
        <v>40.650168000000008</v>
      </c>
      <c r="Q11" s="2">
        <f t="shared" si="15"/>
        <v>47.998356999999999</v>
      </c>
      <c r="R11" s="2">
        <f t="shared" si="15"/>
        <v>57.876104999999995</v>
      </c>
      <c r="U11" s="2">
        <f t="shared" ref="U11:AE11" si="16">U6-U10</f>
        <v>32.949000000000012</v>
      </c>
      <c r="V11" s="2">
        <f t="shared" si="16"/>
        <v>53.533000000000044</v>
      </c>
      <c r="W11" s="2">
        <f t="shared" si="16"/>
        <v>85.932999999999993</v>
      </c>
      <c r="X11" s="2">
        <f t="shared" si="16"/>
        <v>177.05962999999997</v>
      </c>
      <c r="Y11" s="2">
        <f t="shared" si="16"/>
        <v>265.30148159999999</v>
      </c>
      <c r="Z11" s="2">
        <f t="shared" si="16"/>
        <v>351.28598783999996</v>
      </c>
      <c r="AA11" s="2">
        <f t="shared" si="16"/>
        <v>445.78603009920016</v>
      </c>
      <c r="AB11" s="2">
        <f t="shared" si="16"/>
        <v>561.886628374579</v>
      </c>
      <c r="AC11" s="2">
        <f t="shared" si="16"/>
        <v>709.30024081357283</v>
      </c>
      <c r="AD11" s="2">
        <f t="shared" si="16"/>
        <v>897.26974812237449</v>
      </c>
      <c r="AE11" s="2">
        <f t="shared" si="16"/>
        <v>1112.0531482249544</v>
      </c>
      <c r="AF11" s="2">
        <f t="shared" ref="AF11:AY11" si="17">AF6-AF10</f>
        <v>1209.5525587384523</v>
      </c>
      <c r="AG11" s="2">
        <f t="shared" si="17"/>
        <v>1315.7669701034265</v>
      </c>
      <c r="AH11" s="2">
        <f t="shared" si="17"/>
        <v>1431.4935627566956</v>
      </c>
      <c r="AI11" s="2">
        <f t="shared" si="17"/>
        <v>1557.6044049289462</v>
      </c>
      <c r="AJ11" s="2">
        <f t="shared" si="17"/>
        <v>1695.0536976856179</v>
      </c>
      <c r="AK11" s="2">
        <f t="shared" si="17"/>
        <v>1844.885742890463</v>
      </c>
      <c r="AL11" s="2">
        <f t="shared" si="17"/>
        <v>2008.2437084792264</v>
      </c>
      <c r="AM11" s="2">
        <f t="shared" si="17"/>
        <v>2186.3792733103883</v>
      </c>
      <c r="AN11" s="2">
        <f t="shared" si="17"/>
        <v>2380.6632425958542</v>
      </c>
      <c r="AO11" s="2">
        <f t="shared" si="17"/>
        <v>2592.5972346021581</v>
      </c>
      <c r="AP11" s="2">
        <f t="shared" si="17"/>
        <v>2823.8265500582038</v>
      </c>
      <c r="AQ11" s="2">
        <f t="shared" si="17"/>
        <v>3076.1543476266452</v>
      </c>
      <c r="AR11" s="2">
        <f t="shared" si="17"/>
        <v>3351.5572620241874</v>
      </c>
      <c r="AS11" s="2">
        <f t="shared" si="17"/>
        <v>3652.2026160576279</v>
      </c>
      <c r="AT11" s="2">
        <f t="shared" si="17"/>
        <v>3980.467394140358</v>
      </c>
      <c r="AU11" s="2">
        <f t="shared" si="17"/>
        <v>4338.9591629497372</v>
      </c>
      <c r="AV11" s="2">
        <f t="shared" si="17"/>
        <v>4730.5391449816834</v>
      </c>
      <c r="AW11" s="2">
        <f t="shared" si="17"/>
        <v>5158.3476730801376</v>
      </c>
      <c r="AX11" s="2">
        <f t="shared" si="17"/>
        <v>5625.8322788170954</v>
      </c>
      <c r="AY11" s="2">
        <f t="shared" si="17"/>
        <v>6136.7786951534727</v>
      </c>
    </row>
    <row r="12" spans="2:90 16384:16384" x14ac:dyDescent="0.3">
      <c r="B12" t="s">
        <v>17</v>
      </c>
      <c r="C12" s="2">
        <v>18.026</v>
      </c>
      <c r="D12" s="2">
        <v>17.126000000000001</v>
      </c>
      <c r="E12" s="2">
        <v>18.919</v>
      </c>
      <c r="F12" s="14">
        <f>75.017-E12-D12-C12</f>
        <v>20.945999999999994</v>
      </c>
      <c r="G12" s="2">
        <v>25.274000000000001</v>
      </c>
      <c r="H12" s="2">
        <v>40.409999999999997</v>
      </c>
      <c r="I12" s="2">
        <v>36.750999999999998</v>
      </c>
      <c r="J12" s="2">
        <f>145.043-I12-H12-G12</f>
        <v>42.608000000000004</v>
      </c>
      <c r="K12" s="2">
        <v>48.302</v>
      </c>
      <c r="L12" s="2">
        <v>51.804000000000002</v>
      </c>
      <c r="M12" s="2">
        <v>48.131999999999998</v>
      </c>
      <c r="N12" s="2">
        <f>194.957-M12-L12-K12</f>
        <v>46.718999999999987</v>
      </c>
      <c r="O12" s="2">
        <v>49.396000000000001</v>
      </c>
      <c r="P12" s="2">
        <v>50</v>
      </c>
      <c r="Q12" s="2">
        <v>51</v>
      </c>
      <c r="R12" s="2">
        <v>52</v>
      </c>
      <c r="U12" s="2">
        <f t="shared" ref="U12:U14" si="18">SUM(C12:F12)</f>
        <v>75.016999999999996</v>
      </c>
      <c r="V12" s="2">
        <f>SUM(G12:J12)</f>
        <v>145.04300000000001</v>
      </c>
      <c r="W12" s="2">
        <f>SUM(K12:N12)</f>
        <v>194.95699999999999</v>
      </c>
      <c r="X12" s="2">
        <f>SUM(O12:R12)</f>
        <v>202.39600000000002</v>
      </c>
      <c r="Y12" s="2">
        <f>X12*1</f>
        <v>202.39600000000002</v>
      </c>
      <c r="Z12" s="2">
        <f t="shared" ref="Z12:AB12" si="19">Y12*1</f>
        <v>202.39600000000002</v>
      </c>
      <c r="AA12" s="2">
        <f t="shared" si="19"/>
        <v>202.39600000000002</v>
      </c>
      <c r="AB12" s="2">
        <f t="shared" si="19"/>
        <v>202.39600000000002</v>
      </c>
      <c r="AC12" s="2">
        <f t="shared" ref="AC12:AE12" si="20">AB12*1.04</f>
        <v>210.49184000000002</v>
      </c>
      <c r="AD12" s="2">
        <f t="shared" si="20"/>
        <v>218.91151360000003</v>
      </c>
      <c r="AE12" s="2">
        <f t="shared" si="20"/>
        <v>227.66797414400006</v>
      </c>
      <c r="AF12" s="2">
        <f t="shared" ref="AF12:AY12" si="21">AE12*1.04</f>
        <v>236.77469310976008</v>
      </c>
      <c r="AG12" s="2">
        <f t="shared" si="21"/>
        <v>246.24568083415048</v>
      </c>
      <c r="AH12" s="2">
        <f t="shared" si="21"/>
        <v>256.0955080675165</v>
      </c>
      <c r="AI12" s="2">
        <f t="shared" si="21"/>
        <v>266.33932839021719</v>
      </c>
      <c r="AJ12" s="2">
        <f t="shared" si="21"/>
        <v>276.99290152582591</v>
      </c>
      <c r="AK12" s="2">
        <f t="shared" si="21"/>
        <v>288.07261758685894</v>
      </c>
      <c r="AL12" s="2">
        <f t="shared" si="21"/>
        <v>299.59552229033329</v>
      </c>
      <c r="AM12" s="2">
        <f t="shared" si="21"/>
        <v>311.57934318194663</v>
      </c>
      <c r="AN12" s="2">
        <f t="shared" si="21"/>
        <v>324.0425169092245</v>
      </c>
      <c r="AO12" s="2">
        <f t="shared" si="21"/>
        <v>337.00421758559349</v>
      </c>
      <c r="AP12" s="2">
        <f t="shared" si="21"/>
        <v>350.48438628901727</v>
      </c>
      <c r="AQ12" s="2">
        <f t="shared" si="21"/>
        <v>364.50376174057794</v>
      </c>
      <c r="AR12" s="2">
        <f t="shared" si="21"/>
        <v>379.08391221020105</v>
      </c>
      <c r="AS12" s="2">
        <f t="shared" si="21"/>
        <v>394.2472686986091</v>
      </c>
      <c r="AT12" s="2">
        <f t="shared" si="21"/>
        <v>410.01715944655348</v>
      </c>
      <c r="AU12" s="2">
        <f t="shared" si="21"/>
        <v>426.41784582441562</v>
      </c>
      <c r="AV12" s="2">
        <f t="shared" si="21"/>
        <v>443.47455965739226</v>
      </c>
      <c r="AW12" s="2">
        <f t="shared" si="21"/>
        <v>461.21354204368799</v>
      </c>
      <c r="AX12" s="2">
        <f t="shared" si="21"/>
        <v>479.66208372543554</v>
      </c>
      <c r="AY12" s="2">
        <f t="shared" si="21"/>
        <v>498.848567074453</v>
      </c>
    </row>
    <row r="13" spans="2:90 16384:16384" x14ac:dyDescent="0.3">
      <c r="B13" t="s">
        <v>18</v>
      </c>
      <c r="C13" s="2">
        <v>14.201000000000001</v>
      </c>
      <c r="D13" s="2">
        <v>10.965999999999999</v>
      </c>
      <c r="E13" s="2">
        <v>12.134</v>
      </c>
      <c r="F13" s="14">
        <f>53.002-E13-C13-D13</f>
        <v>15.701000000000002</v>
      </c>
      <c r="G13" s="2">
        <v>15.974</v>
      </c>
      <c r="H13" s="2">
        <v>21.922999999999998</v>
      </c>
      <c r="I13" s="2">
        <v>24.361000000000001</v>
      </c>
      <c r="J13" s="2">
        <f>92.55-I13-G13-H13</f>
        <v>30.291999999999991</v>
      </c>
      <c r="K13" s="2">
        <v>32.588000000000001</v>
      </c>
      <c r="L13" s="2">
        <v>33.872999999999998</v>
      </c>
      <c r="M13" s="2">
        <v>35.381999999999998</v>
      </c>
      <c r="N13" s="2">
        <f>142.392-M13-K13-L13</f>
        <v>40.548999999999999</v>
      </c>
      <c r="O13" s="2">
        <v>37.040999999999997</v>
      </c>
      <c r="P13" s="2">
        <v>40</v>
      </c>
      <c r="Q13" s="2">
        <v>40</v>
      </c>
      <c r="R13" s="2">
        <v>40</v>
      </c>
      <c r="U13" s="2">
        <f t="shared" si="18"/>
        <v>53.002000000000002</v>
      </c>
      <c r="V13" s="2">
        <f>SUM(G13:J13)</f>
        <v>92.549999999999983</v>
      </c>
      <c r="W13" s="2">
        <f>SUM(K13:N13)</f>
        <v>142.392</v>
      </c>
      <c r="X13" s="2">
        <f>SUM(O13:R13)</f>
        <v>157.041</v>
      </c>
      <c r="Y13" s="2">
        <f>X13*1.02</f>
        <v>160.18181999999999</v>
      </c>
      <c r="Z13" s="2">
        <f t="shared" ref="Z13:AD13" si="22">Y13*1.02</f>
        <v>163.38545639999998</v>
      </c>
      <c r="AA13" s="2">
        <f t="shared" si="22"/>
        <v>166.65316552799999</v>
      </c>
      <c r="AB13" s="2">
        <f t="shared" si="22"/>
        <v>169.98622883855998</v>
      </c>
      <c r="AC13" s="2">
        <f t="shared" si="22"/>
        <v>173.38595341533119</v>
      </c>
      <c r="AD13" s="2">
        <f t="shared" si="22"/>
        <v>176.85367248363781</v>
      </c>
      <c r="AE13" s="2">
        <f t="shared" ref="AE13" si="23">AD13*1.05</f>
        <v>185.6963561078197</v>
      </c>
      <c r="AF13" s="2">
        <f t="shared" ref="AF13:AY13" si="24">AE13*1.05</f>
        <v>194.98117391321068</v>
      </c>
      <c r="AG13" s="2">
        <f t="shared" si="24"/>
        <v>204.73023260887123</v>
      </c>
      <c r="AH13" s="2">
        <f t="shared" si="24"/>
        <v>214.96674423931481</v>
      </c>
      <c r="AI13" s="2">
        <f t="shared" si="24"/>
        <v>225.71508145128055</v>
      </c>
      <c r="AJ13" s="2">
        <f t="shared" si="24"/>
        <v>237.00083552384459</v>
      </c>
      <c r="AK13" s="2">
        <f t="shared" si="24"/>
        <v>248.85087730003681</v>
      </c>
      <c r="AL13" s="2">
        <f t="shared" si="24"/>
        <v>261.29342116503864</v>
      </c>
      <c r="AM13" s="2">
        <f t="shared" si="24"/>
        <v>274.35809222329056</v>
      </c>
      <c r="AN13" s="2">
        <f t="shared" si="24"/>
        <v>288.07599683445511</v>
      </c>
      <c r="AO13" s="2">
        <f t="shared" si="24"/>
        <v>302.4797966761779</v>
      </c>
      <c r="AP13" s="2">
        <f t="shared" si="24"/>
        <v>317.60378650998683</v>
      </c>
      <c r="AQ13" s="2">
        <f t="shared" si="24"/>
        <v>333.48397583548621</v>
      </c>
      <c r="AR13" s="2">
        <f t="shared" si="24"/>
        <v>350.15817462726051</v>
      </c>
      <c r="AS13" s="2">
        <f t="shared" si="24"/>
        <v>367.66608335862355</v>
      </c>
      <c r="AT13" s="2">
        <f t="shared" si="24"/>
        <v>386.04938752655477</v>
      </c>
      <c r="AU13" s="2">
        <f t="shared" si="24"/>
        <v>405.3518569028825</v>
      </c>
      <c r="AV13" s="2">
        <f t="shared" si="24"/>
        <v>425.61944974802663</v>
      </c>
      <c r="AW13" s="2">
        <f t="shared" si="24"/>
        <v>446.90042223542798</v>
      </c>
      <c r="AX13" s="2">
        <f t="shared" si="24"/>
        <v>469.2454433471994</v>
      </c>
      <c r="AY13" s="2">
        <f t="shared" si="24"/>
        <v>492.70771551455937</v>
      </c>
    </row>
    <row r="14" spans="2:90 16384:16384" x14ac:dyDescent="0.3">
      <c r="B14" t="s">
        <v>19</v>
      </c>
      <c r="C14" s="2">
        <v>5.0890000000000004</v>
      </c>
      <c r="D14" s="2">
        <v>4.4660000000000002</v>
      </c>
      <c r="E14" s="2">
        <v>8.7899999999999991</v>
      </c>
      <c r="F14" s="14">
        <f>25.922-E14-D14-C14</f>
        <v>7.577</v>
      </c>
      <c r="G14" s="2">
        <v>14.467000000000001</v>
      </c>
      <c r="H14" s="2">
        <v>22.731999999999999</v>
      </c>
      <c r="I14" s="2">
        <v>20.268000000000001</v>
      </c>
      <c r="J14" s="2">
        <f>81.38-I14-H14-G14</f>
        <v>23.912999999999997</v>
      </c>
      <c r="K14" s="2">
        <v>21.047000000000001</v>
      </c>
      <c r="L14" s="2">
        <v>22.846</v>
      </c>
      <c r="M14" s="2">
        <v>22.445</v>
      </c>
      <c r="N14" s="2">
        <f>90.366-M14-L14-K14</f>
        <v>24.027999999999988</v>
      </c>
      <c r="O14" s="2">
        <v>24.02</v>
      </c>
      <c r="P14" s="2">
        <v>23</v>
      </c>
      <c r="Q14" s="2">
        <v>25</v>
      </c>
      <c r="R14" s="2">
        <v>27</v>
      </c>
      <c r="U14" s="2">
        <f t="shared" si="18"/>
        <v>25.921999999999997</v>
      </c>
      <c r="V14" s="2">
        <f>SUM(G14:J14)</f>
        <v>81.38</v>
      </c>
      <c r="W14" s="2">
        <f>SUM(K14:N14)</f>
        <v>90.365999999999985</v>
      </c>
      <c r="X14" s="2">
        <f>SUM(O14:R14)</f>
        <v>99.02</v>
      </c>
      <c r="Y14" s="2">
        <f>X14*1.07</f>
        <v>105.95140000000001</v>
      </c>
      <c r="Z14" s="2">
        <f t="shared" ref="Z14:AC14" si="25">Y14*1.07</f>
        <v>113.36799800000001</v>
      </c>
      <c r="AA14" s="2">
        <f t="shared" si="25"/>
        <v>121.30375786000002</v>
      </c>
      <c r="AB14" s="2">
        <f t="shared" si="25"/>
        <v>129.79502091020004</v>
      </c>
      <c r="AC14" s="2">
        <f t="shared" si="25"/>
        <v>138.88067237391405</v>
      </c>
      <c r="AD14" s="2">
        <f t="shared" ref="AD14:AE14" si="26">AC14*1.14</f>
        <v>158.323966506262</v>
      </c>
      <c r="AE14" s="2">
        <f t="shared" si="26"/>
        <v>180.48932181713866</v>
      </c>
      <c r="AF14" s="2">
        <f t="shared" ref="AF14:AY14" si="27">AE14*1.14</f>
        <v>205.75782687153804</v>
      </c>
      <c r="AG14" s="2">
        <f t="shared" si="27"/>
        <v>234.56392263355335</v>
      </c>
      <c r="AH14" s="2">
        <f t="shared" si="27"/>
        <v>267.40287180225079</v>
      </c>
      <c r="AI14" s="2">
        <f t="shared" si="27"/>
        <v>304.83927385456587</v>
      </c>
      <c r="AJ14" s="2">
        <f t="shared" si="27"/>
        <v>347.51677219420509</v>
      </c>
      <c r="AK14" s="2">
        <f t="shared" si="27"/>
        <v>396.16912030139378</v>
      </c>
      <c r="AL14" s="2">
        <f t="shared" si="27"/>
        <v>451.63279714358885</v>
      </c>
      <c r="AM14" s="2">
        <f t="shared" si="27"/>
        <v>514.86138874369124</v>
      </c>
      <c r="AN14" s="2">
        <f t="shared" si="27"/>
        <v>586.94198316780796</v>
      </c>
      <c r="AO14" s="2">
        <f t="shared" si="27"/>
        <v>669.11386081130104</v>
      </c>
      <c r="AP14" s="2">
        <f t="shared" si="27"/>
        <v>762.78980132488311</v>
      </c>
      <c r="AQ14" s="2">
        <f t="shared" si="27"/>
        <v>869.58037351036671</v>
      </c>
      <c r="AR14" s="2">
        <f t="shared" si="27"/>
        <v>991.32162580181796</v>
      </c>
      <c r="AS14" s="2">
        <f t="shared" si="27"/>
        <v>1130.1066534140723</v>
      </c>
      <c r="AT14" s="2">
        <f t="shared" si="27"/>
        <v>1288.3215848920422</v>
      </c>
      <c r="AU14" s="2">
        <f t="shared" si="27"/>
        <v>1468.6866067769281</v>
      </c>
      <c r="AV14" s="2">
        <f t="shared" si="27"/>
        <v>1674.3027317256979</v>
      </c>
      <c r="AW14" s="2">
        <f t="shared" si="27"/>
        <v>1908.7051141672955</v>
      </c>
      <c r="AX14" s="2">
        <f t="shared" si="27"/>
        <v>2175.9238301507166</v>
      </c>
      <c r="AY14" s="2">
        <f t="shared" si="27"/>
        <v>2480.5531663718166</v>
      </c>
    </row>
    <row r="15" spans="2:90 16384:16384" x14ac:dyDescent="0.3">
      <c r="B15" t="s">
        <v>20</v>
      </c>
      <c r="C15" s="2">
        <f t="shared" ref="C15:R15" si="28">C11-C13-C12-C14</f>
        <v>-29.552</v>
      </c>
      <c r="D15" s="2">
        <f t="shared" si="28"/>
        <v>-23.53</v>
      </c>
      <c r="E15" s="2">
        <f t="shared" si="28"/>
        <v>-32.590000000000003</v>
      </c>
      <c r="F15" s="14">
        <f t="shared" si="28"/>
        <v>-35.319999999999979</v>
      </c>
      <c r="G15" s="2">
        <f t="shared" si="28"/>
        <v>-46.497999999999998</v>
      </c>
      <c r="H15" s="2">
        <f t="shared" si="28"/>
        <v>-74.287999999999997</v>
      </c>
      <c r="I15" s="2">
        <f t="shared" si="28"/>
        <v>-65.323999999999998</v>
      </c>
      <c r="J15" s="2">
        <f t="shared" si="28"/>
        <v>-79.32999999999997</v>
      </c>
      <c r="K15" s="2">
        <f t="shared" si="28"/>
        <v>-89.83</v>
      </c>
      <c r="L15" s="2">
        <f t="shared" si="28"/>
        <v>-90.37</v>
      </c>
      <c r="M15" s="2">
        <f t="shared" si="28"/>
        <v>-83.277999999999992</v>
      </c>
      <c r="N15" s="2">
        <f t="shared" si="28"/>
        <v>-78.303999999999945</v>
      </c>
      <c r="O15" s="2">
        <f t="shared" si="28"/>
        <v>-79.921999999999997</v>
      </c>
      <c r="P15" s="2">
        <f t="shared" si="28"/>
        <v>-72.349831999999992</v>
      </c>
      <c r="Q15" s="2">
        <f t="shared" si="28"/>
        <v>-68.001643000000001</v>
      </c>
      <c r="R15" s="2">
        <f t="shared" si="28"/>
        <v>-61.123895000000005</v>
      </c>
      <c r="U15" s="2">
        <f t="shared" ref="U15:AE15" si="29">U11-U13-U12-U14</f>
        <v>-120.99199999999999</v>
      </c>
      <c r="V15" s="2">
        <f t="shared" si="29"/>
        <v>-265.43999999999994</v>
      </c>
      <c r="W15" s="2">
        <f t="shared" si="29"/>
        <v>-341.78199999999998</v>
      </c>
      <c r="X15" s="2">
        <f t="shared" si="29"/>
        <v>-281.39737000000002</v>
      </c>
      <c r="Y15" s="2">
        <f t="shared" si="29"/>
        <v>-203.22773840000002</v>
      </c>
      <c r="Z15" s="2">
        <f t="shared" si="29"/>
        <v>-127.86346656000005</v>
      </c>
      <c r="AA15" s="2">
        <f t="shared" si="29"/>
        <v>-44.566893288799861</v>
      </c>
      <c r="AB15" s="2">
        <f t="shared" si="29"/>
        <v>59.709378625818943</v>
      </c>
      <c r="AC15" s="2">
        <f t="shared" si="29"/>
        <v>186.54177502432756</v>
      </c>
      <c r="AD15" s="2">
        <f t="shared" si="29"/>
        <v>343.18059553247463</v>
      </c>
      <c r="AE15" s="2">
        <f t="shared" si="29"/>
        <v>518.19949615599603</v>
      </c>
      <c r="AF15" s="2">
        <f t="shared" ref="AF15:AY15" si="30">AF11-AF13-AF12-AF14</f>
        <v>572.03886484394343</v>
      </c>
      <c r="AG15" s="2">
        <f t="shared" si="30"/>
        <v>630.22713402685156</v>
      </c>
      <c r="AH15" s="2">
        <f t="shared" si="30"/>
        <v>693.02843864761371</v>
      </c>
      <c r="AI15" s="2">
        <f t="shared" si="30"/>
        <v>760.71072123288263</v>
      </c>
      <c r="AJ15" s="2">
        <f t="shared" si="30"/>
        <v>833.54318844174236</v>
      </c>
      <c r="AK15" s="2">
        <f t="shared" si="30"/>
        <v>911.79312770217348</v>
      </c>
      <c r="AL15" s="2">
        <f t="shared" si="30"/>
        <v>995.72196788026565</v>
      </c>
      <c r="AM15" s="2">
        <f t="shared" si="30"/>
        <v>1085.5804491614599</v>
      </c>
      <c r="AN15" s="2">
        <f t="shared" si="30"/>
        <v>1181.6027456843667</v>
      </c>
      <c r="AO15" s="2">
        <f t="shared" si="30"/>
        <v>1283.9993595290855</v>
      </c>
      <c r="AP15" s="2">
        <f t="shared" si="30"/>
        <v>1392.9485759343161</v>
      </c>
      <c r="AQ15" s="2">
        <f t="shared" si="30"/>
        <v>1508.5862365402145</v>
      </c>
      <c r="AR15" s="2">
        <f t="shared" si="30"/>
        <v>1630.993549384908</v>
      </c>
      <c r="AS15" s="2">
        <f t="shared" si="30"/>
        <v>1760.1826105863233</v>
      </c>
      <c r="AT15" s="2">
        <f t="shared" si="30"/>
        <v>1896.0792622752074</v>
      </c>
      <c r="AU15" s="2">
        <f t="shared" si="30"/>
        <v>2038.5028534455112</v>
      </c>
      <c r="AV15" s="2">
        <f t="shared" si="30"/>
        <v>2187.142403850567</v>
      </c>
      <c r="AW15" s="2">
        <f t="shared" si="30"/>
        <v>2341.5285946337262</v>
      </c>
      <c r="AX15" s="2">
        <f t="shared" si="30"/>
        <v>2501.0009215937434</v>
      </c>
      <c r="AY15" s="2">
        <f t="shared" si="30"/>
        <v>2664.6692461926432</v>
      </c>
      <c r="XFD15" s="2"/>
    </row>
    <row r="16" spans="2:90 16384:16384" x14ac:dyDescent="0.3">
      <c r="B16" t="s">
        <v>21</v>
      </c>
      <c r="C16" s="2">
        <f>0.243-0.835</f>
        <v>-0.59199999999999997</v>
      </c>
      <c r="D16" s="2">
        <f>0.037-0.793</f>
        <v>-0.75600000000000001</v>
      </c>
      <c r="E16" s="2">
        <f>-0.815+0.018</f>
        <v>-0.79699999999999993</v>
      </c>
      <c r="F16" s="14">
        <f>0.315-3.253-E16-D16-C16</f>
        <v>-0.79300000000000004</v>
      </c>
      <c r="G16" s="2">
        <f>0.022-1.499</f>
        <v>-1.4770000000000001</v>
      </c>
      <c r="H16" s="2">
        <f>0.025</f>
        <v>2.5000000000000001E-2</v>
      </c>
      <c r="I16" s="2">
        <f>0.025-0.003</f>
        <v>2.2000000000000002E-2</v>
      </c>
      <c r="J16" s="2">
        <f>0.098-1.502-I16-H16-G16</f>
        <v>2.6000000000000245E-2</v>
      </c>
      <c r="K16" s="2">
        <f>0.106-0.933</f>
        <v>-0.82700000000000007</v>
      </c>
      <c r="L16" s="2">
        <f>1.46-2.928</f>
        <v>-1.468</v>
      </c>
      <c r="M16" s="2">
        <f>1.905-2.606</f>
        <v>-0.70099999999999985</v>
      </c>
      <c r="N16" s="2">
        <f>5.534-9.434-M16-L16-K16</f>
        <v>-0.9039999999999998</v>
      </c>
      <c r="O16" s="2">
        <f>2.46-2.926</f>
        <v>-0.46600000000000019</v>
      </c>
      <c r="P16" s="2">
        <v>-1</v>
      </c>
      <c r="Q16" s="2">
        <v>-1</v>
      </c>
      <c r="R16" s="2">
        <v>-1</v>
      </c>
      <c r="U16" s="2">
        <f t="shared" ref="U16:U17" si="31">SUM(C16:F16)</f>
        <v>-2.9379999999999997</v>
      </c>
      <c r="V16" s="2">
        <f>SUM(G16:J16)</f>
        <v>-1.4039999999999999</v>
      </c>
      <c r="W16" s="2">
        <f>SUM(K16:N16)</f>
        <v>-3.8999999999999995</v>
      </c>
      <c r="X16" s="2">
        <f>SUM(O16:R16)</f>
        <v>-3.4660000000000002</v>
      </c>
      <c r="Y16">
        <v>0</v>
      </c>
      <c r="Z16">
        <v>0</v>
      </c>
      <c r="AA16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</row>
    <row r="17" spans="2:90" x14ac:dyDescent="0.3">
      <c r="B17" t="s">
        <v>27</v>
      </c>
      <c r="C17" s="2">
        <v>-0.432</v>
      </c>
      <c r="D17" s="2">
        <v>0.56299999999999994</v>
      </c>
      <c r="E17" s="2">
        <v>-8.5000000000000006E-2</v>
      </c>
      <c r="F17" s="14">
        <f>0.229-E17-D17-C17</f>
        <v>0.18300000000000005</v>
      </c>
      <c r="G17" s="2">
        <v>1.4999999999999999E-2</v>
      </c>
      <c r="H17" s="2">
        <v>-0.189</v>
      </c>
      <c r="I17" s="2">
        <v>-2.0249999999999999</v>
      </c>
      <c r="J17" s="2">
        <f>-2.775-I17-H17-G17</f>
        <v>-0.57599999999999996</v>
      </c>
      <c r="K17" s="2">
        <v>-0.44700000000000001</v>
      </c>
      <c r="L17" s="2">
        <v>-1.254</v>
      </c>
      <c r="M17" s="2">
        <v>-0.94299999999999995</v>
      </c>
      <c r="N17" s="2">
        <f>-1.569-M17-L17-K17</f>
        <v>1.075</v>
      </c>
      <c r="O17" s="2">
        <v>0.57299999999999995</v>
      </c>
      <c r="P17" s="2">
        <v>-1</v>
      </c>
      <c r="Q17" s="2">
        <v>-0.5</v>
      </c>
      <c r="R17" s="2">
        <v>-0.5</v>
      </c>
      <c r="U17" s="2">
        <f t="shared" si="31"/>
        <v>0.22899999999999998</v>
      </c>
      <c r="V17" s="2">
        <f>SUM(G17:J17)</f>
        <v>-2.7749999999999999</v>
      </c>
      <c r="W17" s="2">
        <f>SUM(K17:N17)</f>
        <v>-1.5690000000000002</v>
      </c>
      <c r="X17" s="2">
        <f>SUM(O17:R17)</f>
        <v>-1.427</v>
      </c>
      <c r="Y17">
        <v>0</v>
      </c>
      <c r="Z17">
        <v>0</v>
      </c>
      <c r="AA17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2:90" x14ac:dyDescent="0.3">
      <c r="B18" t="s">
        <v>22</v>
      </c>
      <c r="C18" s="2">
        <f t="shared" ref="C18:R18" si="32">C15+C16+C17</f>
        <v>-30.575999999999997</v>
      </c>
      <c r="D18" s="2">
        <f t="shared" si="32"/>
        <v>-23.723000000000003</v>
      </c>
      <c r="E18" s="2">
        <f t="shared" si="32"/>
        <v>-33.472000000000001</v>
      </c>
      <c r="F18" s="14">
        <f t="shared" si="32"/>
        <v>-35.929999999999978</v>
      </c>
      <c r="G18" s="2">
        <f t="shared" si="32"/>
        <v>-47.959999999999994</v>
      </c>
      <c r="H18" s="2">
        <f t="shared" si="32"/>
        <v>-74.451999999999984</v>
      </c>
      <c r="I18" s="2">
        <f t="shared" si="32"/>
        <v>-67.326999999999998</v>
      </c>
      <c r="J18" s="2">
        <f t="shared" si="32"/>
        <v>-79.879999999999967</v>
      </c>
      <c r="K18" s="2">
        <f t="shared" si="32"/>
        <v>-91.103999999999999</v>
      </c>
      <c r="L18" s="2">
        <f t="shared" si="32"/>
        <v>-93.092000000000013</v>
      </c>
      <c r="M18" s="2">
        <f t="shared" si="32"/>
        <v>-84.921999999999983</v>
      </c>
      <c r="N18" s="2">
        <f>N15+N16+N17</f>
        <v>-78.132999999999939</v>
      </c>
      <c r="O18" s="2">
        <f t="shared" si="32"/>
        <v>-79.814999999999998</v>
      </c>
      <c r="P18" s="2">
        <f t="shared" si="32"/>
        <v>-74.349831999999992</v>
      </c>
      <c r="Q18" s="2">
        <f t="shared" si="32"/>
        <v>-69.501643000000001</v>
      </c>
      <c r="R18" s="2">
        <f t="shared" si="32"/>
        <v>-62.623895000000005</v>
      </c>
      <c r="U18" s="2">
        <f t="shared" ref="U18:AE18" si="33">U15+U16+U17</f>
        <v>-123.70099999999999</v>
      </c>
      <c r="V18" s="2">
        <f t="shared" si="33"/>
        <v>-269.61899999999991</v>
      </c>
      <c r="W18" s="2">
        <f t="shared" si="33"/>
        <v>-347.25099999999998</v>
      </c>
      <c r="X18" s="2">
        <f t="shared" si="33"/>
        <v>-286.29037000000005</v>
      </c>
      <c r="Y18" s="2">
        <f t="shared" si="33"/>
        <v>-203.22773840000002</v>
      </c>
      <c r="Z18" s="2">
        <f t="shared" si="33"/>
        <v>-127.86346656000005</v>
      </c>
      <c r="AA18" s="2">
        <f t="shared" si="33"/>
        <v>-44.566893288799861</v>
      </c>
      <c r="AB18" s="2">
        <f t="shared" si="33"/>
        <v>59.709378625818943</v>
      </c>
      <c r="AC18" s="2">
        <f t="shared" si="33"/>
        <v>186.54177502432756</v>
      </c>
      <c r="AD18" s="2">
        <f t="shared" si="33"/>
        <v>343.18059553247463</v>
      </c>
      <c r="AE18" s="2">
        <f t="shared" si="33"/>
        <v>518.19949615599603</v>
      </c>
      <c r="AF18" s="2">
        <f t="shared" ref="AF18:AY18" si="34">AF15+AF16+AF17</f>
        <v>572.03886484394343</v>
      </c>
      <c r="AG18" s="2">
        <f t="shared" si="34"/>
        <v>630.22713402685156</v>
      </c>
      <c r="AH18" s="2">
        <f t="shared" si="34"/>
        <v>693.02843864761371</v>
      </c>
      <c r="AI18" s="2">
        <f t="shared" si="34"/>
        <v>760.71072123288263</v>
      </c>
      <c r="AJ18" s="2">
        <f t="shared" si="34"/>
        <v>833.54318844174236</v>
      </c>
      <c r="AK18" s="2">
        <f t="shared" si="34"/>
        <v>911.79312770217348</v>
      </c>
      <c r="AL18" s="2">
        <f t="shared" si="34"/>
        <v>995.72196788026565</v>
      </c>
      <c r="AM18" s="2">
        <f t="shared" si="34"/>
        <v>1085.5804491614599</v>
      </c>
      <c r="AN18" s="2">
        <f t="shared" si="34"/>
        <v>1181.6027456843667</v>
      </c>
      <c r="AO18" s="2">
        <f t="shared" si="34"/>
        <v>1283.9993595290855</v>
      </c>
      <c r="AP18" s="2">
        <f t="shared" si="34"/>
        <v>1392.9485759343161</v>
      </c>
      <c r="AQ18" s="2">
        <f t="shared" si="34"/>
        <v>1508.5862365402145</v>
      </c>
      <c r="AR18" s="2">
        <f t="shared" si="34"/>
        <v>1630.993549384908</v>
      </c>
      <c r="AS18" s="2">
        <f t="shared" si="34"/>
        <v>1760.1826105863233</v>
      </c>
      <c r="AT18" s="2">
        <f t="shared" si="34"/>
        <v>1896.0792622752074</v>
      </c>
      <c r="AU18" s="2">
        <f t="shared" si="34"/>
        <v>2038.5028534455112</v>
      </c>
      <c r="AV18" s="2">
        <f t="shared" si="34"/>
        <v>2187.142403850567</v>
      </c>
      <c r="AW18" s="2">
        <f t="shared" si="34"/>
        <v>2341.5285946337262</v>
      </c>
      <c r="AX18" s="2">
        <f t="shared" si="34"/>
        <v>2501.0009215937434</v>
      </c>
      <c r="AY18" s="2">
        <f t="shared" si="34"/>
        <v>2664.6692461926432</v>
      </c>
    </row>
    <row r="19" spans="2:90" x14ac:dyDescent="0.3">
      <c r="B19" t="s">
        <v>23</v>
      </c>
      <c r="C19" s="2">
        <v>5.7000000000000002E-2</v>
      </c>
      <c r="D19" s="2">
        <v>4.8000000000000001E-2</v>
      </c>
      <c r="E19" s="2">
        <v>9.8000000000000004E-2</v>
      </c>
      <c r="F19" s="14">
        <v>0.19800000000000001</v>
      </c>
      <c r="G19" s="2">
        <v>3.7999999999999999E-2</v>
      </c>
      <c r="H19" s="2">
        <v>6.5000000000000002E-2</v>
      </c>
      <c r="I19" s="2">
        <v>-0.314</v>
      </c>
      <c r="J19" s="2">
        <f>-2.93-H19-G19-I19</f>
        <v>-2.7189999999999999</v>
      </c>
      <c r="K19" s="2">
        <v>-1.8620000000000001</v>
      </c>
      <c r="L19" s="2">
        <v>-0.39200000000000002</v>
      </c>
      <c r="M19" s="2">
        <v>-0.442</v>
      </c>
      <c r="N19" s="2">
        <f>-2.167-L19-K19-M19</f>
        <v>0.52900000000000014</v>
      </c>
      <c r="O19" s="2">
        <v>-0.42699999999999999</v>
      </c>
      <c r="P19" s="2">
        <v>-1</v>
      </c>
      <c r="Q19" s="2">
        <v>-1</v>
      </c>
      <c r="R19" s="2">
        <v>-1</v>
      </c>
      <c r="U19" s="2">
        <f t="shared" ref="U19" si="35">SUM(C19:F19)</f>
        <v>0.40100000000000002</v>
      </c>
      <c r="V19" s="2">
        <f>SUM(G19:J19)</f>
        <v>-2.9299999999999997</v>
      </c>
      <c r="W19" s="2">
        <f>SUM(K19:N19)</f>
        <v>-2.1669999999999998</v>
      </c>
      <c r="X19" s="2">
        <f>SUM(O19:R19)</f>
        <v>-3.427</v>
      </c>
      <c r="Y19">
        <v>0</v>
      </c>
      <c r="Z19">
        <v>0</v>
      </c>
      <c r="AA19">
        <v>0</v>
      </c>
      <c r="AB19" s="2">
        <v>0</v>
      </c>
      <c r="AC19" s="2">
        <f>AC18*0.2</f>
        <v>37.308355004865511</v>
      </c>
      <c r="AD19" s="2">
        <f>AD18*0.2</f>
        <v>68.636119106494931</v>
      </c>
      <c r="AE19" s="2">
        <f>AE18*0.2</f>
        <v>103.63989923119921</v>
      </c>
      <c r="AF19" s="2">
        <f t="shared" ref="AF19:AY19" si="36">AF18*0.2</f>
        <v>114.40777296878869</v>
      </c>
      <c r="AG19" s="2">
        <f t="shared" si="36"/>
        <v>126.04542680537031</v>
      </c>
      <c r="AH19" s="2">
        <f t="shared" si="36"/>
        <v>138.60568772952274</v>
      </c>
      <c r="AI19" s="2">
        <f t="shared" si="36"/>
        <v>152.14214424657652</v>
      </c>
      <c r="AJ19" s="2">
        <f t="shared" si="36"/>
        <v>166.70863768834849</v>
      </c>
      <c r="AK19" s="2">
        <f t="shared" si="36"/>
        <v>182.3586255404347</v>
      </c>
      <c r="AL19" s="2">
        <f t="shared" si="36"/>
        <v>199.14439357605315</v>
      </c>
      <c r="AM19" s="2">
        <f t="shared" si="36"/>
        <v>217.116089832292</v>
      </c>
      <c r="AN19" s="2">
        <f t="shared" si="36"/>
        <v>236.32054913687335</v>
      </c>
      <c r="AO19" s="2">
        <f t="shared" si="36"/>
        <v>256.7998719058171</v>
      </c>
      <c r="AP19" s="2">
        <f t="shared" si="36"/>
        <v>278.5897151868632</v>
      </c>
      <c r="AQ19" s="2">
        <f t="shared" si="36"/>
        <v>301.71724730804289</v>
      </c>
      <c r="AR19" s="2">
        <f t="shared" si="36"/>
        <v>326.19870987698164</v>
      </c>
      <c r="AS19" s="2">
        <f t="shared" si="36"/>
        <v>352.03652211726467</v>
      </c>
      <c r="AT19" s="2">
        <f t="shared" si="36"/>
        <v>379.2158524550415</v>
      </c>
      <c r="AU19" s="2">
        <f t="shared" si="36"/>
        <v>407.70057068910228</v>
      </c>
      <c r="AV19" s="2">
        <f t="shared" si="36"/>
        <v>437.42848077011342</v>
      </c>
      <c r="AW19" s="2">
        <f t="shared" si="36"/>
        <v>468.30571892674527</v>
      </c>
      <c r="AX19" s="2">
        <f t="shared" si="36"/>
        <v>500.20018431874871</v>
      </c>
      <c r="AY19" s="2">
        <f t="shared" si="36"/>
        <v>532.93384923852864</v>
      </c>
    </row>
    <row r="20" spans="2:90" x14ac:dyDescent="0.3">
      <c r="B20" t="s">
        <v>24</v>
      </c>
      <c r="C20" s="2">
        <f t="shared" ref="C20:R20" si="37">C18-C19</f>
        <v>-30.632999999999996</v>
      </c>
      <c r="D20" s="2">
        <f t="shared" si="37"/>
        <v>-23.771000000000001</v>
      </c>
      <c r="E20" s="2">
        <f t="shared" si="37"/>
        <v>-33.57</v>
      </c>
      <c r="F20" s="14">
        <f t="shared" si="37"/>
        <v>-36.127999999999979</v>
      </c>
      <c r="G20" s="2">
        <f t="shared" si="37"/>
        <v>-47.99799999999999</v>
      </c>
      <c r="H20" s="2">
        <f t="shared" si="37"/>
        <v>-74.516999999999982</v>
      </c>
      <c r="I20" s="2">
        <f t="shared" si="37"/>
        <v>-67.013000000000005</v>
      </c>
      <c r="J20" s="2">
        <f t="shared" si="37"/>
        <v>-77.160999999999973</v>
      </c>
      <c r="K20" s="2">
        <f t="shared" si="37"/>
        <v>-89.242000000000004</v>
      </c>
      <c r="L20" s="2">
        <f t="shared" si="37"/>
        <v>-92.700000000000017</v>
      </c>
      <c r="M20" s="2">
        <f t="shared" si="37"/>
        <v>-84.47999999999999</v>
      </c>
      <c r="N20" s="2">
        <f t="shared" si="37"/>
        <v>-78.661999999999935</v>
      </c>
      <c r="O20" s="2">
        <f t="shared" si="37"/>
        <v>-79.387999999999991</v>
      </c>
      <c r="P20" s="2">
        <f t="shared" si="37"/>
        <v>-73.349831999999992</v>
      </c>
      <c r="Q20" s="2">
        <f t="shared" si="37"/>
        <v>-68.501643000000001</v>
      </c>
      <c r="R20" s="2">
        <f t="shared" si="37"/>
        <v>-61.623895000000005</v>
      </c>
      <c r="U20" s="2">
        <f t="shared" ref="U20:AE20" si="38">U18-U19</f>
        <v>-124.10199999999999</v>
      </c>
      <c r="V20" s="2">
        <f t="shared" si="38"/>
        <v>-266.68899999999991</v>
      </c>
      <c r="W20" s="2">
        <f t="shared" si="38"/>
        <v>-345.084</v>
      </c>
      <c r="X20" s="2">
        <f t="shared" si="38"/>
        <v>-282.86337000000003</v>
      </c>
      <c r="Y20" s="2">
        <f t="shared" si="38"/>
        <v>-203.22773840000002</v>
      </c>
      <c r="Z20" s="2">
        <f t="shared" si="38"/>
        <v>-127.86346656000005</v>
      </c>
      <c r="AA20" s="2">
        <f t="shared" si="38"/>
        <v>-44.566893288799861</v>
      </c>
      <c r="AB20" s="2">
        <f t="shared" si="38"/>
        <v>59.709378625818943</v>
      </c>
      <c r="AC20" s="2">
        <f t="shared" si="38"/>
        <v>149.23342001946205</v>
      </c>
      <c r="AD20" s="2">
        <f t="shared" si="38"/>
        <v>274.54447642597972</v>
      </c>
      <c r="AE20" s="2">
        <f t="shared" si="38"/>
        <v>414.55959692479684</v>
      </c>
      <c r="AF20" s="2">
        <f t="shared" ref="AF20:AY20" si="39">AF18-AF19</f>
        <v>457.63109187515477</v>
      </c>
      <c r="AG20" s="2">
        <f t="shared" si="39"/>
        <v>504.18170722148125</v>
      </c>
      <c r="AH20" s="2">
        <f t="shared" si="39"/>
        <v>554.42275091809097</v>
      </c>
      <c r="AI20" s="2">
        <f t="shared" si="39"/>
        <v>608.56857698630608</v>
      </c>
      <c r="AJ20" s="2">
        <f t="shared" si="39"/>
        <v>666.83455075339384</v>
      </c>
      <c r="AK20" s="2">
        <f t="shared" si="39"/>
        <v>729.43450216173881</v>
      </c>
      <c r="AL20" s="2">
        <f t="shared" si="39"/>
        <v>796.57757430421248</v>
      </c>
      <c r="AM20" s="2">
        <f t="shared" si="39"/>
        <v>868.46435932916791</v>
      </c>
      <c r="AN20" s="2">
        <f t="shared" si="39"/>
        <v>945.28219654749341</v>
      </c>
      <c r="AO20" s="2">
        <f t="shared" si="39"/>
        <v>1027.1994876232684</v>
      </c>
      <c r="AP20" s="2">
        <f t="shared" si="39"/>
        <v>1114.3588607474528</v>
      </c>
      <c r="AQ20" s="2">
        <f t="shared" si="39"/>
        <v>1206.8689892321715</v>
      </c>
      <c r="AR20" s="2">
        <f t="shared" si="39"/>
        <v>1304.7948395079263</v>
      </c>
      <c r="AS20" s="2">
        <f t="shared" si="39"/>
        <v>1408.1460884690587</v>
      </c>
      <c r="AT20" s="2">
        <f t="shared" si="39"/>
        <v>1516.863409820166</v>
      </c>
      <c r="AU20" s="2">
        <f t="shared" si="39"/>
        <v>1630.8022827564089</v>
      </c>
      <c r="AV20" s="2">
        <f t="shared" si="39"/>
        <v>1749.7139230804537</v>
      </c>
      <c r="AW20" s="2">
        <f t="shared" si="39"/>
        <v>1873.2228757069811</v>
      </c>
      <c r="AX20" s="2">
        <f t="shared" si="39"/>
        <v>2000.8007372749948</v>
      </c>
      <c r="AY20" s="2">
        <f t="shared" si="39"/>
        <v>2131.7353969541145</v>
      </c>
      <c r="AZ20" s="2">
        <f>AY20*0.968</f>
        <v>2063.5198642515829</v>
      </c>
      <c r="BA20" s="2">
        <f t="shared" ref="BA20:CL20" si="40">AZ20*0.968</f>
        <v>1997.4872285955323</v>
      </c>
      <c r="BB20" s="2">
        <f t="shared" si="40"/>
        <v>1933.5676372804753</v>
      </c>
      <c r="BC20" s="2">
        <f t="shared" si="40"/>
        <v>1871.6934728875001</v>
      </c>
      <c r="BD20" s="2">
        <f t="shared" si="40"/>
        <v>1811.7992817551001</v>
      </c>
      <c r="BE20" s="2">
        <f t="shared" si="40"/>
        <v>1753.8217047389369</v>
      </c>
      <c r="BF20" s="2">
        <f t="shared" si="40"/>
        <v>1697.6994101872908</v>
      </c>
      <c r="BG20" s="2">
        <f t="shared" si="40"/>
        <v>1643.3730290612975</v>
      </c>
      <c r="BH20" s="2">
        <f t="shared" si="40"/>
        <v>1590.7850921313359</v>
      </c>
      <c r="BI20" s="2">
        <f t="shared" si="40"/>
        <v>1539.8799691831332</v>
      </c>
      <c r="BJ20" s="2">
        <f t="shared" si="40"/>
        <v>1490.6038101692729</v>
      </c>
      <c r="BK20" s="2">
        <f t="shared" si="40"/>
        <v>1442.9044882438561</v>
      </c>
      <c r="BL20" s="2">
        <f t="shared" si="40"/>
        <v>1396.7315446200528</v>
      </c>
      <c r="BM20" s="2">
        <f t="shared" si="40"/>
        <v>1352.0361351922111</v>
      </c>
      <c r="BN20" s="2">
        <f t="shared" si="40"/>
        <v>1308.7709788660602</v>
      </c>
      <c r="BO20" s="2">
        <f t="shared" si="40"/>
        <v>1266.8903075423461</v>
      </c>
      <c r="BP20" s="2">
        <f t="shared" si="40"/>
        <v>1226.349817700991</v>
      </c>
      <c r="BQ20" s="2">
        <f t="shared" si="40"/>
        <v>1187.1066235345593</v>
      </c>
      <c r="BR20" s="2">
        <f t="shared" si="40"/>
        <v>1149.1192115814533</v>
      </c>
      <c r="BS20" s="2">
        <f t="shared" si="40"/>
        <v>1112.3473968108467</v>
      </c>
      <c r="BT20" s="2">
        <f t="shared" si="40"/>
        <v>1076.7522801128996</v>
      </c>
      <c r="BU20" s="2">
        <f t="shared" si="40"/>
        <v>1042.2962071492868</v>
      </c>
      <c r="BV20" s="2">
        <f t="shared" si="40"/>
        <v>1008.9427285205096</v>
      </c>
      <c r="BW20" s="2">
        <f t="shared" si="40"/>
        <v>976.65656120785331</v>
      </c>
      <c r="BX20" s="2">
        <f t="shared" si="40"/>
        <v>945.403551249202</v>
      </c>
      <c r="BY20" s="2">
        <f t="shared" si="40"/>
        <v>915.15063760922749</v>
      </c>
      <c r="BZ20" s="2">
        <f t="shared" si="40"/>
        <v>885.86581720573213</v>
      </c>
      <c r="CA20" s="2">
        <f t="shared" si="40"/>
        <v>857.51811105514867</v>
      </c>
      <c r="CB20" s="2">
        <f t="shared" si="40"/>
        <v>830.07753150138387</v>
      </c>
      <c r="CC20" s="2">
        <f t="shared" si="40"/>
        <v>803.51505049333957</v>
      </c>
      <c r="CD20" s="2">
        <f t="shared" si="40"/>
        <v>777.80256887755263</v>
      </c>
      <c r="CE20" s="2">
        <f t="shared" si="40"/>
        <v>752.91288667347089</v>
      </c>
      <c r="CF20" s="2">
        <f t="shared" si="40"/>
        <v>728.81967429991982</v>
      </c>
      <c r="CG20" s="2">
        <f t="shared" si="40"/>
        <v>705.49744472232237</v>
      </c>
      <c r="CH20" s="2">
        <f t="shared" si="40"/>
        <v>682.92152649120806</v>
      </c>
      <c r="CI20" s="2">
        <f t="shared" si="40"/>
        <v>661.06803764348933</v>
      </c>
      <c r="CJ20" s="2">
        <f t="shared" si="40"/>
        <v>639.9138604388977</v>
      </c>
      <c r="CK20" s="2">
        <f t="shared" si="40"/>
        <v>619.43661690485294</v>
      </c>
      <c r="CL20" s="2">
        <f t="shared" si="40"/>
        <v>599.61464516389765</v>
      </c>
    </row>
    <row r="21" spans="2:90" x14ac:dyDescent="0.3">
      <c r="B21" t="s">
        <v>25</v>
      </c>
      <c r="C21" s="2">
        <v>12.253092000000001</v>
      </c>
      <c r="D21" s="2">
        <v>13.468677</v>
      </c>
      <c r="E21" s="2">
        <v>14.990866</v>
      </c>
      <c r="F21" s="14">
        <v>15.116763000000001</v>
      </c>
      <c r="G21" s="2">
        <v>225.533389</v>
      </c>
      <c r="H21" s="2">
        <v>313.60210000000001</v>
      </c>
      <c r="I21" s="2">
        <v>325.03492</v>
      </c>
      <c r="J21" s="2">
        <v>302.49026600000002</v>
      </c>
      <c r="K21" s="2">
        <v>334.623695</v>
      </c>
      <c r="L21" s="2">
        <v>336.81355500000001</v>
      </c>
      <c r="M21" s="2">
        <v>339.59538500000002</v>
      </c>
      <c r="N21" s="2">
        <v>338.48886670000002</v>
      </c>
      <c r="O21" s="2">
        <v>350.043454</v>
      </c>
      <c r="P21" s="2">
        <v>338.48886670000002</v>
      </c>
      <c r="Q21" s="2">
        <v>338.48886670000002</v>
      </c>
      <c r="R21" s="2">
        <v>338.48886670000002</v>
      </c>
      <c r="U21" s="2">
        <v>338.48886670000002</v>
      </c>
      <c r="V21" s="2">
        <v>338.48886670000002</v>
      </c>
      <c r="W21" s="2">
        <v>338.48886670000002</v>
      </c>
      <c r="X21" s="2">
        <v>338.48886670000002</v>
      </c>
      <c r="Y21" s="2">
        <v>338.48886670000002</v>
      </c>
      <c r="Z21" s="2">
        <v>338.48886670000002</v>
      </c>
      <c r="AA21" s="2">
        <v>338.48886670000002</v>
      </c>
      <c r="AB21" s="2">
        <v>338.48886670000002</v>
      </c>
      <c r="AC21" s="2">
        <v>338.48886670000002</v>
      </c>
      <c r="AD21" s="2">
        <v>338.48886670000002</v>
      </c>
      <c r="AE21" s="2">
        <v>338.48886670000002</v>
      </c>
      <c r="AF21" s="2">
        <v>338.48886670000002</v>
      </c>
      <c r="AG21" s="2">
        <v>338.48886670000002</v>
      </c>
      <c r="AH21" s="2">
        <v>338.48886670000002</v>
      </c>
      <c r="AI21" s="2">
        <v>338.48886670000002</v>
      </c>
      <c r="AJ21" s="2">
        <v>338.48886670000002</v>
      </c>
      <c r="AK21" s="2">
        <v>338.48886670000002</v>
      </c>
      <c r="AL21" s="2">
        <v>338.48886670000002</v>
      </c>
      <c r="AM21" s="2">
        <v>338.48886670000002</v>
      </c>
      <c r="AN21" s="2">
        <v>338.48886670000002</v>
      </c>
      <c r="AO21" s="2">
        <v>338.48886670000002</v>
      </c>
      <c r="AP21" s="2">
        <v>338.48886670000002</v>
      </c>
      <c r="AQ21" s="2">
        <v>338.48886670000002</v>
      </c>
      <c r="AR21" s="2">
        <v>338.48886670000002</v>
      </c>
      <c r="AS21" s="2">
        <v>338.48886670000002</v>
      </c>
      <c r="AT21" s="2">
        <v>338.48886670000002</v>
      </c>
      <c r="AU21" s="2">
        <v>338.48886670000002</v>
      </c>
      <c r="AV21" s="2">
        <v>338.48886670000002</v>
      </c>
      <c r="AW21" s="2">
        <v>338.48886670000002</v>
      </c>
      <c r="AX21" s="2">
        <v>338.48886670000002</v>
      </c>
      <c r="AY21" s="2">
        <v>338.48886670000002</v>
      </c>
    </row>
    <row r="22" spans="2:90" x14ac:dyDescent="0.3">
      <c r="B22" t="s">
        <v>26</v>
      </c>
      <c r="C22" s="2">
        <f t="shared" ref="C22:R22" si="41">C20/C21</f>
        <v>-2.5000220352544478</v>
      </c>
      <c r="D22" s="2">
        <f t="shared" si="41"/>
        <v>-1.764909797747767</v>
      </c>
      <c r="E22" s="2">
        <f t="shared" si="41"/>
        <v>-2.2393636231555933</v>
      </c>
      <c r="F22" s="14">
        <f t="shared" si="41"/>
        <v>-2.3899296430062424</v>
      </c>
      <c r="G22" s="2">
        <f t="shared" si="41"/>
        <v>-0.21281992973554789</v>
      </c>
      <c r="H22" s="2">
        <f t="shared" si="41"/>
        <v>-0.23761639351267094</v>
      </c>
      <c r="I22" s="2">
        <f t="shared" si="41"/>
        <v>-0.2061716937983156</v>
      </c>
      <c r="J22" s="2">
        <f t="shared" si="41"/>
        <v>-0.25508589423502298</v>
      </c>
      <c r="K22" s="2">
        <f t="shared" si="41"/>
        <v>-0.26669360638074363</v>
      </c>
      <c r="L22" s="2">
        <f t="shared" si="41"/>
        <v>-0.27522645280710278</v>
      </c>
      <c r="M22" s="2">
        <f t="shared" si="41"/>
        <v>-0.24876663150177963</v>
      </c>
      <c r="N22" s="2">
        <f t="shared" si="41"/>
        <v>-0.23239169065409007</v>
      </c>
      <c r="O22" s="2">
        <f t="shared" si="41"/>
        <v>-0.2267946996089234</v>
      </c>
      <c r="P22" s="2">
        <f t="shared" si="41"/>
        <v>-0.21669791599086585</v>
      </c>
      <c r="Q22" s="2">
        <f t="shared" si="41"/>
        <v>-0.20237487769638363</v>
      </c>
      <c r="R22" s="2">
        <f t="shared" si="41"/>
        <v>-0.18205589921105669</v>
      </c>
      <c r="U22" s="2">
        <f t="shared" ref="U22:AE22" si="42">U20/U21</f>
        <v>-0.36663539693313046</v>
      </c>
      <c r="V22" s="2">
        <f t="shared" si="42"/>
        <v>-0.7878811572150296</v>
      </c>
      <c r="W22" s="2">
        <f t="shared" si="42"/>
        <v>-1.0194840479224541</v>
      </c>
      <c r="X22" s="2">
        <f t="shared" si="42"/>
        <v>-0.83566521037366814</v>
      </c>
      <c r="Y22" s="2">
        <f t="shared" si="42"/>
        <v>-0.60039711314971889</v>
      </c>
      <c r="Z22" s="2">
        <f t="shared" si="42"/>
        <v>-0.37774792360696585</v>
      </c>
      <c r="AA22" s="2">
        <f t="shared" si="42"/>
        <v>-0.1316642810834282</v>
      </c>
      <c r="AB22" s="2">
        <f t="shared" si="42"/>
        <v>0.1763998302453442</v>
      </c>
      <c r="AC22" s="2">
        <f t="shared" si="42"/>
        <v>0.44088132491437726</v>
      </c>
      <c r="AD22" s="2">
        <f t="shared" si="42"/>
        <v>0.81108864555154281</v>
      </c>
      <c r="AE22" s="2">
        <f t="shared" si="42"/>
        <v>1.2247362844350733</v>
      </c>
      <c r="AF22" s="2">
        <f t="shared" ref="AF22:AY22" si="43">AF20/AF21</f>
        <v>1.351982699864541</v>
      </c>
      <c r="AG22" s="2">
        <f t="shared" si="43"/>
        <v>1.4895075047426405</v>
      </c>
      <c r="AH22" s="2">
        <f t="shared" si="43"/>
        <v>1.6379349676202835</v>
      </c>
      <c r="AI22" s="2">
        <f t="shared" si="43"/>
        <v>1.7978983560652102</v>
      </c>
      <c r="AJ22" s="2">
        <f t="shared" si="43"/>
        <v>1.9700339253533086</v>
      </c>
      <c r="AK22" s="2">
        <f t="shared" si="43"/>
        <v>2.1549733947622887</v>
      </c>
      <c r="AL22" s="2">
        <f t="shared" si="43"/>
        <v>2.3533346371779276</v>
      </c>
      <c r="AM22" s="2">
        <f t="shared" si="43"/>
        <v>2.5657102633714715</v>
      </c>
      <c r="AN22" s="2">
        <f t="shared" si="43"/>
        <v>2.7926537311647817</v>
      </c>
      <c r="AO22" s="2">
        <f t="shared" si="43"/>
        <v>3.0346625507587732</v>
      </c>
      <c r="AP22" s="2">
        <f t="shared" si="43"/>
        <v>3.2921580896044662</v>
      </c>
      <c r="AQ22" s="2">
        <f t="shared" si="43"/>
        <v>3.5654614020194937</v>
      </c>
      <c r="AR22" s="2">
        <f t="shared" si="43"/>
        <v>3.8547644187788177</v>
      </c>
      <c r="AS22" s="2">
        <f t="shared" si="43"/>
        <v>4.1600957283983204</v>
      </c>
      <c r="AT22" s="2">
        <f t="shared" si="43"/>
        <v>4.4812800627931733</v>
      </c>
      <c r="AU22" s="2">
        <f t="shared" si="43"/>
        <v>4.8178904631500803</v>
      </c>
      <c r="AV22" s="2">
        <f t="shared" si="43"/>
        <v>5.1691919445941812</v>
      </c>
      <c r="AW22" s="2">
        <f t="shared" si="43"/>
        <v>5.5340752975701371</v>
      </c>
      <c r="AX22" s="2">
        <f t="shared" si="43"/>
        <v>5.9109794563739335</v>
      </c>
      <c r="AY22" s="2">
        <f t="shared" si="43"/>
        <v>6.2978006270541673</v>
      </c>
    </row>
    <row r="23" spans="2:90" x14ac:dyDescent="0.3">
      <c r="F23" s="16"/>
    </row>
    <row r="24" spans="2:90" x14ac:dyDescent="0.3">
      <c r="F24" s="16"/>
      <c r="BA24" t="s">
        <v>59</v>
      </c>
      <c r="BB24" s="20">
        <v>0.11</v>
      </c>
    </row>
    <row r="25" spans="2:90" s="8" customFormat="1" x14ac:dyDescent="0.3">
      <c r="B25" s="8" t="s">
        <v>33</v>
      </c>
      <c r="C25" s="9">
        <f t="shared" ref="C25:N25" si="44">(C3-C7)/C3</f>
        <v>5.2958233708093827E-2</v>
      </c>
      <c r="D25" s="9">
        <f t="shared" si="44"/>
        <v>4.4926993635342444E-2</v>
      </c>
      <c r="E25" s="9">
        <f t="shared" si="44"/>
        <v>8.1538597890630816E-3</v>
      </c>
      <c r="F25" s="17">
        <f t="shared" si="44"/>
        <v>9.2749629001484354E-2</v>
      </c>
      <c r="G25" s="9">
        <f t="shared" si="44"/>
        <v>0.11410447761194029</v>
      </c>
      <c r="H25" s="9">
        <f t="shared" si="44"/>
        <v>0.13431521260458976</v>
      </c>
      <c r="I25" s="9">
        <f t="shared" si="44"/>
        <v>0.1850308349645346</v>
      </c>
      <c r="J25" s="9">
        <f t="shared" si="44"/>
        <v>0.15678854512912335</v>
      </c>
      <c r="K25" s="9">
        <f t="shared" si="44"/>
        <v>5.5162801632214466E-2</v>
      </c>
      <c r="L25" s="9">
        <f t="shared" si="44"/>
        <v>0.11641393734848116</v>
      </c>
      <c r="M25" s="9">
        <f t="shared" si="44"/>
        <v>0.12061439462251006</v>
      </c>
      <c r="N25" s="9">
        <f t="shared" si="44"/>
        <v>0.16465164185692943</v>
      </c>
      <c r="O25" s="9">
        <f t="shared" ref="O25:R25" si="45">(O3-O7)/O3</f>
        <v>0.17695280716029291</v>
      </c>
      <c r="P25" s="9">
        <f t="shared" si="45"/>
        <v>0.2</v>
      </c>
      <c r="Q25" s="9">
        <f t="shared" si="45"/>
        <v>0.19999999999999998</v>
      </c>
      <c r="R25" s="9">
        <f t="shared" si="45"/>
        <v>0.19999999999999987</v>
      </c>
      <c r="U25" s="9">
        <f t="shared" ref="U25:AA25" si="46">(U3-U7)/U3</f>
        <v>5.2343486446192876E-2</v>
      </c>
      <c r="V25" s="9">
        <f t="shared" si="46"/>
        <v>0.15264308311763031</v>
      </c>
      <c r="W25" s="9">
        <f t="shared" si="46"/>
        <v>0.1237383876663129</v>
      </c>
      <c r="X25" s="9">
        <f t="shared" si="46"/>
        <v>0.19606883051003879</v>
      </c>
      <c r="Y25" s="9">
        <f t="shared" si="46"/>
        <v>0.19999999999999996</v>
      </c>
      <c r="Z25" s="9">
        <f t="shared" si="46"/>
        <v>0.19999999999999998</v>
      </c>
      <c r="AA25" s="9">
        <f t="shared" si="46"/>
        <v>0.21</v>
      </c>
      <c r="AB25" s="9">
        <f t="shared" ref="AB25:AE25" si="47">(AB3-AB7)/AB3</f>
        <v>0.21999999999999997</v>
      </c>
      <c r="AC25" s="9">
        <f t="shared" si="47"/>
        <v>0.23000000000000004</v>
      </c>
      <c r="AD25" s="9">
        <f t="shared" si="47"/>
        <v>0.24000000000000002</v>
      </c>
      <c r="AE25" s="9">
        <f t="shared" si="47"/>
        <v>0.24</v>
      </c>
      <c r="AF25" s="9">
        <f t="shared" ref="AF25:AY25" si="48">(AF3-AF7)/AF3</f>
        <v>0.23999999999999996</v>
      </c>
      <c r="AG25" s="9">
        <f t="shared" si="48"/>
        <v>0.23999999999999996</v>
      </c>
      <c r="AH25" s="9">
        <f t="shared" si="48"/>
        <v>0.23999999999999996</v>
      </c>
      <c r="AI25" s="9">
        <f t="shared" si="48"/>
        <v>0.24</v>
      </c>
      <c r="AJ25" s="9">
        <f t="shared" si="48"/>
        <v>0.23999999999999996</v>
      </c>
      <c r="AK25" s="9">
        <f t="shared" si="48"/>
        <v>0.24000000000000002</v>
      </c>
      <c r="AL25" s="9">
        <f t="shared" si="48"/>
        <v>0.23999999999999996</v>
      </c>
      <c r="AM25" s="9">
        <f t="shared" si="48"/>
        <v>0.24000000000000002</v>
      </c>
      <c r="AN25" s="9">
        <f t="shared" si="48"/>
        <v>0.24</v>
      </c>
      <c r="AO25" s="9">
        <f t="shared" si="48"/>
        <v>0.24000000000000005</v>
      </c>
      <c r="AP25" s="9">
        <f t="shared" si="48"/>
        <v>0.24</v>
      </c>
      <c r="AQ25" s="9">
        <f t="shared" si="48"/>
        <v>0.24000000000000005</v>
      </c>
      <c r="AR25" s="9">
        <f t="shared" si="48"/>
        <v>0.24000000000000002</v>
      </c>
      <c r="AS25" s="9">
        <f t="shared" si="48"/>
        <v>0.24000000000000002</v>
      </c>
      <c r="AT25" s="9">
        <f t="shared" si="48"/>
        <v>0.24000000000000002</v>
      </c>
      <c r="AU25" s="9">
        <f t="shared" si="48"/>
        <v>0.24</v>
      </c>
      <c r="AV25" s="9">
        <f t="shared" si="48"/>
        <v>0.24000000000000005</v>
      </c>
      <c r="AW25" s="9">
        <f t="shared" si="48"/>
        <v>0.24</v>
      </c>
      <c r="AX25" s="9">
        <f t="shared" si="48"/>
        <v>0.24000000000000002</v>
      </c>
      <c r="AY25" s="9">
        <f t="shared" si="48"/>
        <v>0.24</v>
      </c>
      <c r="BA25" s="8" t="s">
        <v>58</v>
      </c>
      <c r="BB25" s="21">
        <f>NPV(BB24,X20:CL20)</f>
        <v>3706.466690028411</v>
      </c>
    </row>
    <row r="26" spans="2:90" s="8" customFormat="1" x14ac:dyDescent="0.3">
      <c r="B26" s="8" t="s">
        <v>34</v>
      </c>
      <c r="C26" s="9">
        <f t="shared" ref="C26:N26" si="49">(C4-C8)/C4</f>
        <v>0.46990226565970683</v>
      </c>
      <c r="D26" s="9">
        <f t="shared" si="49"/>
        <v>0.54622362654163692</v>
      </c>
      <c r="E26" s="9">
        <f t="shared" si="49"/>
        <v>0.50639955481357823</v>
      </c>
      <c r="F26" s="17">
        <f t="shared" si="49"/>
        <v>0.4676272113806309</v>
      </c>
      <c r="G26" s="9">
        <f t="shared" si="49"/>
        <v>0.47893569844789358</v>
      </c>
      <c r="H26" s="9">
        <f t="shared" si="49"/>
        <v>0.35192848866081777</v>
      </c>
      <c r="I26" s="9">
        <f t="shared" si="49"/>
        <v>0.42994700306038669</v>
      </c>
      <c r="J26" s="9">
        <f t="shared" si="49"/>
        <v>0.41408565285606369</v>
      </c>
      <c r="K26" s="9">
        <f t="shared" si="49"/>
        <v>0.3977105292984246</v>
      </c>
      <c r="L26" s="9">
        <f t="shared" si="49"/>
        <v>0.3441019561351511</v>
      </c>
      <c r="M26" s="9">
        <f t="shared" si="49"/>
        <v>0.38163359483156439</v>
      </c>
      <c r="N26" s="9">
        <f t="shared" si="49"/>
        <v>0.45174075225365257</v>
      </c>
      <c r="O26" s="9">
        <f t="shared" ref="O26:R26" si="50">(O4-O8)/O4</f>
        <v>0.43849800872368666</v>
      </c>
      <c r="P26" s="9">
        <f t="shared" si="50"/>
        <v>0.48</v>
      </c>
      <c r="Q26" s="9">
        <f t="shared" si="50"/>
        <v>0.48</v>
      </c>
      <c r="R26" s="9">
        <f t="shared" si="50"/>
        <v>0.47999999999999993</v>
      </c>
      <c r="U26" s="9">
        <f t="shared" ref="U26:AA26" si="51">(U4-U8)/U4</f>
        <v>0.4974484135788772</v>
      </c>
      <c r="V26" s="9">
        <f t="shared" si="51"/>
        <v>0.417140080729556</v>
      </c>
      <c r="W26" s="9">
        <f t="shared" si="51"/>
        <v>0.39720502719939982</v>
      </c>
      <c r="X26" s="9">
        <f t="shared" si="51"/>
        <v>0.47076635381522924</v>
      </c>
      <c r="Y26" s="9">
        <f t="shared" si="51"/>
        <v>0.48</v>
      </c>
      <c r="Z26" s="9">
        <f t="shared" si="51"/>
        <v>0.48</v>
      </c>
      <c r="AA26" s="9">
        <f t="shared" si="51"/>
        <v>0.48</v>
      </c>
      <c r="AB26" s="9">
        <f t="shared" ref="AB26:AE26" si="52">(AB4-AB8)/AB4</f>
        <v>0.47999999999999993</v>
      </c>
      <c r="AC26" s="9">
        <f t="shared" si="52"/>
        <v>0.48</v>
      </c>
      <c r="AD26" s="9">
        <f t="shared" si="52"/>
        <v>0.48000000000000004</v>
      </c>
      <c r="AE26" s="9">
        <f t="shared" si="52"/>
        <v>0.48</v>
      </c>
      <c r="AF26" s="9">
        <f t="shared" ref="AF26:AY26" si="53">(AF4-AF8)/AF4</f>
        <v>0.48</v>
      </c>
      <c r="AG26" s="9">
        <f t="shared" si="53"/>
        <v>0.48</v>
      </c>
      <c r="AH26" s="9">
        <f t="shared" si="53"/>
        <v>0.48</v>
      </c>
      <c r="AI26" s="9">
        <f t="shared" si="53"/>
        <v>0.48</v>
      </c>
      <c r="AJ26" s="9">
        <f t="shared" si="53"/>
        <v>0.47999999999999993</v>
      </c>
      <c r="AK26" s="9">
        <f t="shared" si="53"/>
        <v>0.48</v>
      </c>
      <c r="AL26" s="9">
        <f t="shared" si="53"/>
        <v>0.48</v>
      </c>
      <c r="AM26" s="9">
        <f t="shared" si="53"/>
        <v>0.48</v>
      </c>
      <c r="AN26" s="9">
        <f t="shared" si="53"/>
        <v>0.47999999999999993</v>
      </c>
      <c r="AO26" s="9">
        <f t="shared" si="53"/>
        <v>0.48</v>
      </c>
      <c r="AP26" s="9">
        <f t="shared" si="53"/>
        <v>0.48</v>
      </c>
      <c r="AQ26" s="9">
        <f t="shared" si="53"/>
        <v>0.48</v>
      </c>
      <c r="AR26" s="9">
        <f t="shared" si="53"/>
        <v>0.48</v>
      </c>
      <c r="AS26" s="9">
        <f t="shared" si="53"/>
        <v>0.48</v>
      </c>
      <c r="AT26" s="9">
        <f t="shared" si="53"/>
        <v>0.48</v>
      </c>
      <c r="AU26" s="9">
        <f t="shared" si="53"/>
        <v>0.48000000000000004</v>
      </c>
      <c r="AV26" s="9">
        <f t="shared" si="53"/>
        <v>0.48</v>
      </c>
      <c r="AW26" s="9">
        <f t="shared" si="53"/>
        <v>0.48000000000000004</v>
      </c>
      <c r="AX26" s="9">
        <f t="shared" si="53"/>
        <v>0.48</v>
      </c>
      <c r="AY26" s="9">
        <f t="shared" si="53"/>
        <v>0.48000000000000004</v>
      </c>
      <c r="BA26" s="8" t="s">
        <v>60</v>
      </c>
      <c r="BB26" s="2">
        <f>BB25/O21</f>
        <v>10.588590209798385</v>
      </c>
    </row>
    <row r="27" spans="2:90" s="8" customFormat="1" x14ac:dyDescent="0.3">
      <c r="B27" s="8" t="s">
        <v>35</v>
      </c>
      <c r="C27" s="9">
        <f t="shared" ref="C27:N27" si="54">(C5-C9)/C5</f>
        <v>0.60558930741190764</v>
      </c>
      <c r="D27" s="9">
        <f t="shared" si="54"/>
        <v>0.71704605611434624</v>
      </c>
      <c r="E27" s="9">
        <f t="shared" si="54"/>
        <v>0.53331123632747768</v>
      </c>
      <c r="F27" s="17">
        <f t="shared" si="54"/>
        <v>0.36843790012804079</v>
      </c>
      <c r="G27" s="9">
        <f t="shared" si="54"/>
        <v>0.33783783783783783</v>
      </c>
      <c r="H27" s="9">
        <f t="shared" si="54"/>
        <v>0.32701421800947872</v>
      </c>
      <c r="I27" s="9">
        <f t="shared" si="54"/>
        <v>0.36476005816771695</v>
      </c>
      <c r="J27" s="9">
        <f t="shared" si="54"/>
        <v>0.33429477934813961</v>
      </c>
      <c r="K27" s="9">
        <f t="shared" si="54"/>
        <v>0.40667267808836788</v>
      </c>
      <c r="L27" s="9">
        <f t="shared" si="54"/>
        <v>0.35666666666666669</v>
      </c>
      <c r="M27" s="9">
        <f t="shared" si="54"/>
        <v>0.43428195426879418</v>
      </c>
      <c r="N27" s="9">
        <f t="shared" si="54"/>
        <v>0.25708884688090688</v>
      </c>
      <c r="O27" s="9">
        <f t="shared" ref="O27:R27" si="55">(O5-O9)/O5</f>
        <v>0.29485500467726844</v>
      </c>
      <c r="P27" s="9">
        <f t="shared" si="55"/>
        <v>0.32999999999999996</v>
      </c>
      <c r="Q27" s="9">
        <f t="shared" si="55"/>
        <v>0.32999999999999996</v>
      </c>
      <c r="R27" s="9">
        <f t="shared" si="55"/>
        <v>0.32999999999999996</v>
      </c>
      <c r="U27" s="9">
        <f t="shared" ref="U27:AA27" si="56">(U5-U9)/U5</f>
        <v>0.56726521305401167</v>
      </c>
      <c r="V27" s="9">
        <f t="shared" si="56"/>
        <v>0.34256816182937549</v>
      </c>
      <c r="W27" s="9">
        <f t="shared" si="56"/>
        <v>0.36811639549436775</v>
      </c>
      <c r="X27" s="9">
        <f t="shared" si="56"/>
        <v>0.32265797948846214</v>
      </c>
      <c r="Y27" s="9">
        <f t="shared" si="56"/>
        <v>0.36</v>
      </c>
      <c r="Z27" s="9">
        <f t="shared" si="56"/>
        <v>0.30000000000000004</v>
      </c>
      <c r="AA27" s="9">
        <f t="shared" si="56"/>
        <v>0.30000000000000004</v>
      </c>
      <c r="AB27" s="9">
        <f t="shared" ref="AB27:AE27" si="57">(AB5-AB9)/AB5</f>
        <v>0.30000000000000004</v>
      </c>
      <c r="AC27" s="9">
        <f t="shared" si="57"/>
        <v>0.3000000000000001</v>
      </c>
      <c r="AD27" s="9">
        <f t="shared" si="57"/>
        <v>0.30000000000000004</v>
      </c>
      <c r="AE27" s="9">
        <f t="shared" si="57"/>
        <v>0.3</v>
      </c>
      <c r="AF27" s="9">
        <f t="shared" ref="AF27:AY27" si="58">(AF5-AF9)/AF5</f>
        <v>0.3</v>
      </c>
      <c r="AG27" s="9">
        <f t="shared" si="58"/>
        <v>0.3</v>
      </c>
      <c r="AH27" s="9">
        <f t="shared" si="58"/>
        <v>0.3000000000000001</v>
      </c>
      <c r="AI27" s="9">
        <f t="shared" si="58"/>
        <v>0.30000000000000004</v>
      </c>
      <c r="AJ27" s="9">
        <f t="shared" si="58"/>
        <v>0.3</v>
      </c>
      <c r="AK27" s="9">
        <f t="shared" si="58"/>
        <v>0.30000000000000004</v>
      </c>
      <c r="AL27" s="9">
        <f t="shared" si="58"/>
        <v>0.3000000000000001</v>
      </c>
      <c r="AM27" s="9">
        <f t="shared" si="58"/>
        <v>0.30000000000000004</v>
      </c>
      <c r="AN27" s="9">
        <f t="shared" si="58"/>
        <v>0.3000000000000001</v>
      </c>
      <c r="AO27" s="9">
        <f t="shared" si="58"/>
        <v>0.3</v>
      </c>
      <c r="AP27" s="9">
        <f t="shared" si="58"/>
        <v>0.30000000000000004</v>
      </c>
      <c r="AQ27" s="9">
        <f t="shared" si="58"/>
        <v>0.3000000000000001</v>
      </c>
      <c r="AR27" s="9">
        <f t="shared" si="58"/>
        <v>0.30000000000000004</v>
      </c>
      <c r="AS27" s="9">
        <f t="shared" si="58"/>
        <v>0.30000000000000004</v>
      </c>
      <c r="AT27" s="9">
        <f t="shared" si="58"/>
        <v>0.3000000000000001</v>
      </c>
      <c r="AU27" s="9">
        <f t="shared" si="58"/>
        <v>0.30000000000000004</v>
      </c>
      <c r="AV27" s="9">
        <f t="shared" si="58"/>
        <v>0.3000000000000001</v>
      </c>
      <c r="AW27" s="9">
        <f t="shared" si="58"/>
        <v>0.30000000000000004</v>
      </c>
      <c r="AX27" s="9">
        <f t="shared" si="58"/>
        <v>0.3</v>
      </c>
      <c r="AY27" s="9">
        <f t="shared" si="58"/>
        <v>0.30000000000000004</v>
      </c>
    </row>
    <row r="28" spans="2:90" s="8" customFormat="1" x14ac:dyDescent="0.3">
      <c r="B28" s="8" t="s">
        <v>36</v>
      </c>
      <c r="C28" s="9">
        <f t="shared" ref="C28:N28" si="59">C11/C6</f>
        <v>0.23688064437393222</v>
      </c>
      <c r="D28" s="9">
        <f t="shared" si="59"/>
        <v>0.25826014818205228</v>
      </c>
      <c r="E28" s="9">
        <f t="shared" si="59"/>
        <v>0.19945002062422659</v>
      </c>
      <c r="F28" s="17">
        <f t="shared" si="59"/>
        <v>0.21003963011889074</v>
      </c>
      <c r="G28" s="9">
        <f t="shared" si="59"/>
        <v>0.22752406813132561</v>
      </c>
      <c r="H28" s="9">
        <f t="shared" si="59"/>
        <v>0.192031503358814</v>
      </c>
      <c r="I28" s="9">
        <f t="shared" si="59"/>
        <v>0.24688624411846116</v>
      </c>
      <c r="J28" s="9">
        <f t="shared" si="59"/>
        <v>0.22035265499552595</v>
      </c>
      <c r="K28" s="9">
        <f t="shared" si="59"/>
        <v>0.14831011968199131</v>
      </c>
      <c r="L28" s="9">
        <f t="shared" si="59"/>
        <v>0.16763011118088125</v>
      </c>
      <c r="M28" s="9">
        <f t="shared" si="59"/>
        <v>0.18095435651542591</v>
      </c>
      <c r="N28" s="9">
        <f t="shared" si="59"/>
        <v>0.21587667181406567</v>
      </c>
      <c r="O28" s="9">
        <f t="shared" ref="O28:R28" si="60">O11/O6</f>
        <v>0.23483042374836574</v>
      </c>
      <c r="P28" s="9">
        <f t="shared" si="60"/>
        <v>0.25402608115302999</v>
      </c>
      <c r="Q28" s="9">
        <f t="shared" si="60"/>
        <v>0.24847458302725911</v>
      </c>
      <c r="R28" s="9">
        <f t="shared" si="60"/>
        <v>0.2439147024971752</v>
      </c>
      <c r="U28" s="9">
        <f t="shared" ref="U28:AA28" si="61">U11/U6</f>
        <v>0.22492320294900683</v>
      </c>
      <c r="V28" s="9">
        <f t="shared" si="61"/>
        <v>0.22212310066969301</v>
      </c>
      <c r="W28" s="9">
        <f t="shared" si="61"/>
        <v>0.18358064833131804</v>
      </c>
      <c r="X28" s="9">
        <f t="shared" si="61"/>
        <v>0.24574351795641336</v>
      </c>
      <c r="Y28" s="9">
        <f t="shared" si="61"/>
        <v>0.25697338533859271</v>
      </c>
      <c r="Z28" s="9">
        <f t="shared" si="61"/>
        <v>0.24895655462973568</v>
      </c>
      <c r="AA28" s="9">
        <f t="shared" si="61"/>
        <v>0.25517727481629382</v>
      </c>
      <c r="AB28" s="9">
        <f t="shared" ref="AB28:AE28" si="62">AB11/AB6</f>
        <v>0.26727840700241956</v>
      </c>
      <c r="AC28" s="9">
        <f t="shared" si="62"/>
        <v>0.27912933620484504</v>
      </c>
      <c r="AD28" s="9">
        <f t="shared" si="62"/>
        <v>0.29061898739016462</v>
      </c>
      <c r="AE28" s="9">
        <f t="shared" si="62"/>
        <v>0.29470695888992487</v>
      </c>
      <c r="AF28" s="9">
        <f t="shared" ref="AF28:AY28" si="63">AF11/AF6</f>
        <v>0.29507072557626934</v>
      </c>
      <c r="AG28" s="9">
        <f t="shared" si="63"/>
        <v>0.29543408641518637</v>
      </c>
      <c r="AH28" s="9">
        <f t="shared" si="63"/>
        <v>0.29579692290029597</v>
      </c>
      <c r="AI28" s="9">
        <f t="shared" si="63"/>
        <v>0.29615911289590446</v>
      </c>
      <c r="AJ28" s="9">
        <f t="shared" si="63"/>
        <v>0.29652053065317474</v>
      </c>
      <c r="AK28" s="9">
        <f t="shared" si="63"/>
        <v>0.29688104683624805</v>
      </c>
      <c r="AL28" s="9">
        <f t="shared" si="63"/>
        <v>0.29724052855889382</v>
      </c>
      <c r="AM28" s="9">
        <f t="shared" si="63"/>
        <v>0.29759883943227367</v>
      </c>
      <c r="AN28" s="9">
        <f t="shared" si="63"/>
        <v>0.29795583962438932</v>
      </c>
      <c r="AO28" s="9">
        <f t="shared" si="63"/>
        <v>0.29831138593176842</v>
      </c>
      <c r="AP28" s="9">
        <f t="shared" si="63"/>
        <v>0.29866533186392957</v>
      </c>
      <c r="AQ28" s="9">
        <f t="shared" si="63"/>
        <v>0.29901752774113843</v>
      </c>
      <c r="AR28" s="9">
        <f t="shared" si="63"/>
        <v>0.29936782080593927</v>
      </c>
      <c r="AS28" s="9">
        <f t="shared" si="63"/>
        <v>0.29971605534891271</v>
      </c>
      <c r="AT28" s="9">
        <f t="shared" si="63"/>
        <v>0.30006207284906794</v>
      </c>
      <c r="AU28" s="9">
        <f t="shared" si="63"/>
        <v>0.30040571212923095</v>
      </c>
      <c r="AV28" s="9">
        <f t="shared" si="63"/>
        <v>0.30074680952673877</v>
      </c>
      <c r="AW28" s="9">
        <f t="shared" si="63"/>
        <v>0.30108519907968956</v>
      </c>
      <c r="AX28" s="9">
        <f t="shared" si="63"/>
        <v>0.30142071272893267</v>
      </c>
      <c r="AY28" s="9">
        <f t="shared" si="63"/>
        <v>0.30175318053591177</v>
      </c>
    </row>
    <row r="29" spans="2:90" s="8" customFormat="1" x14ac:dyDescent="0.3">
      <c r="B29" s="8" t="s">
        <v>37</v>
      </c>
      <c r="C29" s="9">
        <f>C15/C6</f>
        <v>-0.90163534293385394</v>
      </c>
      <c r="D29" s="9">
        <f t="shared" ref="D29:N29" si="64">D15/D6</f>
        <v>-0.67311268129416146</v>
      </c>
      <c r="E29" s="9">
        <f t="shared" si="64"/>
        <v>-0.89619139282276916</v>
      </c>
      <c r="F29" s="17">
        <f t="shared" si="64"/>
        <v>-0.83317607095678359</v>
      </c>
      <c r="G29" s="9">
        <f t="shared" si="64"/>
        <v>-1.1478153542335223</v>
      </c>
      <c r="H29" s="9">
        <f t="shared" si="64"/>
        <v>-1.3237112667272499</v>
      </c>
      <c r="I29" s="9">
        <f t="shared" si="64"/>
        <v>-1.0044592059538087</v>
      </c>
      <c r="J29" s="9">
        <f t="shared" si="64"/>
        <v>-0.99986135793599729</v>
      </c>
      <c r="K29" s="9">
        <f t="shared" si="64"/>
        <v>-1.100412823245501</v>
      </c>
      <c r="L29" s="9">
        <f t="shared" si="64"/>
        <v>-0.83450301037934471</v>
      </c>
      <c r="M29" s="9">
        <f t="shared" si="64"/>
        <v>-0.66441148546764428</v>
      </c>
      <c r="N29" s="9">
        <f t="shared" si="64"/>
        <v>-0.51236684377208319</v>
      </c>
      <c r="O29" s="9">
        <f t="shared" ref="O29:R29" si="65">O15/O6</f>
        <v>-0.61464277474428974</v>
      </c>
      <c r="P29" s="9">
        <f t="shared" si="65"/>
        <v>-0.45211976233505557</v>
      </c>
      <c r="Q29" s="9">
        <f t="shared" si="65"/>
        <v>-0.35202621393047961</v>
      </c>
      <c r="R29" s="9">
        <f t="shared" si="65"/>
        <v>-0.25760228101724497</v>
      </c>
      <c r="U29" s="9">
        <f t="shared" ref="U29:AA29" si="66">U15/U6</f>
        <v>-0.82594033722438376</v>
      </c>
      <c r="V29" s="9">
        <f t="shared" si="66"/>
        <v>-1.1013833680489278</v>
      </c>
      <c r="W29" s="9">
        <f t="shared" si="66"/>
        <v>-0.73015676338513202</v>
      </c>
      <c r="X29" s="9">
        <f t="shared" si="66"/>
        <v>-0.39055531544645444</v>
      </c>
      <c r="Y29" s="9">
        <f t="shared" si="66"/>
        <v>-0.19684820309482179</v>
      </c>
      <c r="Z29" s="9">
        <f t="shared" si="66"/>
        <v>-9.0616902466063465E-2</v>
      </c>
      <c r="AA29" s="9">
        <f t="shared" si="66"/>
        <v>-2.5511024591627122E-2</v>
      </c>
      <c r="AB29" s="9">
        <f t="shared" ref="AB29:AE29" si="67">AB15/AB6</f>
        <v>2.8402575886846339E-2</v>
      </c>
      <c r="AC29" s="9">
        <f t="shared" si="67"/>
        <v>7.3409367205755111E-2</v>
      </c>
      <c r="AD29" s="9">
        <f t="shared" si="67"/>
        <v>0.1111536384396179</v>
      </c>
      <c r="AE29" s="9">
        <f t="shared" si="67"/>
        <v>0.13732886584979315</v>
      </c>
      <c r="AF29" s="9">
        <f t="shared" ref="AF29:AY29" si="68">AF15/AF6</f>
        <v>0.13954906026024669</v>
      </c>
      <c r="AG29" s="9">
        <f t="shared" si="68"/>
        <v>0.14150725911644407</v>
      </c>
      <c r="AH29" s="9">
        <f t="shared" si="68"/>
        <v>0.14320405272350001</v>
      </c>
      <c r="AI29" s="9">
        <f t="shared" si="68"/>
        <v>0.1446396862116035</v>
      </c>
      <c r="AJ29" s="9">
        <f t="shared" si="68"/>
        <v>0.14581406411876752</v>
      </c>
      <c r="AK29" s="9">
        <f t="shared" si="68"/>
        <v>0.14672675491882212</v>
      </c>
      <c r="AL29" s="9">
        <f t="shared" si="68"/>
        <v>0.14737699552140468</v>
      </c>
      <c r="AM29" s="9">
        <f t="shared" si="68"/>
        <v>0.14776369577070755</v>
      </c>
      <c r="AN29" s="9">
        <f t="shared" si="68"/>
        <v>0.14788544296965755</v>
      </c>
      <c r="AO29" s="9">
        <f t="shared" si="68"/>
        <v>0.14774050645602954</v>
      </c>
      <c r="AP29" s="9">
        <f t="shared" si="68"/>
        <v>0.14732684225673692</v>
      </c>
      <c r="AQ29" s="9">
        <f t="shared" si="68"/>
        <v>0.146642097846162</v>
      </c>
      <c r="AR29" s="9">
        <f t="shared" si="68"/>
        <v>0.14568361703389579</v>
      </c>
      <c r="AS29" s="9">
        <f t="shared" si="68"/>
        <v>0.14444844500663373</v>
      </c>
      <c r="AT29" s="9">
        <f t="shared" si="68"/>
        <v>0.14293333354820803</v>
      </c>
      <c r="AU29" s="9">
        <f t="shared" si="68"/>
        <v>0.14113474646082119</v>
      </c>
      <c r="AV29" s="9">
        <f t="shared" si="68"/>
        <v>0.13904886520947432</v>
      </c>
      <c r="AW29" s="9">
        <f t="shared" si="68"/>
        <v>0.13667159481034241</v>
      </c>
      <c r="AX29" s="9">
        <f t="shared" si="68"/>
        <v>0.13399856998243309</v>
      </c>
      <c r="AY29" s="9">
        <f t="shared" si="68"/>
        <v>0.131025161580273</v>
      </c>
    </row>
    <row r="30" spans="2:90" s="8" customFormat="1" x14ac:dyDescent="0.3">
      <c r="B30" s="8" t="s">
        <v>38</v>
      </c>
      <c r="C30" s="9">
        <f>C20/C6</f>
        <v>-0.93461679277520116</v>
      </c>
      <c r="D30" s="9">
        <f t="shared" ref="D30:N30" si="69">D20/D6</f>
        <v>-0.68000686557770973</v>
      </c>
      <c r="E30" s="9">
        <f t="shared" si="69"/>
        <v>-0.92314038223566608</v>
      </c>
      <c r="F30" s="17">
        <f t="shared" si="69"/>
        <v>-0.85223627099452659</v>
      </c>
      <c r="G30" s="9">
        <f t="shared" si="69"/>
        <v>-1.1848432485805971</v>
      </c>
      <c r="H30" s="9">
        <f t="shared" si="69"/>
        <v>-1.3277917357139035</v>
      </c>
      <c r="I30" s="9">
        <f t="shared" si="69"/>
        <v>-1.0304302364916813</v>
      </c>
      <c r="J30" s="9">
        <f t="shared" si="69"/>
        <v>-0.97252366367955989</v>
      </c>
      <c r="K30" s="9">
        <f t="shared" si="69"/>
        <v>-1.093209853858121</v>
      </c>
      <c r="L30" s="9">
        <f t="shared" si="69"/>
        <v>-0.85601891183097567</v>
      </c>
      <c r="M30" s="9">
        <f t="shared" si="69"/>
        <v>-0.67400132438707205</v>
      </c>
      <c r="N30" s="9">
        <f t="shared" si="69"/>
        <v>-0.51470934645483757</v>
      </c>
      <c r="O30" s="9">
        <f t="shared" ref="O30:R30" si="70">O20/O6</f>
        <v>-0.61053603014688906</v>
      </c>
      <c r="P30" s="9">
        <f t="shared" si="70"/>
        <v>-0.45836884059601207</v>
      </c>
      <c r="Q30" s="9">
        <f t="shared" si="70"/>
        <v>-0.35461457943460778</v>
      </c>
      <c r="R30" s="9">
        <f t="shared" si="70"/>
        <v>-0.25970949523369213</v>
      </c>
      <c r="U30" s="9">
        <f t="shared" ref="U30:AA30" si="71">U20/U6</f>
        <v>-0.84717045532118218</v>
      </c>
      <c r="V30" s="9">
        <f t="shared" si="71"/>
        <v>-1.1065658116395438</v>
      </c>
      <c r="W30" s="9">
        <f t="shared" si="71"/>
        <v>-0.73721090208376949</v>
      </c>
      <c r="X30" s="9">
        <f t="shared" si="71"/>
        <v>-0.39258999719363818</v>
      </c>
      <c r="Y30" s="9">
        <f t="shared" si="71"/>
        <v>-0.19684820309482179</v>
      </c>
      <c r="Z30" s="9">
        <f t="shared" si="71"/>
        <v>-9.0616902466063465E-2</v>
      </c>
      <c r="AA30" s="9">
        <f t="shared" si="71"/>
        <v>-2.5511024591627122E-2</v>
      </c>
      <c r="AB30" s="9">
        <f t="shared" ref="AB30:AE30" si="72">AB20/AB6</f>
        <v>2.8402575886846339E-2</v>
      </c>
      <c r="AC30" s="9">
        <f t="shared" si="72"/>
        <v>5.8727493764604087E-2</v>
      </c>
      <c r="AD30" s="9">
        <f t="shared" si="72"/>
        <v>8.8922910751694326E-2</v>
      </c>
      <c r="AE30" s="9">
        <f t="shared" si="72"/>
        <v>0.10986309267983453</v>
      </c>
      <c r="AF30" s="9">
        <f t="shared" ref="AF30:AY30" si="73">AF20/AF6</f>
        <v>0.11163924820819736</v>
      </c>
      <c r="AG30" s="9">
        <f t="shared" si="73"/>
        <v>0.11320580729315527</v>
      </c>
      <c r="AH30" s="9">
        <f t="shared" si="73"/>
        <v>0.1145632421788</v>
      </c>
      <c r="AI30" s="9">
        <f t="shared" si="73"/>
        <v>0.11571174896928281</v>
      </c>
      <c r="AJ30" s="9">
        <f t="shared" si="73"/>
        <v>0.11665125129501401</v>
      </c>
      <c r="AK30" s="9">
        <f t="shared" si="73"/>
        <v>0.11738140393505769</v>
      </c>
      <c r="AL30" s="9">
        <f t="shared" si="73"/>
        <v>0.11790159641712374</v>
      </c>
      <c r="AM30" s="9">
        <f t="shared" si="73"/>
        <v>0.11821095661656604</v>
      </c>
      <c r="AN30" s="9">
        <f t="shared" si="73"/>
        <v>0.11830835437572605</v>
      </c>
      <c r="AO30" s="9">
        <f t="shared" si="73"/>
        <v>0.11819240516482363</v>
      </c>
      <c r="AP30" s="9">
        <f t="shared" si="73"/>
        <v>0.11786147380538954</v>
      </c>
      <c r="AQ30" s="9">
        <f t="shared" si="73"/>
        <v>0.11731367827692961</v>
      </c>
      <c r="AR30" s="9">
        <f t="shared" si="73"/>
        <v>0.11654689362711662</v>
      </c>
      <c r="AS30" s="9">
        <f t="shared" si="73"/>
        <v>0.11555875600530699</v>
      </c>
      <c r="AT30" s="9">
        <f t="shared" si="73"/>
        <v>0.11434666683856644</v>
      </c>
      <c r="AU30" s="9">
        <f t="shared" si="73"/>
        <v>0.11290779716865695</v>
      </c>
      <c r="AV30" s="9">
        <f t="shared" si="73"/>
        <v>0.11123909216757948</v>
      </c>
      <c r="AW30" s="9">
        <f t="shared" si="73"/>
        <v>0.10933727584827393</v>
      </c>
      <c r="AX30" s="9">
        <f t="shared" si="73"/>
        <v>0.10719885598594649</v>
      </c>
      <c r="AY30" s="9">
        <f t="shared" si="73"/>
        <v>0.10482012926421838</v>
      </c>
    </row>
    <row r="31" spans="2:90" s="10" customFormat="1" x14ac:dyDescent="0.3">
      <c r="B31" s="10" t="s">
        <v>39</v>
      </c>
      <c r="C31" s="9">
        <f>C19/C18</f>
        <v>-1.8642072213500788E-3</v>
      </c>
      <c r="D31" s="9">
        <f t="shared" ref="D31:N31" si="74">D19/D18</f>
        <v>-2.0233528643088983E-3</v>
      </c>
      <c r="E31" s="9">
        <f t="shared" si="74"/>
        <v>-2.9278202676864245E-3</v>
      </c>
      <c r="F31" s="17">
        <f t="shared" si="74"/>
        <v>-5.5107152797105518E-3</v>
      </c>
      <c r="G31" s="9">
        <f t="shared" si="74"/>
        <v>-7.9232693911592998E-4</v>
      </c>
      <c r="H31" s="9">
        <f t="shared" si="74"/>
        <v>-8.7304572073282133E-4</v>
      </c>
      <c r="I31" s="9">
        <f t="shared" si="74"/>
        <v>4.6638050113624553E-3</v>
      </c>
      <c r="J31" s="9">
        <f t="shared" si="74"/>
        <v>3.4038557836755148E-2</v>
      </c>
      <c r="K31" s="9">
        <f t="shared" si="74"/>
        <v>2.0438180540920267E-2</v>
      </c>
      <c r="L31" s="9">
        <f t="shared" si="74"/>
        <v>4.2108881536544488E-3</v>
      </c>
      <c r="M31" s="9">
        <f t="shared" si="74"/>
        <v>5.2047761475236109E-3</v>
      </c>
      <c r="N31" s="9">
        <f t="shared" si="74"/>
        <v>-6.7705067001139155E-3</v>
      </c>
      <c r="O31" s="9">
        <f t="shared" ref="O31:R31" si="75">O19/O18</f>
        <v>5.3498715780241806E-3</v>
      </c>
      <c r="P31" s="9">
        <f t="shared" si="75"/>
        <v>1.344992951698936E-2</v>
      </c>
      <c r="Q31" s="9">
        <f t="shared" si="75"/>
        <v>1.4388149068648637E-2</v>
      </c>
      <c r="R31" s="9">
        <f t="shared" si="75"/>
        <v>1.5968345629092537E-2</v>
      </c>
      <c r="U31" s="9">
        <f t="shared" ref="U31:AA31" si="76">U19/U18</f>
        <v>-3.2416876177233816E-3</v>
      </c>
      <c r="V31" s="9">
        <f t="shared" si="76"/>
        <v>1.0867186659693866E-2</v>
      </c>
      <c r="W31" s="9">
        <f t="shared" si="76"/>
        <v>6.2404427921013902E-3</v>
      </c>
      <c r="X31" s="9">
        <f t="shared" si="76"/>
        <v>1.197036421448615E-2</v>
      </c>
      <c r="Y31" s="9">
        <f t="shared" si="76"/>
        <v>0</v>
      </c>
      <c r="Z31" s="9">
        <f t="shared" si="76"/>
        <v>0</v>
      </c>
      <c r="AA31" s="9">
        <f t="shared" si="76"/>
        <v>0</v>
      </c>
      <c r="AB31" s="9">
        <f t="shared" ref="AB31:AE31" si="77">AB19/AB18</f>
        <v>0</v>
      </c>
      <c r="AC31" s="9">
        <f t="shared" si="77"/>
        <v>0.19999999999999998</v>
      </c>
      <c r="AD31" s="9">
        <f t="shared" si="77"/>
        <v>0.2</v>
      </c>
      <c r="AE31" s="9">
        <f t="shared" si="77"/>
        <v>0.2</v>
      </c>
      <c r="AF31" s="9">
        <f t="shared" ref="AF31:AY31" si="78">AF19/AF18</f>
        <v>0.2</v>
      </c>
      <c r="AG31" s="9">
        <f t="shared" si="78"/>
        <v>0.2</v>
      </c>
      <c r="AH31" s="9">
        <f t="shared" si="78"/>
        <v>0.2</v>
      </c>
      <c r="AI31" s="9">
        <f t="shared" si="78"/>
        <v>0.19999999999999998</v>
      </c>
      <c r="AJ31" s="9">
        <f t="shared" si="78"/>
        <v>0.2</v>
      </c>
      <c r="AK31" s="9">
        <f t="shared" si="78"/>
        <v>0.2</v>
      </c>
      <c r="AL31" s="9">
        <f t="shared" si="78"/>
        <v>0.2</v>
      </c>
      <c r="AM31" s="9">
        <f t="shared" si="78"/>
        <v>0.2</v>
      </c>
      <c r="AN31" s="9">
        <f t="shared" si="78"/>
        <v>0.2</v>
      </c>
      <c r="AO31" s="9">
        <f t="shared" si="78"/>
        <v>0.2</v>
      </c>
      <c r="AP31" s="9">
        <f t="shared" si="78"/>
        <v>0.19999999999999998</v>
      </c>
      <c r="AQ31" s="9">
        <f t="shared" si="78"/>
        <v>0.19999999999999998</v>
      </c>
      <c r="AR31" s="9">
        <f t="shared" si="78"/>
        <v>0.20000000000000004</v>
      </c>
      <c r="AS31" s="9">
        <f t="shared" si="78"/>
        <v>0.2</v>
      </c>
      <c r="AT31" s="9">
        <f t="shared" si="78"/>
        <v>0.2</v>
      </c>
      <c r="AU31" s="9">
        <f t="shared" si="78"/>
        <v>0.2</v>
      </c>
      <c r="AV31" s="9">
        <f t="shared" si="78"/>
        <v>0.2</v>
      </c>
      <c r="AW31" s="9">
        <f t="shared" si="78"/>
        <v>0.2</v>
      </c>
      <c r="AX31" s="9">
        <f t="shared" si="78"/>
        <v>0.2</v>
      </c>
      <c r="AY31" s="9">
        <f t="shared" si="78"/>
        <v>0.2</v>
      </c>
    </row>
    <row r="32" spans="2:90" s="8" customFormat="1" x14ac:dyDescent="0.3">
      <c r="B32" s="8" t="s">
        <v>40</v>
      </c>
      <c r="F32" s="18"/>
      <c r="G32" s="9">
        <f>G6/C6-1</f>
        <v>0.23596534049304374</v>
      </c>
      <c r="H32" s="9">
        <f t="shared" ref="H32:M32" si="79">H6/D6-1</f>
        <v>0.60542952770546665</v>
      </c>
      <c r="I32" s="9">
        <f t="shared" si="79"/>
        <v>0.78836793620239254</v>
      </c>
      <c r="J32" s="9">
        <f t="shared" si="79"/>
        <v>0.87160313266654055</v>
      </c>
      <c r="K32" s="9">
        <f t="shared" si="79"/>
        <v>1.0151320661565046</v>
      </c>
      <c r="L32" s="9">
        <f t="shared" si="79"/>
        <v>0.92961636464068698</v>
      </c>
      <c r="M32" s="9">
        <f t="shared" si="79"/>
        <v>0.92731494295291661</v>
      </c>
      <c r="N32" s="9">
        <f>N6/J6-1</f>
        <v>0.92621721430281978</v>
      </c>
      <c r="O32" s="9">
        <f>O6/K6-1</f>
        <v>0.59286073034189579</v>
      </c>
      <c r="P32" s="9">
        <f t="shared" ref="P32:R32" si="80">P6/L6-1</f>
        <v>0.47770472426402666</v>
      </c>
      <c r="Q32" s="9">
        <f t="shared" si="80"/>
        <v>0.54117248147054853</v>
      </c>
      <c r="R32" s="9">
        <f t="shared" si="80"/>
        <v>0.55259572853142092</v>
      </c>
      <c r="U32" s="9"/>
      <c r="V32" s="9">
        <f t="shared" ref="V32:AA32" si="81">V6/U6-1</f>
        <v>0.6452044508157555</v>
      </c>
      <c r="W32" s="9">
        <f t="shared" si="81"/>
        <v>0.94225040040496899</v>
      </c>
      <c r="X32" s="9">
        <f t="shared" si="81"/>
        <v>0.53923314547932688</v>
      </c>
      <c r="Y32" s="9">
        <f t="shared" si="81"/>
        <v>0.43289394755739652</v>
      </c>
      <c r="Z32" s="9">
        <f t="shared" si="81"/>
        <v>0.36673945698233346</v>
      </c>
      <c r="AA32" s="9">
        <f t="shared" si="81"/>
        <v>0.23807569422514896</v>
      </c>
      <c r="AB32" s="9">
        <f t="shared" ref="AB32:AE32" si="82">AB6/AA6-1</f>
        <v>0.20337327770461888</v>
      </c>
      <c r="AC32" s="9">
        <f t="shared" si="82"/>
        <v>0.20875922548604553</v>
      </c>
      <c r="AD32" s="9">
        <f t="shared" si="82"/>
        <v>0.21499479050519632</v>
      </c>
      <c r="AE32" s="9">
        <f t="shared" si="82"/>
        <v>0.22218264561952084</v>
      </c>
      <c r="AF32" s="9">
        <f t="shared" ref="AF32:AY32" si="83">AF6/AE6-1</f>
        <v>8.6334236760305494E-2</v>
      </c>
      <c r="AG32" s="9">
        <f t="shared" si="83"/>
        <v>8.6475052332132041E-2</v>
      </c>
      <c r="AH32" s="9">
        <f t="shared" si="83"/>
        <v>8.6619186576915475E-2</v>
      </c>
      <c r="AI32" s="9">
        <f t="shared" si="83"/>
        <v>8.6766690037235694E-2</v>
      </c>
      <c r="AJ32" s="9">
        <f t="shared" si="83"/>
        <v>8.6917612026110369E-2</v>
      </c>
      <c r="AK32" s="9">
        <f t="shared" si="83"/>
        <v>8.7072000481961842E-2</v>
      </c>
      <c r="AL32" s="9">
        <f t="shared" si="83"/>
        <v>8.7229901818590694E-2</v>
      </c>
      <c r="AM32" s="9">
        <f t="shared" si="83"/>
        <v>8.7391360770371795E-2</v>
      </c>
      <c r="AN32" s="9">
        <f t="shared" si="83"/>
        <v>8.7556420232905552E-2</v>
      </c>
      <c r="AO32" s="9">
        <f t="shared" si="83"/>
        <v>8.7725121099413439E-2</v>
      </c>
      <c r="AP32" s="9">
        <f t="shared" si="83"/>
        <v>8.7897502093200464E-2</v>
      </c>
      <c r="AQ32" s="9">
        <f t="shared" si="83"/>
        <v>8.8073599596557139E-2</v>
      </c>
      <c r="AR32" s="9">
        <f t="shared" si="83"/>
        <v>8.8253447476514202E-2</v>
      </c>
      <c r="AS32" s="9">
        <f t="shared" si="83"/>
        <v>8.8437076907912804E-2</v>
      </c>
      <c r="AT32" s="9">
        <f t="shared" si="83"/>
        <v>8.8624516194301339E-2</v>
      </c>
      <c r="AU32" s="9">
        <f t="shared" si="83"/>
        <v>8.8815790587212229E-2</v>
      </c>
      <c r="AV32" s="9">
        <f t="shared" si="83"/>
        <v>8.9010922104428847E-2</v>
      </c>
      <c r="AW32" s="9">
        <f t="shared" si="83"/>
        <v>8.9209929347890959E-2</v>
      </c>
      <c r="AX32" s="9">
        <f t="shared" si="83"/>
        <v>8.9412827321943444E-2</v>
      </c>
      <c r="AY32" s="9">
        <f t="shared" si="83"/>
        <v>8.961962725266992E-2</v>
      </c>
    </row>
    <row r="38" spans="9:9" x14ac:dyDescent="0.3">
      <c r="I3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Szewczyk</dc:creator>
  <cp:lastModifiedBy>Sebastian Szewczyk</cp:lastModifiedBy>
  <dcterms:created xsi:type="dcterms:W3CDTF">2023-05-07T10:34:31Z</dcterms:created>
  <dcterms:modified xsi:type="dcterms:W3CDTF">2024-09-08T20:31:47Z</dcterms:modified>
</cp:coreProperties>
</file>