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5" documentId="13_ncr:1_{CC9736C5-EDC7-4927-BCDE-1F89C0FDA101}" xr6:coauthVersionLast="47" xr6:coauthVersionMax="47" xr10:uidLastSave="{C11AC7B2-4F29-4538-9205-BBA1E1DA6B33}"/>
  <bookViews>
    <workbookView xWindow="-120" yWindow="-120" windowWidth="38640" windowHeight="21120" activeTab="1" xr2:uid="{E0B65F3A-2957-48EE-9659-3D6847DFF316}"/>
  </bookViews>
  <sheets>
    <sheet name="Main" sheetId="1" r:id="rId1"/>
    <sheet name="Model" sheetId="2" r:id="rId2"/>
  </sheets>
  <definedNames>
    <definedName name="IR">Main!$B$3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3" i="2" l="1"/>
  <c r="AW38" i="2"/>
  <c r="AV38" i="2"/>
  <c r="AT38" i="2"/>
  <c r="AU38" i="2" s="1"/>
  <c r="AM38" i="2"/>
  <c r="AL38" i="2"/>
  <c r="AK38" i="2"/>
  <c r="AJ38" i="2"/>
  <c r="AI38" i="2"/>
  <c r="AF28" i="2"/>
  <c r="AE28" i="2"/>
  <c r="V46" i="2"/>
  <c r="U46" i="2"/>
  <c r="T46" i="2"/>
  <c r="S46" i="2"/>
  <c r="R46" i="2"/>
  <c r="Q46" i="2"/>
  <c r="P46" i="2"/>
  <c r="AE38" i="2"/>
  <c r="Q3" i="2"/>
  <c r="P3" i="2"/>
  <c r="AF38" i="2" l="1"/>
  <c r="AB39" i="2" l="1"/>
  <c r="Z44" i="2"/>
  <c r="P33" i="2"/>
  <c r="O33" i="2"/>
  <c r="P28" i="2"/>
  <c r="AB46" i="2"/>
  <c r="AB45" i="2"/>
  <c r="AB44" i="2"/>
  <c r="AB43" i="2"/>
  <c r="AB42" i="2"/>
  <c r="AB38" i="2"/>
  <c r="AB37" i="2"/>
  <c r="AB36" i="2"/>
  <c r="AB35" i="2"/>
  <c r="AB34" i="2"/>
  <c r="AB33" i="2"/>
  <c r="AB32" i="2"/>
  <c r="AB31" i="2"/>
  <c r="AB30" i="2"/>
  <c r="AB29" i="2"/>
  <c r="AB28" i="2"/>
  <c r="AA46" i="2"/>
  <c r="AA45" i="2"/>
  <c r="AA44" i="2"/>
  <c r="AA43" i="2"/>
  <c r="AA42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Z45" i="2"/>
  <c r="F37" i="2"/>
  <c r="Z43" i="2"/>
  <c r="Z42" i="2"/>
  <c r="Z37" i="2"/>
  <c r="Z36" i="2"/>
  <c r="Z35" i="2"/>
  <c r="Z34" i="2"/>
  <c r="Z33" i="2"/>
  <c r="Z32" i="2"/>
  <c r="Z31" i="2"/>
  <c r="Z30" i="2"/>
  <c r="Z29" i="2"/>
  <c r="Z28" i="2"/>
  <c r="Q28" i="2"/>
  <c r="C26" i="2"/>
  <c r="C19" i="2"/>
  <c r="C23" i="2" s="1"/>
  <c r="C13" i="2"/>
  <c r="C18" i="2" s="1"/>
  <c r="C8" i="2"/>
  <c r="C12" i="2" s="1"/>
  <c r="C3" i="2"/>
  <c r="C7" i="2" s="1"/>
  <c r="C30" i="2"/>
  <c r="C42" i="2" s="1"/>
  <c r="D26" i="2"/>
  <c r="D19" i="2"/>
  <c r="D23" i="2" s="1"/>
  <c r="D13" i="2"/>
  <c r="D18" i="2" s="1"/>
  <c r="D8" i="2"/>
  <c r="D12" i="2" s="1"/>
  <c r="D3" i="2"/>
  <c r="D7" i="2" s="1"/>
  <c r="D30" i="2"/>
  <c r="D42" i="2" s="1"/>
  <c r="E7" i="2"/>
  <c r="E26" i="2"/>
  <c r="E19" i="2"/>
  <c r="E23" i="2" s="1"/>
  <c r="E13" i="2"/>
  <c r="E18" i="2" s="1"/>
  <c r="E8" i="2"/>
  <c r="E12" i="2" s="1"/>
  <c r="E3" i="2"/>
  <c r="E45" i="2"/>
  <c r="E44" i="2"/>
  <c r="E43" i="2"/>
  <c r="E42" i="2"/>
  <c r="F24" i="2"/>
  <c r="F22" i="2"/>
  <c r="F21" i="2"/>
  <c r="F20" i="2"/>
  <c r="F17" i="2"/>
  <c r="F16" i="2"/>
  <c r="F15" i="2"/>
  <c r="F11" i="2"/>
  <c r="F6" i="2"/>
  <c r="E30" i="2"/>
  <c r="E33" i="2" s="1"/>
  <c r="E36" i="2" s="1"/>
  <c r="E38" i="2" s="1"/>
  <c r="E39" i="2" s="1"/>
  <c r="K46" i="2"/>
  <c r="G46" i="2"/>
  <c r="L46" i="2"/>
  <c r="M46" i="2"/>
  <c r="F14" i="2"/>
  <c r="F10" i="2"/>
  <c r="F9" i="2"/>
  <c r="F5" i="2"/>
  <c r="F4" i="2"/>
  <c r="F35" i="2"/>
  <c r="F34" i="2"/>
  <c r="F32" i="2"/>
  <c r="F31" i="2"/>
  <c r="F29" i="2"/>
  <c r="F28" i="2"/>
  <c r="G3" i="2"/>
  <c r="G7" i="2" s="1"/>
  <c r="G26" i="2"/>
  <c r="G19" i="2"/>
  <c r="G23" i="2" s="1"/>
  <c r="G13" i="2"/>
  <c r="G18" i="2" s="1"/>
  <c r="G8" i="2"/>
  <c r="G12" i="2" s="1"/>
  <c r="G45" i="2"/>
  <c r="G44" i="2"/>
  <c r="G43" i="2"/>
  <c r="G42" i="2"/>
  <c r="G30" i="2"/>
  <c r="G33" i="2" s="1"/>
  <c r="G36" i="2" s="1"/>
  <c r="G38" i="2" s="1"/>
  <c r="G39" i="2" s="1"/>
  <c r="H26" i="2"/>
  <c r="H19" i="2"/>
  <c r="H23" i="2" s="1"/>
  <c r="H13" i="2"/>
  <c r="H18" i="2" s="1"/>
  <c r="H8" i="2"/>
  <c r="H12" i="2" s="1"/>
  <c r="H3" i="2"/>
  <c r="H7" i="2" s="1"/>
  <c r="H30" i="2"/>
  <c r="H33" i="2"/>
  <c r="H36" i="2"/>
  <c r="H46" i="2"/>
  <c r="I26" i="2"/>
  <c r="I19" i="2"/>
  <c r="I23" i="2" s="1"/>
  <c r="I13" i="2"/>
  <c r="I18" i="2" s="1"/>
  <c r="I8" i="2"/>
  <c r="I12" i="2" s="1"/>
  <c r="I3" i="2"/>
  <c r="I7" i="2" s="1"/>
  <c r="I46" i="2"/>
  <c r="J34" i="2"/>
  <c r="I30" i="2"/>
  <c r="I33" i="2" s="1"/>
  <c r="J6" i="2"/>
  <c r="J11" i="2"/>
  <c r="J17" i="2"/>
  <c r="J22" i="2"/>
  <c r="J25" i="2"/>
  <c r="J24" i="2"/>
  <c r="J21" i="2"/>
  <c r="J20" i="2"/>
  <c r="J16" i="2"/>
  <c r="J15" i="2"/>
  <c r="J14" i="2"/>
  <c r="J10" i="2"/>
  <c r="J9" i="2"/>
  <c r="J5" i="2"/>
  <c r="J4" i="2"/>
  <c r="J28" i="2"/>
  <c r="J37" i="2"/>
  <c r="J35" i="2"/>
  <c r="J32" i="2"/>
  <c r="J31" i="2"/>
  <c r="J29" i="2"/>
  <c r="N8" i="2"/>
  <c r="N11" i="2"/>
  <c r="C17" i="1"/>
  <c r="K26" i="2"/>
  <c r="K19" i="2"/>
  <c r="K23" i="2" s="1"/>
  <c r="K13" i="2"/>
  <c r="K18" i="2" s="1"/>
  <c r="K8" i="2"/>
  <c r="K12" i="2" s="1"/>
  <c r="K3" i="2"/>
  <c r="K7" i="2" s="1"/>
  <c r="K86" i="2"/>
  <c r="K83" i="2"/>
  <c r="K79" i="2"/>
  <c r="K81" i="2" s="1"/>
  <c r="K73" i="2"/>
  <c r="L73" i="2" s="1"/>
  <c r="M73" i="2" s="1"/>
  <c r="N73" i="2" s="1"/>
  <c r="L86" i="2"/>
  <c r="M86" i="2" s="1"/>
  <c r="N86" i="2" s="1"/>
  <c r="L70" i="2"/>
  <c r="M70" i="2" s="1"/>
  <c r="N70" i="2" s="1"/>
  <c r="K64" i="2"/>
  <c r="K62" i="2"/>
  <c r="K61" i="2"/>
  <c r="K66" i="2" s="1"/>
  <c r="K55" i="2"/>
  <c r="K50" i="2"/>
  <c r="K56" i="2" s="1"/>
  <c r="K30" i="2"/>
  <c r="K42" i="2" s="1"/>
  <c r="L26" i="2"/>
  <c r="L19" i="2"/>
  <c r="L23" i="2" s="1"/>
  <c r="L13" i="2"/>
  <c r="L18" i="2" s="1"/>
  <c r="L8" i="2"/>
  <c r="L12" i="2" s="1"/>
  <c r="L3" i="2"/>
  <c r="L7" i="2" s="1"/>
  <c r="M3" i="2"/>
  <c r="M7" i="2" s="1"/>
  <c r="M8" i="2"/>
  <c r="M12" i="2" s="1"/>
  <c r="M13" i="2"/>
  <c r="M18" i="2" s="1"/>
  <c r="M19" i="2"/>
  <c r="M23" i="2" s="1"/>
  <c r="M26" i="2"/>
  <c r="L87" i="2"/>
  <c r="L85" i="2"/>
  <c r="M85" i="2" s="1"/>
  <c r="N85" i="2" s="1"/>
  <c r="L84" i="2"/>
  <c r="M84" i="2" s="1"/>
  <c r="N84" i="2" s="1"/>
  <c r="L78" i="2"/>
  <c r="M78" i="2" s="1"/>
  <c r="N78" i="2" s="1"/>
  <c r="L80" i="2"/>
  <c r="M80" i="2" s="1"/>
  <c r="N80" i="2" s="1"/>
  <c r="L75" i="2"/>
  <c r="M75" i="2" s="1"/>
  <c r="N75" i="2" s="1"/>
  <c r="L74" i="2"/>
  <c r="M74" i="2" s="1"/>
  <c r="N74" i="2" s="1"/>
  <c r="L72" i="2"/>
  <c r="M72" i="2" s="1"/>
  <c r="N72" i="2" s="1"/>
  <c r="L71" i="2"/>
  <c r="M71" i="2" s="1"/>
  <c r="N71" i="2" s="1"/>
  <c r="L64" i="2"/>
  <c r="L62" i="2"/>
  <c r="L61" i="2"/>
  <c r="L55" i="2"/>
  <c r="L50" i="2"/>
  <c r="L30" i="2"/>
  <c r="L42" i="2" s="1"/>
  <c r="N22" i="2"/>
  <c r="N21" i="2"/>
  <c r="N20" i="2"/>
  <c r="N17" i="2"/>
  <c r="N16" i="2"/>
  <c r="N5" i="2"/>
  <c r="N4" i="2"/>
  <c r="N10" i="2"/>
  <c r="N9" i="2"/>
  <c r="M61" i="2"/>
  <c r="M64" i="2"/>
  <c r="M62" i="2"/>
  <c r="M55" i="2"/>
  <c r="M50" i="2"/>
  <c r="M30" i="2"/>
  <c r="M33" i="2" s="1"/>
  <c r="N25" i="2"/>
  <c r="N24" i="2"/>
  <c r="N14" i="2"/>
  <c r="O26" i="2"/>
  <c r="N64" i="2"/>
  <c r="N62" i="2"/>
  <c r="N61" i="2"/>
  <c r="N55" i="2"/>
  <c r="N50" i="2"/>
  <c r="N37" i="2"/>
  <c r="N35" i="2"/>
  <c r="N34" i="2"/>
  <c r="N32" i="2"/>
  <c r="N31" i="2"/>
  <c r="N29" i="2"/>
  <c r="N28" i="2"/>
  <c r="O19" i="2"/>
  <c r="O23" i="2" s="1"/>
  <c r="O13" i="2"/>
  <c r="O18" i="2" s="1"/>
  <c r="O8" i="2"/>
  <c r="O12" i="2" s="1"/>
  <c r="O3" i="2"/>
  <c r="O7" i="2" s="1"/>
  <c r="O71" i="2"/>
  <c r="O86" i="2"/>
  <c r="O83" i="2"/>
  <c r="O79" i="2"/>
  <c r="O78" i="2"/>
  <c r="O73" i="2"/>
  <c r="O64" i="2"/>
  <c r="O62" i="2"/>
  <c r="O61" i="2"/>
  <c r="O55" i="2"/>
  <c r="O50" i="2"/>
  <c r="P43" i="2" l="1"/>
  <c r="P38" i="2"/>
  <c r="P45" i="2" s="1"/>
  <c r="AC28" i="2"/>
  <c r="R3" i="2"/>
  <c r="Q33" i="2"/>
  <c r="AC33" i="2" s="1"/>
  <c r="C33" i="2"/>
  <c r="D33" i="2"/>
  <c r="F19" i="2"/>
  <c r="F23" i="2" s="1"/>
  <c r="F8" i="2"/>
  <c r="F25" i="2"/>
  <c r="F26" i="2" s="1"/>
  <c r="F30" i="2"/>
  <c r="F42" i="2" s="1"/>
  <c r="F12" i="2"/>
  <c r="F13" i="2"/>
  <c r="F18" i="2" s="1"/>
  <c r="F3" i="2"/>
  <c r="F7" i="2" s="1"/>
  <c r="F33" i="2"/>
  <c r="J46" i="2"/>
  <c r="H43" i="2"/>
  <c r="H42" i="2"/>
  <c r="J26" i="2"/>
  <c r="I43" i="2"/>
  <c r="I36" i="2"/>
  <c r="I42" i="2"/>
  <c r="J19" i="2"/>
  <c r="J23" i="2" s="1"/>
  <c r="J13" i="2"/>
  <c r="J18" i="2" s="1"/>
  <c r="J8" i="2"/>
  <c r="J12" i="2" s="1"/>
  <c r="J3" i="2"/>
  <c r="J7" i="2" s="1"/>
  <c r="J30" i="2"/>
  <c r="J33" i="2" s="1"/>
  <c r="N46" i="2"/>
  <c r="K49" i="2"/>
  <c r="L56" i="2"/>
  <c r="K88" i="2"/>
  <c r="M56" i="2"/>
  <c r="L83" i="2"/>
  <c r="M83" i="2" s="1"/>
  <c r="N83" i="2" s="1"/>
  <c r="K76" i="2"/>
  <c r="L79" i="2"/>
  <c r="M79" i="2" s="1"/>
  <c r="M81" i="2" s="1"/>
  <c r="K90" i="2"/>
  <c r="L88" i="2"/>
  <c r="K33" i="2"/>
  <c r="K36" i="2" s="1"/>
  <c r="M87" i="2"/>
  <c r="N87" i="2" s="1"/>
  <c r="N88" i="2" s="1"/>
  <c r="L81" i="2"/>
  <c r="L76" i="2"/>
  <c r="L66" i="2"/>
  <c r="L49" i="2"/>
  <c r="L33" i="2"/>
  <c r="N15" i="2"/>
  <c r="N13" i="2" s="1"/>
  <c r="N18" i="2" s="1"/>
  <c r="N3" i="2"/>
  <c r="N6" i="2"/>
  <c r="M76" i="2"/>
  <c r="M66" i="2"/>
  <c r="M49" i="2"/>
  <c r="M42" i="2"/>
  <c r="M36" i="2"/>
  <c r="M43" i="2"/>
  <c r="N26" i="2"/>
  <c r="N19" i="2"/>
  <c r="N23" i="2" s="1"/>
  <c r="N12" i="2"/>
  <c r="N30" i="2"/>
  <c r="N76" i="2"/>
  <c r="N66" i="2"/>
  <c r="N56" i="2"/>
  <c r="N49" i="2"/>
  <c r="O76" i="2"/>
  <c r="O81" i="2"/>
  <c r="O88" i="2"/>
  <c r="O90" i="2" s="1"/>
  <c r="O66" i="2"/>
  <c r="O56" i="2"/>
  <c r="O49" i="2"/>
  <c r="Q43" i="2" l="1"/>
  <c r="Q38" i="2"/>
  <c r="R28" i="2"/>
  <c r="R33" i="2"/>
  <c r="S3" i="2"/>
  <c r="C43" i="2"/>
  <c r="C36" i="2"/>
  <c r="D36" i="2"/>
  <c r="D43" i="2"/>
  <c r="F43" i="2"/>
  <c r="F36" i="2"/>
  <c r="H44" i="2"/>
  <c r="H38" i="2"/>
  <c r="I44" i="2"/>
  <c r="I38" i="2"/>
  <c r="J42" i="2"/>
  <c r="N79" i="2"/>
  <c r="N81" i="2" s="1"/>
  <c r="M88" i="2"/>
  <c r="L90" i="2"/>
  <c r="K43" i="2"/>
  <c r="L36" i="2"/>
  <c r="L43" i="2"/>
  <c r="N7" i="2"/>
  <c r="M90" i="2"/>
  <c r="N90" i="2"/>
  <c r="M38" i="2"/>
  <c r="M69" i="2" s="1"/>
  <c r="M44" i="2"/>
  <c r="N33" i="2"/>
  <c r="N42" i="2"/>
  <c r="O46" i="2"/>
  <c r="O34" i="2"/>
  <c r="O30" i="2"/>
  <c r="O43" i="2" s="1"/>
  <c r="T3" i="2" l="1"/>
  <c r="S28" i="2"/>
  <c r="S33" i="2"/>
  <c r="R43" i="2"/>
  <c r="R38" i="2"/>
  <c r="R45" i="2" s="1"/>
  <c r="Q45" i="2"/>
  <c r="AC38" i="2"/>
  <c r="C44" i="2"/>
  <c r="C38" i="2"/>
  <c r="D44" i="2"/>
  <c r="D38" i="2"/>
  <c r="F44" i="2"/>
  <c r="F38" i="2"/>
  <c r="Z38" i="2" s="1"/>
  <c r="Z39" i="2" s="1"/>
  <c r="H45" i="2"/>
  <c r="H39" i="2"/>
  <c r="I45" i="2"/>
  <c r="I39" i="2"/>
  <c r="J43" i="2"/>
  <c r="J36" i="2"/>
  <c r="K44" i="2"/>
  <c r="K38" i="2"/>
  <c r="K69" i="2" s="1"/>
  <c r="L44" i="2"/>
  <c r="L38" i="2"/>
  <c r="L69" i="2" s="1"/>
  <c r="M39" i="2"/>
  <c r="M45" i="2"/>
  <c r="N43" i="2"/>
  <c r="N36" i="2"/>
  <c r="O42" i="2"/>
  <c r="O36" i="2"/>
  <c r="L6" i="1"/>
  <c r="L5" i="1"/>
  <c r="L4" i="1"/>
  <c r="L7" i="1" s="1"/>
  <c r="AC39" i="2" l="1"/>
  <c r="S43" i="2"/>
  <c r="S38" i="2"/>
  <c r="U3" i="2"/>
  <c r="T28" i="2"/>
  <c r="T33" i="2"/>
  <c r="C45" i="2"/>
  <c r="C39" i="2"/>
  <c r="D45" i="2"/>
  <c r="D39" i="2"/>
  <c r="F45" i="2"/>
  <c r="F39" i="2"/>
  <c r="J38" i="2"/>
  <c r="J44" i="2"/>
  <c r="K45" i="2"/>
  <c r="K39" i="2"/>
  <c r="L45" i="2"/>
  <c r="L39" i="2"/>
  <c r="N38" i="2"/>
  <c r="N44" i="2"/>
  <c r="O44" i="2"/>
  <c r="O38" i="2"/>
  <c r="O69" i="2" s="1"/>
  <c r="V3" i="2" l="1"/>
  <c r="U28" i="2"/>
  <c r="U33" i="2"/>
  <c r="T38" i="2"/>
  <c r="T45" i="2" s="1"/>
  <c r="T43" i="2"/>
  <c r="S45" i="2"/>
  <c r="J45" i="2"/>
  <c r="J39" i="2"/>
  <c r="N39" i="2"/>
  <c r="N45" i="2"/>
  <c r="N69" i="2"/>
  <c r="O45" i="2"/>
  <c r="O39" i="2"/>
  <c r="V28" i="2" l="1"/>
  <c r="AD28" i="2" s="1"/>
  <c r="V33" i="2"/>
  <c r="U43" i="2"/>
  <c r="U38" i="2"/>
  <c r="U45" i="2" l="1"/>
  <c r="V38" i="2"/>
  <c r="V45" i="2" s="1"/>
  <c r="V43" i="2"/>
  <c r="AD33" i="2"/>
  <c r="AD38" i="2" l="1"/>
  <c r="AD39" i="2" l="1"/>
  <c r="AE39" i="2" l="1"/>
  <c r="AG38" i="2" l="1"/>
  <c r="AF39" i="2"/>
  <c r="AG39" i="2" l="1"/>
  <c r="AH38" i="2"/>
  <c r="AH39" i="2" l="1"/>
  <c r="AI39" i="2" l="1"/>
  <c r="AJ39" i="2" l="1"/>
  <c r="AK39" i="2" l="1"/>
  <c r="AL39" i="2" l="1"/>
  <c r="AM39" i="2" l="1"/>
  <c r="AN38" i="2"/>
  <c r="AN39" i="2" l="1"/>
  <c r="AO38" i="2"/>
  <c r="AO39" i="2" l="1"/>
  <c r="AP38" i="2"/>
  <c r="AP39" i="2" l="1"/>
  <c r="AQ38" i="2"/>
  <c r="AR38" i="2" l="1"/>
  <c r="AQ39" i="2"/>
  <c r="AS38" i="2" l="1"/>
  <c r="AR39" i="2"/>
  <c r="AS39" i="2" l="1"/>
  <c r="AT39" i="2" l="1"/>
  <c r="AU39" i="2" l="1"/>
  <c r="AV39" i="2" l="1"/>
  <c r="AW39" i="2" l="1"/>
  <c r="AX38" i="2"/>
  <c r="AX39" i="2" l="1"/>
  <c r="AY38" i="2"/>
  <c r="AY39" i="2" l="1"/>
  <c r="AZ38" i="2"/>
  <c r="AZ39" i="2" l="1"/>
  <c r="BA38" i="2"/>
  <c r="BB38" i="2" l="1"/>
  <c r="BA39" i="2"/>
  <c r="BC38" i="2" l="1"/>
  <c r="BB39" i="2"/>
  <c r="BD38" i="2" l="1"/>
  <c r="BC39" i="2"/>
  <c r="BD39" i="2" l="1"/>
  <c r="BE38" i="2"/>
  <c r="BF38" i="2" l="1"/>
  <c r="BE39" i="2"/>
  <c r="BF39" i="2" l="1"/>
  <c r="BG38" i="2"/>
  <c r="BH38" i="2" l="1"/>
  <c r="BG39" i="2"/>
  <c r="BH39" i="2" l="1"/>
  <c r="BI38" i="2"/>
  <c r="BI39" i="2" l="1"/>
  <c r="BJ38" i="2"/>
  <c r="BK38" i="2" l="1"/>
  <c r="BJ39" i="2"/>
  <c r="BL38" i="2" l="1"/>
  <c r="BK39" i="2"/>
  <c r="BM38" i="2" l="1"/>
  <c r="BL39" i="2"/>
  <c r="BN38" i="2" l="1"/>
  <c r="BM39" i="2"/>
  <c r="BO38" i="2" l="1"/>
  <c r="BN39" i="2"/>
  <c r="BP38" i="2" l="1"/>
  <c r="BO39" i="2"/>
  <c r="BQ38" i="2" l="1"/>
  <c r="BP39" i="2"/>
  <c r="BR38" i="2" l="1"/>
  <c r="BQ39" i="2"/>
  <c r="BS38" i="2" l="1"/>
  <c r="BR39" i="2"/>
  <c r="BT38" i="2" l="1"/>
  <c r="BS39" i="2"/>
  <c r="BT39" i="2" l="1"/>
  <c r="BU38" i="2"/>
  <c r="BU39" i="2" l="1"/>
  <c r="BV38" i="2"/>
  <c r="BW38" i="2" l="1"/>
  <c r="BV39" i="2"/>
  <c r="BX38" i="2" l="1"/>
  <c r="BW39" i="2"/>
  <c r="BY38" i="2" l="1"/>
  <c r="BX39" i="2"/>
  <c r="BZ38" i="2" l="1"/>
  <c r="BY39" i="2"/>
  <c r="BZ39" i="2" l="1"/>
  <c r="CA38" i="2"/>
  <c r="CB38" i="2" l="1"/>
  <c r="CA39" i="2"/>
  <c r="CC38" i="2" l="1"/>
  <c r="CB39" i="2"/>
  <c r="CD38" i="2" l="1"/>
  <c r="CC39" i="2"/>
  <c r="CD39" i="2" l="1"/>
  <c r="CE38" i="2"/>
  <c r="CE39" i="2" l="1"/>
  <c r="CF38" i="2"/>
  <c r="CF39" i="2" l="1"/>
  <c r="CG38" i="2"/>
  <c r="CG39" i="2" l="1"/>
  <c r="CH38" i="2"/>
  <c r="CI38" i="2" l="1"/>
  <c r="CH39" i="2"/>
  <c r="CJ38" i="2" l="1"/>
  <c r="CI39" i="2"/>
  <c r="CK38" i="2" l="1"/>
  <c r="CJ39" i="2"/>
  <c r="CK39" i="2" l="1"/>
  <c r="CL38" i="2"/>
  <c r="CM38" i="2" l="1"/>
  <c r="CL39" i="2"/>
  <c r="CN38" i="2" l="1"/>
  <c r="CM39" i="2"/>
  <c r="CO38" i="2" l="1"/>
  <c r="CN39" i="2"/>
  <c r="CP38" i="2" l="1"/>
  <c r="CO39" i="2"/>
  <c r="CP39" i="2" l="1"/>
  <c r="CQ38" i="2"/>
  <c r="CQ39" i="2" l="1"/>
  <c r="CR38" i="2"/>
  <c r="CR39" i="2" l="1"/>
  <c r="CS38" i="2"/>
  <c r="CS39" i="2" l="1"/>
  <c r="CT38" i="2"/>
  <c r="CU38" i="2" l="1"/>
  <c r="CT39" i="2"/>
  <c r="CU39" i="2" l="1"/>
  <c r="CV38" i="2"/>
  <c r="CW38" i="2" l="1"/>
  <c r="CV39" i="2"/>
  <c r="CX38" i="2" l="1"/>
  <c r="CW39" i="2"/>
  <c r="CX39" i="2" l="1"/>
  <c r="CY38" i="2"/>
  <c r="CZ38" i="2" l="1"/>
  <c r="CY39" i="2"/>
  <c r="DA38" i="2" l="1"/>
  <c r="CZ39" i="2"/>
  <c r="DB38" i="2" l="1"/>
  <c r="DA39" i="2"/>
  <c r="DB39" i="2" l="1"/>
  <c r="DC38" i="2"/>
  <c r="DC39" i="2" l="1"/>
  <c r="DD38" i="2"/>
  <c r="DD39" i="2" l="1"/>
  <c r="DE38" i="2"/>
  <c r="DE39" i="2" l="1"/>
  <c r="DF38" i="2"/>
  <c r="DG38" i="2" l="1"/>
  <c r="DF39" i="2"/>
  <c r="DG39" i="2" l="1"/>
  <c r="DH38" i="2"/>
  <c r="DI38" i="2" l="1"/>
  <c r="DH39" i="2"/>
  <c r="DJ38" i="2" l="1"/>
  <c r="DI39" i="2"/>
  <c r="DK38" i="2" l="1"/>
  <c r="DJ39" i="2"/>
  <c r="DL38" i="2" l="1"/>
  <c r="DK39" i="2"/>
  <c r="DM38" i="2" l="1"/>
  <c r="DL39" i="2"/>
  <c r="DN38" i="2" l="1"/>
  <c r="DM39" i="2"/>
  <c r="DN39" i="2" l="1"/>
  <c r="DO38" i="2"/>
  <c r="DO39" i="2" l="1"/>
  <c r="DP38" i="2"/>
  <c r="DP39" i="2" l="1"/>
  <c r="DQ38" i="2"/>
  <c r="DQ39" i="2" l="1"/>
  <c r="DR38" i="2"/>
  <c r="DS38" i="2" l="1"/>
  <c r="DR39" i="2"/>
  <c r="DS39" i="2" l="1"/>
  <c r="DT38" i="2"/>
  <c r="DT39" i="2" l="1"/>
  <c r="DU38" i="2"/>
  <c r="DV38" i="2" l="1"/>
  <c r="DU39" i="2"/>
  <c r="DV39" i="2" l="1"/>
  <c r="DW38" i="2"/>
  <c r="DX38" i="2" l="1"/>
  <c r="DW39" i="2"/>
  <c r="DY38" i="2" l="1"/>
  <c r="DX39" i="2"/>
  <c r="DZ38" i="2" l="1"/>
  <c r="DY39" i="2"/>
  <c r="DZ39" i="2" l="1"/>
  <c r="EA38" i="2"/>
  <c r="EA39" i="2" l="1"/>
  <c r="EB38" i="2"/>
  <c r="EB39" i="2" l="1"/>
  <c r="EC38" i="2"/>
  <c r="EC39" i="2" l="1"/>
  <c r="ED38" i="2"/>
  <c r="ED39" i="2" l="1"/>
  <c r="EE38" i="2"/>
  <c r="EE39" i="2" l="1"/>
  <c r="EF38" i="2"/>
  <c r="EG38" i="2" l="1"/>
  <c r="EF39" i="2"/>
  <c r="EH38" i="2" l="1"/>
  <c r="EG39" i="2"/>
  <c r="EI38" i="2" l="1"/>
  <c r="EH39" i="2"/>
  <c r="EJ38" i="2" l="1"/>
  <c r="EI39" i="2"/>
  <c r="EK38" i="2" l="1"/>
  <c r="EJ39" i="2"/>
  <c r="EL38" i="2" l="1"/>
  <c r="EK39" i="2"/>
  <c r="EL39" i="2" l="1"/>
  <c r="AE44" i="2"/>
  <c r="AE45" i="2" s="1"/>
</calcChain>
</file>

<file path=xl/sharedStrings.xml><?xml version="1.0" encoding="utf-8"?>
<sst xmlns="http://schemas.openxmlformats.org/spreadsheetml/2006/main" count="134" uniqueCount="107">
  <si>
    <t>Price</t>
  </si>
  <si>
    <t>Shares</t>
  </si>
  <si>
    <t>MC</t>
  </si>
  <si>
    <t>Cash</t>
  </si>
  <si>
    <t>Debt</t>
  </si>
  <si>
    <t>EV</t>
  </si>
  <si>
    <t>HQ</t>
  </si>
  <si>
    <t>Dublin</t>
  </si>
  <si>
    <t>Q124</t>
  </si>
  <si>
    <t>Revenue</t>
  </si>
  <si>
    <t>COGS</t>
  </si>
  <si>
    <t>S&amp;A</t>
  </si>
  <si>
    <t>R&amp;D</t>
  </si>
  <si>
    <t>Gross margin</t>
  </si>
  <si>
    <t>Operating Margin</t>
  </si>
  <si>
    <t>Pretax Income</t>
  </si>
  <si>
    <t>Tax</t>
  </si>
  <si>
    <t>Net Income</t>
  </si>
  <si>
    <t>EPS</t>
  </si>
  <si>
    <t>Other</t>
  </si>
  <si>
    <t>Interest Ex</t>
  </si>
  <si>
    <t>Other Inc</t>
  </si>
  <si>
    <t>Gross Margin</t>
  </si>
  <si>
    <t>Op Margin</t>
  </si>
  <si>
    <t>Tax rate</t>
  </si>
  <si>
    <t>Net Margin</t>
  </si>
  <si>
    <t>Rev Y/Y</t>
  </si>
  <si>
    <t>AR</t>
  </si>
  <si>
    <t>Net Cash</t>
  </si>
  <si>
    <t>Inventories</t>
  </si>
  <si>
    <t>PP&amp;E</t>
  </si>
  <si>
    <t>ONCA</t>
  </si>
  <si>
    <t>OCA</t>
  </si>
  <si>
    <t>Assets</t>
  </si>
  <si>
    <t>AP</t>
  </si>
  <si>
    <t>AC</t>
  </si>
  <si>
    <t>OCL</t>
  </si>
  <si>
    <t>Pensions</t>
  </si>
  <si>
    <t>DT</t>
  </si>
  <si>
    <t>ONCL</t>
  </si>
  <si>
    <t>SE</t>
  </si>
  <si>
    <t>L+SE</t>
  </si>
  <si>
    <t>Model NI</t>
  </si>
  <si>
    <t>Reported NI</t>
  </si>
  <si>
    <t>D&amp;A</t>
  </si>
  <si>
    <t>WC</t>
  </si>
  <si>
    <t>CFFO</t>
  </si>
  <si>
    <t>CapEx</t>
  </si>
  <si>
    <t>Investments</t>
  </si>
  <si>
    <t>CFFI</t>
  </si>
  <si>
    <t>Dividends</t>
  </si>
  <si>
    <t>Buybacks</t>
  </si>
  <si>
    <t>Employee shares</t>
  </si>
  <si>
    <t>CFFF</t>
  </si>
  <si>
    <t>CIC</t>
  </si>
  <si>
    <t>Products</t>
  </si>
  <si>
    <t>Systems</t>
  </si>
  <si>
    <t>Original EQ MFG</t>
  </si>
  <si>
    <t>Aftermarket</t>
  </si>
  <si>
    <t>Industrial and other</t>
  </si>
  <si>
    <t>Commercial</t>
  </si>
  <si>
    <t>Passenger and Light Duty</t>
  </si>
  <si>
    <t>Electrical Americas R</t>
  </si>
  <si>
    <t>Electrical Global R</t>
  </si>
  <si>
    <t>Aerospace R</t>
  </si>
  <si>
    <t>Vehicle R</t>
  </si>
  <si>
    <t>eMobility R</t>
  </si>
  <si>
    <t>IR</t>
  </si>
  <si>
    <t>OpM</t>
  </si>
  <si>
    <t>Q423</t>
  </si>
  <si>
    <t>Q323</t>
  </si>
  <si>
    <t>Q223</t>
  </si>
  <si>
    <t>Q123</t>
  </si>
  <si>
    <t>CEO</t>
  </si>
  <si>
    <t>Craig Arnold</t>
  </si>
  <si>
    <t>CFO</t>
  </si>
  <si>
    <t>Olivier Leonetti</t>
  </si>
  <si>
    <t>COO</t>
  </si>
  <si>
    <t>Paulo Ruiz</t>
  </si>
  <si>
    <t>Mobility President</t>
  </si>
  <si>
    <t>Peter Denk</t>
  </si>
  <si>
    <t>Electrical Americas</t>
  </si>
  <si>
    <t>Electrical Global</t>
  </si>
  <si>
    <t>Aerospace</t>
  </si>
  <si>
    <t>Vehicle</t>
  </si>
  <si>
    <t>eMobility</t>
  </si>
  <si>
    <t>Corporate</t>
  </si>
  <si>
    <t>No. Employees</t>
  </si>
  <si>
    <t>Q422</t>
  </si>
  <si>
    <t>Q322</t>
  </si>
  <si>
    <t>Q222</t>
  </si>
  <si>
    <t>Q122</t>
  </si>
  <si>
    <t>Q421</t>
  </si>
  <si>
    <t>Q321</t>
  </si>
  <si>
    <t>Q221</t>
  </si>
  <si>
    <t>Q121</t>
  </si>
  <si>
    <t>Q224</t>
  </si>
  <si>
    <t>Q324</t>
  </si>
  <si>
    <t>Q424</t>
  </si>
  <si>
    <t>Q125</t>
  </si>
  <si>
    <t>Q225</t>
  </si>
  <si>
    <t>Q325</t>
  </si>
  <si>
    <t>Q425</t>
  </si>
  <si>
    <t>NPV</t>
  </si>
  <si>
    <t>discount rate</t>
  </si>
  <si>
    <t>Upside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</si>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</sst>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/>
    <xf numFmtId="0" fontId="3" fillId="0" borderId="0" xfId="0" applyFont="1" applyAlignment="1">
      <alignment horizontal="right"/>
    </xf>
    <xf numFmtId="3" fontId="3" fillId="0" borderId="0" xfId="0" applyNumberFormat="1" applyFont="1"/>
    <xf numFmtId="4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10" fontId="2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0" fontId="2" fillId="2" borderId="0" xfId="0" applyFont="1" applyFill="1"/>
    <xf numFmtId="3" fontId="2" fillId="2" borderId="0" xfId="0" applyNumberFormat="1" applyFont="1" applyFill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0" fontId="0" fillId="3" borderId="0" xfId="0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3" fontId="2" fillId="3" borderId="0" xfId="0" applyNumberFormat="1" applyFont="1" applyFill="1"/>
    <xf numFmtId="10" fontId="2" fillId="3" borderId="0" xfId="0" applyNumberFormat="1" applyFont="1" applyFill="1"/>
    <xf numFmtId="3" fontId="5" fillId="0" borderId="0" xfId="0" applyNumberFormat="1" applyFont="1"/>
    <xf numFmtId="0" fontId="6" fillId="0" borderId="0" xfId="0" applyFont="1"/>
    <xf numFmtId="9" fontId="2" fillId="2" borderId="0" xfId="0" applyNumberFormat="1" applyFont="1" applyFill="1" applyAlignment="1">
      <alignment horizontal="right"/>
    </xf>
    <xf numFmtId="2" fontId="3" fillId="0" borderId="0" xfId="0" applyNumberFormat="1" applyFont="1"/>
    <xf numFmtId="4" fontId="3" fillId="0" borderId="0" xfId="0" applyNumberFormat="1" applyFont="1"/>
    <xf numFmtId="9" fontId="2" fillId="3" borderId="0" xfId="0" applyNumberFormat="1" applyFont="1" applyFill="1"/>
    <xf numFmtId="9" fontId="2" fillId="2" borderId="0" xfId="0" applyNumberFormat="1" applyFont="1" applyFill="1"/>
    <xf numFmtId="164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120015</xdr:rowOff>
    </xdr:from>
    <xdr:to>
      <xdr:col>15</xdr:col>
      <xdr:colOff>34290</xdr:colOff>
      <xdr:row>55</xdr:row>
      <xdr:rowOff>95250</xdr:rowOff>
    </xdr:to>
    <xdr:cxnSp macro="">
      <xdr:nvCxnSpPr>
        <xdr:cNvPr id="3" name="Łącznik prosty 2">
          <a:extLst>
            <a:ext uri="{FF2B5EF4-FFF2-40B4-BE49-F238E27FC236}">
              <a16:creationId xmlns:a16="http://schemas.microsoft.com/office/drawing/2014/main" id="{7CE1D3A3-C54E-602C-1C8A-8281CB8976B8}"/>
            </a:ext>
          </a:extLst>
        </xdr:cNvPr>
        <xdr:cNvCxnSpPr/>
      </xdr:nvCxnSpPr>
      <xdr:spPr>
        <a:xfrm>
          <a:off x="11277600" y="300990"/>
          <a:ext cx="5715" cy="97478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34290</xdr:colOff>
      <xdr:row>0</xdr:row>
      <xdr:rowOff>64770</xdr:rowOff>
    </xdr:from>
    <xdr:to>
      <xdr:col>28</xdr:col>
      <xdr:colOff>57150</xdr:colOff>
      <xdr:row>52</xdr:row>
      <xdr:rowOff>154305</xdr:rowOff>
    </xdr:to>
    <xdr:cxnSp macro="">
      <xdr:nvCxnSpPr>
        <xdr:cNvPr id="7" name="Łącznik prosty 6">
          <a:extLst>
            <a:ext uri="{FF2B5EF4-FFF2-40B4-BE49-F238E27FC236}">
              <a16:creationId xmlns:a16="http://schemas.microsoft.com/office/drawing/2014/main" id="{637ACCA9-958F-1918-A5DD-4FBFB6F03B9A}"/>
            </a:ext>
          </a:extLst>
        </xdr:cNvPr>
        <xdr:cNvCxnSpPr/>
      </xdr:nvCxnSpPr>
      <xdr:spPr>
        <a:xfrm>
          <a:off x="19379565" y="64770"/>
          <a:ext cx="22860" cy="9500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ton.com/us/en-us/company/investor-rela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012B-C5C9-410C-AEC1-A8EF01732B69}">
  <dimension ref="B1:M17"/>
  <sheetViews>
    <sheetView workbookViewId="0">
      <selection activeCell="Q14" sqref="Q14"/>
    </sheetView>
  </sheetViews>
  <sheetFormatPr defaultRowHeight="14.4" x14ac:dyDescent="0.3"/>
  <cols>
    <col min="2" max="2" width="18.109375" bestFit="1" customWidth="1"/>
    <col min="3" max="3" width="14.109375" bestFit="1" customWidth="1"/>
    <col min="12" max="12" width="12" style="1" customWidth="1"/>
  </cols>
  <sheetData>
    <row r="1" spans="2:13" x14ac:dyDescent="0.3">
      <c r="L1"/>
    </row>
    <row r="2" spans="2:13" x14ac:dyDescent="0.3">
      <c r="B2" t="s">
        <v>6</v>
      </c>
      <c r="C2" t="s">
        <v>7</v>
      </c>
      <c r="K2" t="s">
        <v>0</v>
      </c>
      <c r="L2" s="16">
        <v>330.24</v>
      </c>
      <c r="M2" t="s">
        <v>8</v>
      </c>
    </row>
    <row r="3" spans="2:13" x14ac:dyDescent="0.3">
      <c r="B3" s="13" t="s">
        <v>67</v>
      </c>
      <c r="K3" t="s">
        <v>1</v>
      </c>
      <c r="L3" s="1">
        <v>401.9</v>
      </c>
      <c r="M3" t="s">
        <v>8</v>
      </c>
    </row>
    <row r="4" spans="2:13" x14ac:dyDescent="0.3">
      <c r="B4" t="s">
        <v>73</v>
      </c>
      <c r="C4" t="s">
        <v>74</v>
      </c>
      <c r="K4" t="s">
        <v>2</v>
      </c>
      <c r="L4" s="1">
        <f>L3*L2</f>
        <v>132723.45600000001</v>
      </c>
      <c r="M4" t="s">
        <v>8</v>
      </c>
    </row>
    <row r="5" spans="2:13" x14ac:dyDescent="0.3">
      <c r="B5" t="s">
        <v>75</v>
      </c>
      <c r="C5" t="s">
        <v>76</v>
      </c>
      <c r="K5" t="s">
        <v>3</v>
      </c>
      <c r="L5" s="1">
        <f>473+1969</f>
        <v>2442</v>
      </c>
      <c r="M5" t="s">
        <v>8</v>
      </c>
    </row>
    <row r="6" spans="2:13" x14ac:dyDescent="0.3">
      <c r="B6" t="s">
        <v>77</v>
      </c>
      <c r="C6" t="s">
        <v>78</v>
      </c>
      <c r="K6" t="s">
        <v>4</v>
      </c>
      <c r="L6" s="1">
        <f>994+1+8192</f>
        <v>9187</v>
      </c>
      <c r="M6" t="s">
        <v>8</v>
      </c>
    </row>
    <row r="7" spans="2:13" x14ac:dyDescent="0.3">
      <c r="B7" t="s">
        <v>79</v>
      </c>
      <c r="C7" t="s">
        <v>80</v>
      </c>
      <c r="K7" t="s">
        <v>5</v>
      </c>
      <c r="L7" s="1">
        <f>L4+L6-L5</f>
        <v>139468.45600000001</v>
      </c>
      <c r="M7" t="s">
        <v>8</v>
      </c>
    </row>
    <row r="10" spans="2:13" ht="18" x14ac:dyDescent="0.35">
      <c r="B10" s="43" t="s">
        <v>87</v>
      </c>
    </row>
    <row r="11" spans="2:13" x14ac:dyDescent="0.3">
      <c r="B11" t="s">
        <v>81</v>
      </c>
      <c r="C11">
        <v>32000</v>
      </c>
      <c r="D11" t="s">
        <v>69</v>
      </c>
      <c r="J11" s="1"/>
      <c r="L11"/>
    </row>
    <row r="12" spans="2:13" x14ac:dyDescent="0.3">
      <c r="B12" t="s">
        <v>82</v>
      </c>
      <c r="C12">
        <v>26000</v>
      </c>
      <c r="D12" t="s">
        <v>69</v>
      </c>
      <c r="J12" s="1"/>
      <c r="L12"/>
    </row>
    <row r="13" spans="2:13" x14ac:dyDescent="0.3">
      <c r="B13" t="s">
        <v>83</v>
      </c>
      <c r="C13">
        <v>14000</v>
      </c>
      <c r="D13" t="s">
        <v>69</v>
      </c>
      <c r="J13" s="1"/>
      <c r="L13"/>
    </row>
    <row r="14" spans="2:13" x14ac:dyDescent="0.3">
      <c r="B14" t="s">
        <v>84</v>
      </c>
      <c r="C14">
        <v>12000</v>
      </c>
      <c r="D14" t="s">
        <v>69</v>
      </c>
      <c r="J14" s="1"/>
      <c r="L14"/>
    </row>
    <row r="15" spans="2:13" x14ac:dyDescent="0.3">
      <c r="B15" t="s">
        <v>85</v>
      </c>
      <c r="C15">
        <v>2000</v>
      </c>
      <c r="D15" t="s">
        <v>69</v>
      </c>
      <c r="J15" s="1"/>
      <c r="L15"/>
    </row>
    <row r="16" spans="2:13" x14ac:dyDescent="0.3">
      <c r="B16" t="s">
        <v>86</v>
      </c>
      <c r="C16">
        <v>8000</v>
      </c>
      <c r="D16" t="s">
        <v>69</v>
      </c>
      <c r="J16" s="1"/>
      <c r="L16"/>
    </row>
    <row r="17" spans="3:4" x14ac:dyDescent="0.3">
      <c r="C17">
        <f>SUM(C11:C16)</f>
        <v>94000</v>
      </c>
      <c r="D17" t="s">
        <v>69</v>
      </c>
    </row>
  </sheetData>
  <hyperlinks>
    <hyperlink ref="B3" r:id="rId1" xr:uid="{B6ABB80C-2F4A-4F64-8D7D-167B7C18D8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601-5CBA-4C7A-8622-DCCC35285474}">
  <dimension ref="A1:EL9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4.4" x14ac:dyDescent="0.3"/>
  <cols>
    <col min="2" max="2" width="23.33203125" style="3" bestFit="1" customWidth="1"/>
    <col min="3" max="12" width="10.109375" bestFit="1" customWidth="1"/>
    <col min="13" max="13" width="10.109375" style="1" bestFit="1" customWidth="1"/>
    <col min="14" max="14" width="10.109375" bestFit="1" customWidth="1"/>
    <col min="15" max="15" width="10.109375" style="1" bestFit="1" customWidth="1"/>
    <col min="16" max="17" width="10.109375" bestFit="1" customWidth="1"/>
    <col min="30" max="30" width="13.109375" bestFit="1" customWidth="1"/>
    <col min="31" max="31" width="12.109375" bestFit="1" customWidth="1"/>
  </cols>
  <sheetData>
    <row r="1" spans="2:39" x14ac:dyDescent="0.3">
      <c r="C1" s="2">
        <v>44286</v>
      </c>
      <c r="D1" s="2">
        <v>44377</v>
      </c>
      <c r="E1" s="2">
        <v>44469</v>
      </c>
      <c r="F1" s="2">
        <v>44561</v>
      </c>
      <c r="G1" s="2">
        <v>44651</v>
      </c>
      <c r="H1" s="2">
        <v>44742</v>
      </c>
      <c r="I1" s="2">
        <v>44834</v>
      </c>
      <c r="J1" s="2">
        <v>44926</v>
      </c>
      <c r="K1" s="2">
        <v>45016</v>
      </c>
      <c r="L1" s="2">
        <v>45107</v>
      </c>
      <c r="M1" s="2">
        <v>45199</v>
      </c>
      <c r="N1" s="2">
        <v>45291</v>
      </c>
      <c r="O1" s="2">
        <v>45382</v>
      </c>
      <c r="P1" s="2">
        <v>45473</v>
      </c>
      <c r="Q1" s="2">
        <v>45565</v>
      </c>
    </row>
    <row r="2" spans="2:39" s="3" customFormat="1" x14ac:dyDescent="0.3">
      <c r="C2" s="3" t="s">
        <v>95</v>
      </c>
      <c r="D2" s="3" t="s">
        <v>94</v>
      </c>
      <c r="E2" s="3" t="s">
        <v>93</v>
      </c>
      <c r="F2" s="3" t="s">
        <v>92</v>
      </c>
      <c r="G2" s="3" t="s">
        <v>91</v>
      </c>
      <c r="H2" s="3" t="s">
        <v>90</v>
      </c>
      <c r="I2" s="3" t="s">
        <v>89</v>
      </c>
      <c r="J2" s="3" t="s">
        <v>88</v>
      </c>
      <c r="K2" s="3" t="s">
        <v>72</v>
      </c>
      <c r="L2" s="3" t="s">
        <v>71</v>
      </c>
      <c r="M2" s="3" t="s">
        <v>70</v>
      </c>
      <c r="N2" s="3" t="s">
        <v>69</v>
      </c>
      <c r="O2" s="4" t="s">
        <v>8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102</v>
      </c>
      <c r="Z2" s="3">
        <v>2021</v>
      </c>
      <c r="AA2" s="3">
        <v>2022</v>
      </c>
      <c r="AB2" s="3">
        <v>2023</v>
      </c>
      <c r="AC2" s="3">
        <v>2024</v>
      </c>
      <c r="AD2" s="3">
        <v>2025</v>
      </c>
      <c r="AE2" s="3">
        <v>2026</v>
      </c>
      <c r="AF2" s="3">
        <v>2027</v>
      </c>
      <c r="AG2" s="3">
        <v>2028</v>
      </c>
      <c r="AH2" s="3">
        <v>2029</v>
      </c>
      <c r="AI2" s="3">
        <v>2030</v>
      </c>
      <c r="AJ2" s="3">
        <v>2031</v>
      </c>
      <c r="AK2" s="3">
        <v>2032</v>
      </c>
      <c r="AL2" s="3">
        <v>2033</v>
      </c>
      <c r="AM2" s="3">
        <v>2034</v>
      </c>
    </row>
    <row r="3" spans="2:39" s="19" customFormat="1" x14ac:dyDescent="0.3">
      <c r="B3" s="19" t="s">
        <v>62</v>
      </c>
      <c r="C3" s="20">
        <f t="shared" ref="C3:O3" si="0">SUM(C4:C5)</f>
        <v>1622</v>
      </c>
      <c r="D3" s="20">
        <f t="shared" si="0"/>
        <v>1849</v>
      </c>
      <c r="E3" s="20">
        <f t="shared" si="0"/>
        <v>1854</v>
      </c>
      <c r="F3" s="20">
        <f t="shared" si="0"/>
        <v>1917</v>
      </c>
      <c r="G3" s="20">
        <f t="shared" si="0"/>
        <v>1891</v>
      </c>
      <c r="H3" s="20">
        <f t="shared" si="0"/>
        <v>2131</v>
      </c>
      <c r="I3" s="20">
        <f t="shared" si="0"/>
        <v>2179</v>
      </c>
      <c r="J3" s="20">
        <f t="shared" si="0"/>
        <v>2296</v>
      </c>
      <c r="K3" s="20">
        <f t="shared" si="0"/>
        <v>2294</v>
      </c>
      <c r="L3" s="20">
        <f t="shared" si="0"/>
        <v>2538</v>
      </c>
      <c r="M3" s="20">
        <f t="shared" si="0"/>
        <v>2594</v>
      </c>
      <c r="N3" s="20">
        <f t="shared" si="0"/>
        <v>2672</v>
      </c>
      <c r="O3" s="20">
        <f t="shared" si="0"/>
        <v>2690</v>
      </c>
      <c r="P3" s="20">
        <f>O3*1.12</f>
        <v>3012.8</v>
      </c>
      <c r="Q3" s="20">
        <f>P3*1.04</f>
        <v>3133.3120000000004</v>
      </c>
      <c r="R3" s="20">
        <f>Q3*1.02</f>
        <v>3195.9782400000004</v>
      </c>
      <c r="S3" s="20">
        <f>R3*1.02</f>
        <v>3259.8978048000004</v>
      </c>
      <c r="T3" s="20">
        <f>S3*1.09</f>
        <v>3553.2886072320007</v>
      </c>
      <c r="U3" s="20">
        <f>T3*1.02</f>
        <v>3624.3543793766407</v>
      </c>
      <c r="V3" s="20">
        <f>U3*1.02</f>
        <v>3696.8414669641738</v>
      </c>
    </row>
    <row r="4" spans="2:39" s="21" customFormat="1" x14ac:dyDescent="0.3">
      <c r="B4" s="21" t="s">
        <v>55</v>
      </c>
      <c r="C4" s="22">
        <v>520</v>
      </c>
      <c r="D4" s="22">
        <v>555</v>
      </c>
      <c r="E4" s="22">
        <v>594</v>
      </c>
      <c r="F4" s="22">
        <f>2255-E4-D4-C4</f>
        <v>586</v>
      </c>
      <c r="G4" s="22">
        <v>603</v>
      </c>
      <c r="H4" s="22">
        <v>695</v>
      </c>
      <c r="I4" s="22">
        <v>737</v>
      </c>
      <c r="J4" s="22">
        <f>2732-I4-H4-G4</f>
        <v>697</v>
      </c>
      <c r="K4" s="22">
        <v>716</v>
      </c>
      <c r="L4" s="22">
        <v>757</v>
      </c>
      <c r="M4" s="22">
        <v>748</v>
      </c>
      <c r="N4" s="22">
        <f>2949-M4-L4-K4</f>
        <v>728</v>
      </c>
      <c r="O4" s="22">
        <v>733</v>
      </c>
    </row>
    <row r="5" spans="2:39" s="21" customFormat="1" x14ac:dyDescent="0.3">
      <c r="B5" s="21" t="s">
        <v>56</v>
      </c>
      <c r="C5" s="22">
        <v>1102</v>
      </c>
      <c r="D5" s="22">
        <v>1294</v>
      </c>
      <c r="E5" s="22">
        <v>1260</v>
      </c>
      <c r="F5" s="22">
        <f>4987-E5-D5-C5</f>
        <v>1331</v>
      </c>
      <c r="G5" s="22">
        <v>1288</v>
      </c>
      <c r="H5" s="22">
        <v>1436</v>
      </c>
      <c r="I5" s="22">
        <v>1442</v>
      </c>
      <c r="J5" s="22">
        <f>5765-I5-H5-G5</f>
        <v>1599</v>
      </c>
      <c r="K5" s="22">
        <v>1578</v>
      </c>
      <c r="L5" s="22">
        <v>1781</v>
      </c>
      <c r="M5" s="22">
        <v>1846</v>
      </c>
      <c r="N5" s="22">
        <f>7149-M5-L5-K5</f>
        <v>1944</v>
      </c>
      <c r="O5" s="22">
        <v>1957</v>
      </c>
    </row>
    <row r="6" spans="2:39" s="23" customFormat="1" x14ac:dyDescent="0.3">
      <c r="B6" s="23" t="s">
        <v>68</v>
      </c>
      <c r="C6" s="24">
        <v>332</v>
      </c>
      <c r="D6" s="24">
        <v>393</v>
      </c>
      <c r="E6" s="24">
        <v>402</v>
      </c>
      <c r="F6" s="24">
        <f>1495-E6-D6-C6</f>
        <v>368</v>
      </c>
      <c r="G6" s="24">
        <v>361</v>
      </c>
      <c r="H6" s="24">
        <v>495</v>
      </c>
      <c r="I6" s="24">
        <v>511</v>
      </c>
      <c r="J6" s="24">
        <f>1913-I6-H6-G6</f>
        <v>546</v>
      </c>
      <c r="K6" s="24">
        <v>525</v>
      </c>
      <c r="L6" s="24">
        <v>669</v>
      </c>
      <c r="M6" s="24">
        <v>719</v>
      </c>
      <c r="N6" s="24">
        <f>2675-M6-L6-K6</f>
        <v>762</v>
      </c>
      <c r="O6" s="24">
        <v>785</v>
      </c>
    </row>
    <row r="7" spans="2:39" s="23" customFormat="1" x14ac:dyDescent="0.3">
      <c r="C7" s="25">
        <f t="shared" ref="C7:O7" si="1">C6/C3</f>
        <v>0.20468557336621454</v>
      </c>
      <c r="D7" s="25">
        <f t="shared" si="1"/>
        <v>0.21254732287723094</v>
      </c>
      <c r="E7" s="25">
        <f t="shared" si="1"/>
        <v>0.2168284789644013</v>
      </c>
      <c r="F7" s="25">
        <f t="shared" si="1"/>
        <v>0.19196661450182578</v>
      </c>
      <c r="G7" s="25">
        <f t="shared" si="1"/>
        <v>0.19090428344791116</v>
      </c>
      <c r="H7" s="25">
        <f t="shared" si="1"/>
        <v>0.2322853120600657</v>
      </c>
      <c r="I7" s="25">
        <f t="shared" si="1"/>
        <v>0.23451124368976595</v>
      </c>
      <c r="J7" s="25">
        <f t="shared" si="1"/>
        <v>0.23780487804878048</v>
      </c>
      <c r="K7" s="25">
        <f t="shared" si="1"/>
        <v>0.22885789014821273</v>
      </c>
      <c r="L7" s="25">
        <f t="shared" si="1"/>
        <v>0.2635933806146572</v>
      </c>
      <c r="M7" s="25">
        <f t="shared" si="1"/>
        <v>0.27717810331534309</v>
      </c>
      <c r="N7" s="25">
        <f t="shared" si="1"/>
        <v>0.28517964071856289</v>
      </c>
      <c r="O7" s="25">
        <f t="shared" si="1"/>
        <v>0.29182156133828996</v>
      </c>
      <c r="P7" s="44">
        <v>0.28000000000000003</v>
      </c>
      <c r="Q7" s="44">
        <v>0.28000000000000003</v>
      </c>
      <c r="R7" s="44">
        <v>0.28000000000000003</v>
      </c>
      <c r="S7" s="44">
        <v>0.28000000000000003</v>
      </c>
      <c r="T7" s="44">
        <v>0.28000000000000003</v>
      </c>
      <c r="U7" s="44">
        <v>0.28000000000000003</v>
      </c>
      <c r="V7" s="44">
        <v>0.28000000000000003</v>
      </c>
    </row>
    <row r="8" spans="2:39" s="33" customFormat="1" x14ac:dyDescent="0.3">
      <c r="B8" s="32" t="s">
        <v>63</v>
      </c>
      <c r="C8" s="34">
        <f t="shared" ref="C8:O8" si="2">SUM(C9:C10)</f>
        <v>1253</v>
      </c>
      <c r="D8" s="34">
        <f t="shared" si="2"/>
        <v>1418</v>
      </c>
      <c r="E8" s="34">
        <f t="shared" si="2"/>
        <v>1421</v>
      </c>
      <c r="F8" s="34">
        <f t="shared" si="2"/>
        <v>1424</v>
      </c>
      <c r="G8" s="34">
        <f t="shared" si="2"/>
        <v>1437</v>
      </c>
      <c r="H8" s="34">
        <f t="shared" si="2"/>
        <v>1495</v>
      </c>
      <c r="I8" s="34">
        <f t="shared" si="2"/>
        <v>1486</v>
      </c>
      <c r="J8" s="34">
        <f t="shared" si="2"/>
        <v>1430</v>
      </c>
      <c r="K8" s="34">
        <f t="shared" si="2"/>
        <v>1500</v>
      </c>
      <c r="L8" s="34">
        <f t="shared" si="2"/>
        <v>1569</v>
      </c>
      <c r="M8" s="34">
        <f t="shared" si="2"/>
        <v>1503</v>
      </c>
      <c r="N8" s="34">
        <f t="shared" si="2"/>
        <v>1512</v>
      </c>
      <c r="O8" s="34">
        <f t="shared" si="2"/>
        <v>1500</v>
      </c>
      <c r="P8" s="33">
        <v>1540</v>
      </c>
      <c r="Q8" s="33">
        <v>1540</v>
      </c>
      <c r="R8" s="33">
        <v>1540</v>
      </c>
      <c r="S8" s="33">
        <v>1540</v>
      </c>
      <c r="T8" s="33">
        <v>1540</v>
      </c>
      <c r="U8" s="33">
        <v>1580</v>
      </c>
      <c r="V8" s="33">
        <v>1550</v>
      </c>
    </row>
    <row r="9" spans="2:39" s="36" customFormat="1" x14ac:dyDescent="0.3">
      <c r="B9" s="35" t="s">
        <v>55</v>
      </c>
      <c r="C9" s="37">
        <v>713</v>
      </c>
      <c r="D9" s="37">
        <v>846</v>
      </c>
      <c r="E9" s="37">
        <v>887</v>
      </c>
      <c r="F9" s="37">
        <f>3283-E9-D9-C9</f>
        <v>837</v>
      </c>
      <c r="G9" s="37">
        <v>876</v>
      </c>
      <c r="H9" s="37">
        <v>878</v>
      </c>
      <c r="I9" s="37">
        <v>855</v>
      </c>
      <c r="J9" s="37">
        <f>3424-I9-H9-G9</f>
        <v>815</v>
      </c>
      <c r="K9" s="37">
        <v>882</v>
      </c>
      <c r="L9" s="37">
        <v>889</v>
      </c>
      <c r="M9" s="37">
        <v>848</v>
      </c>
      <c r="N9" s="37">
        <f>3462-M9-L9-K9</f>
        <v>843</v>
      </c>
      <c r="O9" s="37">
        <v>844</v>
      </c>
    </row>
    <row r="10" spans="2:39" s="36" customFormat="1" x14ac:dyDescent="0.3">
      <c r="B10" s="35" t="s">
        <v>56</v>
      </c>
      <c r="C10" s="37">
        <v>540</v>
      </c>
      <c r="D10" s="37">
        <v>572</v>
      </c>
      <c r="E10" s="37">
        <v>534</v>
      </c>
      <c r="F10" s="37">
        <f>2233-E10-D10-C10</f>
        <v>587</v>
      </c>
      <c r="G10" s="37">
        <v>561</v>
      </c>
      <c r="H10" s="37">
        <v>617</v>
      </c>
      <c r="I10" s="37">
        <v>631</v>
      </c>
      <c r="J10" s="37">
        <f>2424-I10-H10-G10</f>
        <v>615</v>
      </c>
      <c r="K10" s="37">
        <v>618</v>
      </c>
      <c r="L10" s="37">
        <v>680</v>
      </c>
      <c r="M10" s="37">
        <v>655</v>
      </c>
      <c r="N10" s="37">
        <f>2622-M10-L10-K10</f>
        <v>669</v>
      </c>
      <c r="O10" s="37">
        <v>656</v>
      </c>
    </row>
    <row r="11" spans="2:39" s="39" customFormat="1" x14ac:dyDescent="0.3">
      <c r="B11" s="38" t="s">
        <v>68</v>
      </c>
      <c r="C11" s="40">
        <v>213</v>
      </c>
      <c r="D11" s="40">
        <v>259</v>
      </c>
      <c r="E11" s="40">
        <v>285</v>
      </c>
      <c r="F11" s="40">
        <f>1034-E11-D11-C11</f>
        <v>277</v>
      </c>
      <c r="G11" s="40">
        <v>279</v>
      </c>
      <c r="H11" s="40">
        <v>282</v>
      </c>
      <c r="I11" s="40">
        <v>305</v>
      </c>
      <c r="J11" s="40">
        <f>1134-I11-H11-G11</f>
        <v>268</v>
      </c>
      <c r="K11" s="40">
        <v>274</v>
      </c>
      <c r="L11" s="40">
        <v>290</v>
      </c>
      <c r="M11" s="40">
        <v>328</v>
      </c>
      <c r="N11" s="40">
        <f>1176-M11-L11-K11</f>
        <v>284</v>
      </c>
      <c r="O11" s="40">
        <v>274</v>
      </c>
    </row>
    <row r="12" spans="2:39" s="39" customFormat="1" x14ac:dyDescent="0.3">
      <c r="B12" s="38"/>
      <c r="C12" s="41">
        <f t="shared" ref="C12:O12" si="3">C11/C8</f>
        <v>0.16999201915403034</v>
      </c>
      <c r="D12" s="41">
        <f t="shared" si="3"/>
        <v>0.18265162200282087</v>
      </c>
      <c r="E12" s="41">
        <f t="shared" si="3"/>
        <v>0.20056298381421533</v>
      </c>
      <c r="F12" s="41">
        <f t="shared" si="3"/>
        <v>0.19452247191011235</v>
      </c>
      <c r="G12" s="41">
        <f t="shared" si="3"/>
        <v>0.19415448851774531</v>
      </c>
      <c r="H12" s="41">
        <f t="shared" si="3"/>
        <v>0.18862876254180602</v>
      </c>
      <c r="I12" s="41">
        <f t="shared" si="3"/>
        <v>0.20524899057873486</v>
      </c>
      <c r="J12" s="41">
        <f t="shared" si="3"/>
        <v>0.1874125874125874</v>
      </c>
      <c r="K12" s="41">
        <f t="shared" si="3"/>
        <v>0.18266666666666667</v>
      </c>
      <c r="L12" s="41">
        <f t="shared" si="3"/>
        <v>0.18483110261312938</v>
      </c>
      <c r="M12" s="41">
        <f t="shared" si="3"/>
        <v>0.21823020625415834</v>
      </c>
      <c r="N12" s="41">
        <f t="shared" si="3"/>
        <v>0.18783068783068782</v>
      </c>
      <c r="O12" s="41">
        <f t="shared" si="3"/>
        <v>0.18266666666666667</v>
      </c>
      <c r="P12" s="41">
        <v>0.185</v>
      </c>
      <c r="Q12" s="41">
        <v>0.185</v>
      </c>
      <c r="R12" s="41">
        <v>0.185</v>
      </c>
      <c r="S12" s="41">
        <v>0.185</v>
      </c>
      <c r="T12" s="41">
        <v>0.185</v>
      </c>
      <c r="U12" s="41">
        <v>0.185</v>
      </c>
      <c r="V12" s="41">
        <v>0.185</v>
      </c>
    </row>
    <row r="13" spans="2:39" s="26" customFormat="1" x14ac:dyDescent="0.3">
      <c r="B13" s="19" t="s">
        <v>64</v>
      </c>
      <c r="C13" s="27">
        <f t="shared" ref="C13:O13" si="4">SUM(C14:C16)</f>
        <v>519</v>
      </c>
      <c r="D13" s="27">
        <f t="shared" si="4"/>
        <v>625</v>
      </c>
      <c r="E13" s="27">
        <f t="shared" si="4"/>
        <v>745</v>
      </c>
      <c r="F13" s="27">
        <f t="shared" si="4"/>
        <v>759</v>
      </c>
      <c r="G13" s="27">
        <f t="shared" si="4"/>
        <v>718</v>
      </c>
      <c r="H13" s="27">
        <f t="shared" si="4"/>
        <v>742</v>
      </c>
      <c r="I13" s="27">
        <f t="shared" si="4"/>
        <v>768</v>
      </c>
      <c r="J13" s="27">
        <f t="shared" si="4"/>
        <v>812</v>
      </c>
      <c r="K13" s="27">
        <f t="shared" si="4"/>
        <v>803</v>
      </c>
      <c r="L13" s="27">
        <f t="shared" si="4"/>
        <v>847</v>
      </c>
      <c r="M13" s="27">
        <f t="shared" si="4"/>
        <v>867</v>
      </c>
      <c r="N13" s="27">
        <f t="shared" si="4"/>
        <v>894</v>
      </c>
      <c r="O13" s="27">
        <f t="shared" si="4"/>
        <v>871</v>
      </c>
      <c r="P13" s="26">
        <v>908</v>
      </c>
      <c r="Q13" s="26">
        <v>920</v>
      </c>
      <c r="R13" s="26">
        <v>960</v>
      </c>
      <c r="S13" s="26">
        <v>930</v>
      </c>
      <c r="T13" s="26">
        <v>950</v>
      </c>
      <c r="U13" s="26">
        <v>980</v>
      </c>
      <c r="V13" s="26">
        <v>1000</v>
      </c>
    </row>
    <row r="14" spans="2:39" s="28" customFormat="1" x14ac:dyDescent="0.3">
      <c r="B14" s="21" t="s">
        <v>57</v>
      </c>
      <c r="C14" s="29">
        <v>208</v>
      </c>
      <c r="D14" s="29">
        <v>239</v>
      </c>
      <c r="E14" s="29">
        <v>281</v>
      </c>
      <c r="F14" s="29">
        <f>1018-E14-D14-C14</f>
        <v>290</v>
      </c>
      <c r="G14" s="29">
        <v>293</v>
      </c>
      <c r="H14" s="29">
        <v>285</v>
      </c>
      <c r="I14" s="29">
        <v>303</v>
      </c>
      <c r="J14" s="29">
        <f>1209-I14-H14-G14</f>
        <v>328</v>
      </c>
      <c r="K14" s="29">
        <v>314</v>
      </c>
      <c r="L14" s="29">
        <v>324</v>
      </c>
      <c r="M14" s="29">
        <v>342</v>
      </c>
      <c r="N14" s="29">
        <f>1350-M14-L14-K14</f>
        <v>370</v>
      </c>
      <c r="O14" s="29">
        <v>355</v>
      </c>
    </row>
    <row r="15" spans="2:39" s="28" customFormat="1" x14ac:dyDescent="0.3">
      <c r="B15" s="21" t="s">
        <v>58</v>
      </c>
      <c r="C15" s="29">
        <v>146</v>
      </c>
      <c r="D15" s="29">
        <v>191</v>
      </c>
      <c r="E15" s="29">
        <v>238</v>
      </c>
      <c r="F15" s="29">
        <f>823-E15-D15-C15</f>
        <v>248</v>
      </c>
      <c r="G15" s="29">
        <v>221</v>
      </c>
      <c r="H15" s="29">
        <v>242</v>
      </c>
      <c r="I15" s="29">
        <v>256</v>
      </c>
      <c r="J15" s="29">
        <f>977-I15-H15-G15</f>
        <v>258</v>
      </c>
      <c r="K15" s="29">
        <v>264</v>
      </c>
      <c r="L15" s="29">
        <v>297</v>
      </c>
      <c r="M15" s="29">
        <v>302</v>
      </c>
      <c r="N15" s="29">
        <f>1183-M15-L15-K15</f>
        <v>320</v>
      </c>
      <c r="O15" s="29">
        <v>291</v>
      </c>
    </row>
    <row r="16" spans="2:39" s="28" customFormat="1" x14ac:dyDescent="0.3">
      <c r="B16" s="21" t="s">
        <v>59</v>
      </c>
      <c r="C16" s="29">
        <v>165</v>
      </c>
      <c r="D16" s="29">
        <v>195</v>
      </c>
      <c r="E16" s="29">
        <v>226</v>
      </c>
      <c r="F16" s="29">
        <f>807-E16-D16-C16</f>
        <v>221</v>
      </c>
      <c r="G16" s="29">
        <v>204</v>
      </c>
      <c r="H16" s="29">
        <v>215</v>
      </c>
      <c r="I16" s="29">
        <v>209</v>
      </c>
      <c r="J16" s="29">
        <f>854-I16-H16-G16</f>
        <v>226</v>
      </c>
      <c r="K16" s="29">
        <v>225</v>
      </c>
      <c r="L16" s="29">
        <v>226</v>
      </c>
      <c r="M16" s="29">
        <v>223</v>
      </c>
      <c r="N16" s="29">
        <f>878-M16-L16-K16</f>
        <v>204</v>
      </c>
      <c r="O16" s="29">
        <v>225</v>
      </c>
    </row>
    <row r="17" spans="1:32" s="30" customFormat="1" x14ac:dyDescent="0.3">
      <c r="B17" s="23" t="s">
        <v>68</v>
      </c>
      <c r="C17" s="31">
        <v>96</v>
      </c>
      <c r="D17" s="31">
        <v>131</v>
      </c>
      <c r="E17" s="31">
        <v>164</v>
      </c>
      <c r="F17" s="31">
        <f>580-E17-D17-C17</f>
        <v>189</v>
      </c>
      <c r="G17" s="31">
        <v>159</v>
      </c>
      <c r="H17" s="31">
        <v>163</v>
      </c>
      <c r="I17" s="31">
        <v>185</v>
      </c>
      <c r="J17" s="31">
        <f>705-I17-H17-G17</f>
        <v>198</v>
      </c>
      <c r="K17" s="31">
        <v>180</v>
      </c>
      <c r="L17" s="31">
        <v>191</v>
      </c>
      <c r="M17" s="31">
        <v>209</v>
      </c>
      <c r="N17" s="31">
        <f>780-M17-L17-K17</f>
        <v>200</v>
      </c>
      <c r="O17" s="31">
        <v>201</v>
      </c>
    </row>
    <row r="18" spans="1:32" s="30" customFormat="1" x14ac:dyDescent="0.3">
      <c r="B18" s="23"/>
      <c r="C18" s="25">
        <f t="shared" ref="C18:O18" si="5">C17/C13</f>
        <v>0.18497109826589594</v>
      </c>
      <c r="D18" s="25">
        <f t="shared" si="5"/>
        <v>0.20960000000000001</v>
      </c>
      <c r="E18" s="25">
        <f t="shared" si="5"/>
        <v>0.22013422818791947</v>
      </c>
      <c r="F18" s="25">
        <f t="shared" si="5"/>
        <v>0.24901185770750989</v>
      </c>
      <c r="G18" s="25">
        <f t="shared" si="5"/>
        <v>0.2214484679665738</v>
      </c>
      <c r="H18" s="25">
        <f t="shared" si="5"/>
        <v>0.21967654986522911</v>
      </c>
      <c r="I18" s="25">
        <f t="shared" si="5"/>
        <v>0.24088541666666666</v>
      </c>
      <c r="J18" s="25">
        <f t="shared" si="5"/>
        <v>0.24384236453201971</v>
      </c>
      <c r="K18" s="25">
        <f t="shared" si="5"/>
        <v>0.22415940224159403</v>
      </c>
      <c r="L18" s="25">
        <f t="shared" si="5"/>
        <v>0.22550177095631641</v>
      </c>
      <c r="M18" s="25">
        <f t="shared" si="5"/>
        <v>0.24106113033448673</v>
      </c>
      <c r="N18" s="25">
        <f t="shared" si="5"/>
        <v>0.22371364653243847</v>
      </c>
      <c r="O18" s="25">
        <f t="shared" si="5"/>
        <v>0.23076923076923078</v>
      </c>
      <c r="P18" s="25">
        <v>0.22500000000000001</v>
      </c>
      <c r="Q18" s="25">
        <v>0.22500000000000001</v>
      </c>
      <c r="R18" s="25">
        <v>0.22500000000000001</v>
      </c>
      <c r="S18" s="25">
        <v>0.22500000000000001</v>
      </c>
      <c r="T18" s="25">
        <v>0.22500000000000001</v>
      </c>
      <c r="U18" s="25">
        <v>0.22500000000000001</v>
      </c>
      <c r="V18" s="25">
        <v>0.22500000000000001</v>
      </c>
    </row>
    <row r="19" spans="1:32" s="33" customFormat="1" x14ac:dyDescent="0.3">
      <c r="B19" s="32" t="s">
        <v>65</v>
      </c>
      <c r="C19" s="34">
        <f t="shared" ref="C19:O19" si="6">SUM(C20:C21)</f>
        <v>654</v>
      </c>
      <c r="D19" s="34">
        <f t="shared" si="6"/>
        <v>675</v>
      </c>
      <c r="E19" s="34">
        <f t="shared" si="6"/>
        <v>640</v>
      </c>
      <c r="F19" s="34">
        <f t="shared" si="6"/>
        <v>610</v>
      </c>
      <c r="G19" s="34">
        <f t="shared" si="6"/>
        <v>671</v>
      </c>
      <c r="H19" s="34">
        <f t="shared" si="6"/>
        <v>708</v>
      </c>
      <c r="I19" s="34">
        <f t="shared" si="6"/>
        <v>744</v>
      </c>
      <c r="J19" s="34">
        <f t="shared" si="6"/>
        <v>707</v>
      </c>
      <c r="K19" s="34">
        <f t="shared" si="6"/>
        <v>738</v>
      </c>
      <c r="L19" s="34">
        <f t="shared" si="6"/>
        <v>751</v>
      </c>
      <c r="M19" s="34">
        <f t="shared" si="6"/>
        <v>753</v>
      </c>
      <c r="N19" s="34">
        <f t="shared" si="6"/>
        <v>722</v>
      </c>
      <c r="O19" s="34">
        <f t="shared" si="6"/>
        <v>725</v>
      </c>
      <c r="P19" s="33">
        <v>725</v>
      </c>
      <c r="Q19" s="33">
        <v>740</v>
      </c>
      <c r="R19" s="33">
        <v>760</v>
      </c>
      <c r="S19" s="33">
        <v>760</v>
      </c>
      <c r="T19" s="33">
        <v>780</v>
      </c>
      <c r="U19" s="33">
        <v>810</v>
      </c>
      <c r="V19" s="33">
        <v>800</v>
      </c>
    </row>
    <row r="20" spans="1:32" s="36" customFormat="1" x14ac:dyDescent="0.3">
      <c r="B20" s="35" t="s">
        <v>60</v>
      </c>
      <c r="C20" s="37">
        <v>342</v>
      </c>
      <c r="D20" s="37">
        <v>384</v>
      </c>
      <c r="E20" s="37">
        <v>364</v>
      </c>
      <c r="F20" s="37">
        <f>1438-E20-D20-C20</f>
        <v>348</v>
      </c>
      <c r="G20" s="37">
        <v>402</v>
      </c>
      <c r="H20" s="37">
        <v>445</v>
      </c>
      <c r="I20" s="37">
        <v>460</v>
      </c>
      <c r="J20" s="37">
        <f>1736-I20-H20-G20</f>
        <v>429</v>
      </c>
      <c r="K20" s="37">
        <v>447</v>
      </c>
      <c r="L20" s="37">
        <v>459</v>
      </c>
      <c r="M20" s="37">
        <v>452</v>
      </c>
      <c r="N20" s="37">
        <f>1784-M20-L20-K20</f>
        <v>426</v>
      </c>
      <c r="O20" s="37">
        <v>435</v>
      </c>
    </row>
    <row r="21" spans="1:32" s="36" customFormat="1" x14ac:dyDescent="0.3">
      <c r="B21" s="35" t="s">
        <v>61</v>
      </c>
      <c r="C21" s="37">
        <v>312</v>
      </c>
      <c r="D21" s="37">
        <v>291</v>
      </c>
      <c r="E21" s="37">
        <v>276</v>
      </c>
      <c r="F21" s="37">
        <f>1141-E21-D21-C21</f>
        <v>262</v>
      </c>
      <c r="G21" s="37">
        <v>269</v>
      </c>
      <c r="H21" s="37">
        <v>263</v>
      </c>
      <c r="I21" s="37">
        <v>284</v>
      </c>
      <c r="J21" s="37">
        <f>1094-I21-H21-G21</f>
        <v>278</v>
      </c>
      <c r="K21" s="37">
        <v>291</v>
      </c>
      <c r="L21" s="37">
        <v>292</v>
      </c>
      <c r="M21" s="37">
        <v>301</v>
      </c>
      <c r="N21" s="37">
        <f>1180-M21-L21-K21</f>
        <v>296</v>
      </c>
      <c r="O21" s="37">
        <v>290</v>
      </c>
    </row>
    <row r="22" spans="1:32" s="39" customFormat="1" x14ac:dyDescent="0.3">
      <c r="B22" s="38" t="s">
        <v>68</v>
      </c>
      <c r="C22" s="40">
        <v>113</v>
      </c>
      <c r="D22" s="40">
        <v>121</v>
      </c>
      <c r="E22" s="40">
        <v>115</v>
      </c>
      <c r="F22" s="40">
        <f>449-E22-D22-C22</f>
        <v>100</v>
      </c>
      <c r="G22" s="40">
        <v>113</v>
      </c>
      <c r="H22" s="40">
        <v>108</v>
      </c>
      <c r="I22" s="40">
        <v>125</v>
      </c>
      <c r="J22" s="40">
        <f>453-I22-H22-G22</f>
        <v>107</v>
      </c>
      <c r="K22" s="40">
        <v>107</v>
      </c>
      <c r="L22" s="40">
        <v>115</v>
      </c>
      <c r="M22" s="40">
        <v>131</v>
      </c>
      <c r="N22" s="40">
        <f>482-M22-L22-K22</f>
        <v>129</v>
      </c>
      <c r="O22" s="40">
        <v>116</v>
      </c>
    </row>
    <row r="23" spans="1:32" s="39" customFormat="1" x14ac:dyDescent="0.3">
      <c r="B23" s="38"/>
      <c r="C23" s="41">
        <f t="shared" ref="C23:O23" si="7">C22/C19</f>
        <v>0.172782874617737</v>
      </c>
      <c r="D23" s="41">
        <f t="shared" si="7"/>
        <v>0.17925925925925926</v>
      </c>
      <c r="E23" s="41">
        <f t="shared" si="7"/>
        <v>0.1796875</v>
      </c>
      <c r="F23" s="41">
        <f t="shared" si="7"/>
        <v>0.16393442622950818</v>
      </c>
      <c r="G23" s="41">
        <f t="shared" si="7"/>
        <v>0.16840536512667661</v>
      </c>
      <c r="H23" s="41">
        <f t="shared" si="7"/>
        <v>0.15254237288135594</v>
      </c>
      <c r="I23" s="41">
        <f t="shared" si="7"/>
        <v>0.16801075268817203</v>
      </c>
      <c r="J23" s="41">
        <f t="shared" si="7"/>
        <v>0.15134370579915135</v>
      </c>
      <c r="K23" s="41">
        <f t="shared" si="7"/>
        <v>0.14498644986449866</v>
      </c>
      <c r="L23" s="41">
        <f t="shared" si="7"/>
        <v>0.15312916111850866</v>
      </c>
      <c r="M23" s="41">
        <f t="shared" si="7"/>
        <v>0.17397078353253653</v>
      </c>
      <c r="N23" s="41">
        <f t="shared" si="7"/>
        <v>0.17867036011080331</v>
      </c>
      <c r="O23" s="41">
        <f t="shared" si="7"/>
        <v>0.16</v>
      </c>
      <c r="P23" s="47">
        <v>0.17</v>
      </c>
      <c r="Q23" s="47">
        <v>0.17</v>
      </c>
      <c r="R23" s="47">
        <v>0.17</v>
      </c>
      <c r="S23" s="47">
        <v>0.17</v>
      </c>
      <c r="T23" s="47">
        <v>0.17</v>
      </c>
      <c r="U23" s="47">
        <v>0.17</v>
      </c>
      <c r="V23" s="47">
        <v>0.17</v>
      </c>
    </row>
    <row r="24" spans="1:32" s="26" customFormat="1" x14ac:dyDescent="0.3">
      <c r="B24" s="19" t="s">
        <v>66</v>
      </c>
      <c r="C24" s="27">
        <v>83</v>
      </c>
      <c r="D24" s="27">
        <v>88</v>
      </c>
      <c r="E24" s="27">
        <v>84</v>
      </c>
      <c r="F24" s="27">
        <f>343-E24-D24-C24</f>
        <v>88</v>
      </c>
      <c r="G24" s="27">
        <v>126</v>
      </c>
      <c r="H24" s="27">
        <v>136</v>
      </c>
      <c r="I24" s="27">
        <v>137</v>
      </c>
      <c r="J24" s="27">
        <f>538-I24-H24-G24</f>
        <v>139</v>
      </c>
      <c r="K24" s="27">
        <v>147</v>
      </c>
      <c r="L24" s="27">
        <v>161</v>
      </c>
      <c r="M24" s="27">
        <v>163</v>
      </c>
      <c r="N24" s="27">
        <f>636-M24-L24-K24</f>
        <v>165</v>
      </c>
      <c r="O24" s="27">
        <v>158</v>
      </c>
      <c r="P24" s="26">
        <v>140</v>
      </c>
      <c r="Q24" s="26">
        <v>150</v>
      </c>
      <c r="R24" s="26">
        <v>170</v>
      </c>
      <c r="S24" s="26">
        <v>190</v>
      </c>
      <c r="T24" s="26">
        <v>200</v>
      </c>
      <c r="U24" s="26">
        <v>210</v>
      </c>
      <c r="V24" s="26">
        <v>240</v>
      </c>
    </row>
    <row r="25" spans="1:32" s="30" customFormat="1" x14ac:dyDescent="0.3">
      <c r="B25" s="23" t="s">
        <v>68</v>
      </c>
      <c r="C25" s="31">
        <v>-7</v>
      </c>
      <c r="D25" s="31">
        <v>-6</v>
      </c>
      <c r="E25" s="31">
        <v>-8</v>
      </c>
      <c r="F25" s="31">
        <f>-29-E25-D25-C25</f>
        <v>-8</v>
      </c>
      <c r="G25" s="31">
        <v>-3</v>
      </c>
      <c r="H25" s="31">
        <v>-2</v>
      </c>
      <c r="I25" s="31">
        <v>-2</v>
      </c>
      <c r="J25" s="31">
        <f>-9-I25-H25-G25</f>
        <v>-2</v>
      </c>
      <c r="K25" s="31">
        <v>-4</v>
      </c>
      <c r="L25" s="31">
        <v>-1</v>
      </c>
      <c r="M25" s="31">
        <v>0</v>
      </c>
      <c r="N25" s="31">
        <f>-21-M25-L25-K25</f>
        <v>-16</v>
      </c>
      <c r="O25" s="31">
        <v>-4</v>
      </c>
    </row>
    <row r="26" spans="1:32" s="30" customFormat="1" x14ac:dyDescent="0.3">
      <c r="B26" s="23"/>
      <c r="C26" s="25">
        <f t="shared" ref="C26:O26" si="8">C25/C24</f>
        <v>-8.4337349397590355E-2</v>
      </c>
      <c r="D26" s="25">
        <f t="shared" si="8"/>
        <v>-6.8181818181818177E-2</v>
      </c>
      <c r="E26" s="25">
        <f t="shared" si="8"/>
        <v>-9.5238095238095233E-2</v>
      </c>
      <c r="F26" s="25">
        <f t="shared" si="8"/>
        <v>-9.0909090909090912E-2</v>
      </c>
      <c r="G26" s="25">
        <f t="shared" si="8"/>
        <v>-2.3809523809523808E-2</v>
      </c>
      <c r="H26" s="25">
        <f t="shared" si="8"/>
        <v>-1.4705882352941176E-2</v>
      </c>
      <c r="I26" s="25">
        <f t="shared" si="8"/>
        <v>-1.4598540145985401E-2</v>
      </c>
      <c r="J26" s="25">
        <f t="shared" si="8"/>
        <v>-1.4388489208633094E-2</v>
      </c>
      <c r="K26" s="25">
        <f t="shared" si="8"/>
        <v>-2.7210884353741496E-2</v>
      </c>
      <c r="L26" s="25">
        <f t="shared" si="8"/>
        <v>-6.2111801242236021E-3</v>
      </c>
      <c r="M26" s="25">
        <f t="shared" si="8"/>
        <v>0</v>
      </c>
      <c r="N26" s="25">
        <f t="shared" si="8"/>
        <v>-9.696969696969697E-2</v>
      </c>
      <c r="O26" s="25">
        <f t="shared" si="8"/>
        <v>-2.5316455696202531E-2</v>
      </c>
      <c r="P26" s="48">
        <v>-0.01</v>
      </c>
      <c r="Q26" s="48">
        <v>-1.4999999999999999E-2</v>
      </c>
      <c r="R26" s="30">
        <v>0</v>
      </c>
      <c r="S26" s="48">
        <v>0.01</v>
      </c>
      <c r="T26" s="48">
        <v>0.01</v>
      </c>
      <c r="U26" s="48">
        <v>0.01</v>
      </c>
      <c r="V26" s="48">
        <v>1.7000000000000001E-2</v>
      </c>
    </row>
    <row r="27" spans="1:32" s="10" customFormat="1" x14ac:dyDescent="0.3">
      <c r="B27" s="14"/>
      <c r="O27" s="15"/>
    </row>
    <row r="28" spans="1:32" s="7" customFormat="1" x14ac:dyDescent="0.3">
      <c r="A28" s="6"/>
      <c r="B28" s="12" t="s">
        <v>9</v>
      </c>
      <c r="C28" s="7">
        <v>4692</v>
      </c>
      <c r="D28" s="7">
        <v>5215</v>
      </c>
      <c r="E28" s="7">
        <v>4923</v>
      </c>
      <c r="F28" s="6">
        <f>19628-E28-D28-C28</f>
        <v>4798</v>
      </c>
      <c r="G28" s="7">
        <v>4843</v>
      </c>
      <c r="H28" s="7">
        <v>5212</v>
      </c>
      <c r="I28" s="7">
        <v>5313</v>
      </c>
      <c r="J28" s="7">
        <f>20752-I28-H28-G28</f>
        <v>5384</v>
      </c>
      <c r="K28" s="7">
        <v>5483</v>
      </c>
      <c r="L28" s="7">
        <v>5866</v>
      </c>
      <c r="M28" s="7">
        <v>5880</v>
      </c>
      <c r="N28" s="7">
        <f>23196-M28-L28-K28</f>
        <v>5967</v>
      </c>
      <c r="O28" s="7">
        <v>5943</v>
      </c>
      <c r="P28" s="7">
        <f t="shared" ref="P28:V28" si="9">SUM(P24+P19+P13+P8+P3)</f>
        <v>6325.8</v>
      </c>
      <c r="Q28" s="7">
        <f t="shared" si="9"/>
        <v>6483.3119999999999</v>
      </c>
      <c r="R28" s="7">
        <f t="shared" si="9"/>
        <v>6625.9782400000004</v>
      </c>
      <c r="S28" s="7">
        <f t="shared" si="9"/>
        <v>6679.8978048000008</v>
      </c>
      <c r="T28" s="7">
        <f t="shared" si="9"/>
        <v>7023.2886072320007</v>
      </c>
      <c r="U28" s="7">
        <f t="shared" si="9"/>
        <v>7204.3543793766403</v>
      </c>
      <c r="V28" s="7">
        <f t="shared" si="9"/>
        <v>7286.8414669641734</v>
      </c>
      <c r="W28" s="6"/>
      <c r="X28" s="6"/>
      <c r="Y28" s="6"/>
      <c r="Z28" s="7">
        <f t="shared" ref="Z28:Z38" si="10">SUM(C28:F28)</f>
        <v>19628</v>
      </c>
      <c r="AA28" s="7">
        <f t="shared" ref="AA28:AA38" si="11">SUM(G28:J28)</f>
        <v>20752</v>
      </c>
      <c r="AB28" s="7">
        <f t="shared" ref="AB28:AB38" si="12">SUM(K28:N28)</f>
        <v>23196</v>
      </c>
      <c r="AC28" s="7">
        <f>SUM(N28:Q28)</f>
        <v>24719.112000000001</v>
      </c>
      <c r="AD28" s="7">
        <f>SUM(S28:V28)</f>
        <v>28194.382258372818</v>
      </c>
      <c r="AE28" s="7">
        <f>AD28*1.08</f>
        <v>30449.932839042645</v>
      </c>
      <c r="AF28" s="7">
        <f>AE28*1.08</f>
        <v>32885.92746616606</v>
      </c>
    </row>
    <row r="29" spans="1:32" x14ac:dyDescent="0.3">
      <c r="B29" s="3" t="s">
        <v>10</v>
      </c>
      <c r="C29" s="1">
        <v>3184</v>
      </c>
      <c r="D29" s="1">
        <v>3545</v>
      </c>
      <c r="E29" s="1">
        <v>3338</v>
      </c>
      <c r="F29">
        <f>13293-E29-D29-C29</f>
        <v>3226</v>
      </c>
      <c r="G29" s="1">
        <v>3269</v>
      </c>
      <c r="H29" s="1">
        <v>3505</v>
      </c>
      <c r="I29" s="1">
        <v>3545</v>
      </c>
      <c r="J29" s="1">
        <f>13865-I29-H29-G29</f>
        <v>3546</v>
      </c>
      <c r="K29" s="1">
        <v>3599</v>
      </c>
      <c r="L29" s="1">
        <v>3747</v>
      </c>
      <c r="M29" s="1">
        <v>3684</v>
      </c>
      <c r="N29" s="1">
        <f>14762-M29-L29-K29</f>
        <v>3732</v>
      </c>
      <c r="O29" s="1">
        <v>3725</v>
      </c>
      <c r="Z29" s="15">
        <f t="shared" si="10"/>
        <v>13293</v>
      </c>
      <c r="AA29" s="15">
        <f t="shared" si="11"/>
        <v>13865</v>
      </c>
      <c r="AB29" s="15">
        <f t="shared" si="12"/>
        <v>14762</v>
      </c>
      <c r="AC29" s="10"/>
      <c r="AD29" s="10"/>
    </row>
    <row r="30" spans="1:32" x14ac:dyDescent="0.3">
      <c r="B30" s="3" t="s">
        <v>13</v>
      </c>
      <c r="C30" s="1">
        <f t="shared" ref="C30:O30" si="13">C28-C29</f>
        <v>1508</v>
      </c>
      <c r="D30" s="1">
        <f t="shared" si="13"/>
        <v>1670</v>
      </c>
      <c r="E30" s="1">
        <f t="shared" si="13"/>
        <v>1585</v>
      </c>
      <c r="F30" s="1">
        <f t="shared" si="13"/>
        <v>1572</v>
      </c>
      <c r="G30" s="1">
        <f t="shared" si="13"/>
        <v>1574</v>
      </c>
      <c r="H30" s="1">
        <f t="shared" si="13"/>
        <v>1707</v>
      </c>
      <c r="I30" s="1">
        <f t="shared" si="13"/>
        <v>1768</v>
      </c>
      <c r="J30" s="1">
        <f t="shared" si="13"/>
        <v>1838</v>
      </c>
      <c r="K30" s="1">
        <f t="shared" si="13"/>
        <v>1884</v>
      </c>
      <c r="L30" s="1">
        <f t="shared" si="13"/>
        <v>2119</v>
      </c>
      <c r="M30" s="1">
        <f t="shared" si="13"/>
        <v>2196</v>
      </c>
      <c r="N30" s="1">
        <f t="shared" si="13"/>
        <v>2235</v>
      </c>
      <c r="O30" s="1">
        <f t="shared" si="13"/>
        <v>2218</v>
      </c>
      <c r="Z30" s="15">
        <f t="shared" si="10"/>
        <v>6335</v>
      </c>
      <c r="AA30" s="15">
        <f t="shared" si="11"/>
        <v>6887</v>
      </c>
      <c r="AB30" s="15">
        <f t="shared" si="12"/>
        <v>8434</v>
      </c>
      <c r="AC30" s="10"/>
      <c r="AD30" s="10"/>
    </row>
    <row r="31" spans="1:32" x14ac:dyDescent="0.3">
      <c r="B31" s="3" t="s">
        <v>11</v>
      </c>
      <c r="C31" s="1">
        <v>795</v>
      </c>
      <c r="D31" s="1">
        <v>876</v>
      </c>
      <c r="E31" s="1">
        <v>834</v>
      </c>
      <c r="F31">
        <f>3256-E31-D31-C31</f>
        <v>751</v>
      </c>
      <c r="G31" s="1">
        <v>790</v>
      </c>
      <c r="H31" s="1">
        <v>828</v>
      </c>
      <c r="I31" s="1">
        <v>813</v>
      </c>
      <c r="J31" s="1">
        <f>3227-I31-H31-G31</f>
        <v>796</v>
      </c>
      <c r="K31" s="1">
        <v>904</v>
      </c>
      <c r="L31" s="1">
        <v>986</v>
      </c>
      <c r="M31" s="1">
        <v>949</v>
      </c>
      <c r="N31" s="1">
        <f>3795-M31-L31-K31</f>
        <v>956</v>
      </c>
      <c r="O31" s="1">
        <v>1025</v>
      </c>
      <c r="Z31" s="15">
        <f t="shared" si="10"/>
        <v>3256</v>
      </c>
      <c r="AA31" s="15">
        <f t="shared" si="11"/>
        <v>3227</v>
      </c>
      <c r="AB31" s="15">
        <f t="shared" si="12"/>
        <v>3795</v>
      </c>
      <c r="AC31" s="10"/>
      <c r="AD31" s="10"/>
    </row>
    <row r="32" spans="1:32" x14ac:dyDescent="0.3">
      <c r="B32" s="3" t="s">
        <v>12</v>
      </c>
      <c r="C32" s="1">
        <v>148</v>
      </c>
      <c r="D32" s="1">
        <v>154</v>
      </c>
      <c r="E32" s="1">
        <v>152</v>
      </c>
      <c r="F32">
        <f>616-E32-D32-C32</f>
        <v>162</v>
      </c>
      <c r="G32" s="1">
        <v>165</v>
      </c>
      <c r="H32" s="1">
        <v>168</v>
      </c>
      <c r="I32" s="1">
        <v>165</v>
      </c>
      <c r="J32" s="1">
        <f>665-I32-H32-G32</f>
        <v>167</v>
      </c>
      <c r="K32" s="1">
        <v>179</v>
      </c>
      <c r="L32" s="1">
        <v>187</v>
      </c>
      <c r="M32" s="1">
        <v>187</v>
      </c>
      <c r="N32" s="1">
        <f>754-M32-L32-K32</f>
        <v>201</v>
      </c>
      <c r="O32" s="1">
        <v>189</v>
      </c>
      <c r="Z32" s="15">
        <f t="shared" si="10"/>
        <v>616</v>
      </c>
      <c r="AA32" s="15">
        <f t="shared" si="11"/>
        <v>665</v>
      </c>
      <c r="AB32" s="15">
        <f t="shared" si="12"/>
        <v>754</v>
      </c>
      <c r="AC32" s="10"/>
      <c r="AD32" s="10"/>
    </row>
    <row r="33" spans="1:142" x14ac:dyDescent="0.3">
      <c r="B33" s="3" t="s">
        <v>14</v>
      </c>
      <c r="C33" s="1">
        <f t="shared" ref="C33:O33" si="14">C30-C31-C32</f>
        <v>565</v>
      </c>
      <c r="D33" s="1">
        <f t="shared" si="14"/>
        <v>640</v>
      </c>
      <c r="E33" s="1">
        <f t="shared" si="14"/>
        <v>599</v>
      </c>
      <c r="F33" s="1">
        <f t="shared" si="14"/>
        <v>659</v>
      </c>
      <c r="G33" s="1">
        <f t="shared" si="14"/>
        <v>619</v>
      </c>
      <c r="H33" s="1">
        <f t="shared" si="14"/>
        <v>711</v>
      </c>
      <c r="I33" s="1">
        <f t="shared" si="14"/>
        <v>790</v>
      </c>
      <c r="J33" s="1">
        <f t="shared" si="14"/>
        <v>875</v>
      </c>
      <c r="K33" s="1">
        <f t="shared" si="14"/>
        <v>801</v>
      </c>
      <c r="L33" s="1">
        <f t="shared" si="14"/>
        <v>946</v>
      </c>
      <c r="M33" s="1">
        <f t="shared" si="14"/>
        <v>1060</v>
      </c>
      <c r="N33" s="1">
        <f t="shared" si="14"/>
        <v>1078</v>
      </c>
      <c r="O33" s="1">
        <f t="shared" si="14"/>
        <v>1004</v>
      </c>
      <c r="P33" s="1">
        <f t="shared" ref="P33:V33" si="15">P26*P24+P23*P19+P13*P18+P8*P12+P3*P7-320</f>
        <v>1134.634</v>
      </c>
      <c r="Q33" s="1">
        <f t="shared" si="15"/>
        <v>1172.7773600000003</v>
      </c>
      <c r="R33" s="1">
        <f t="shared" si="15"/>
        <v>1204.9739072000002</v>
      </c>
      <c r="S33" s="1">
        <f t="shared" si="15"/>
        <v>1218.0213853440002</v>
      </c>
      <c r="T33" s="1">
        <f t="shared" si="15"/>
        <v>1308.1708100249602</v>
      </c>
      <c r="U33" s="1">
        <f t="shared" si="15"/>
        <v>1347.4192262254596</v>
      </c>
      <c r="V33" s="1">
        <f t="shared" si="15"/>
        <v>1366.9456107499686</v>
      </c>
      <c r="Z33" s="15">
        <f t="shared" si="10"/>
        <v>2463</v>
      </c>
      <c r="AA33" s="15">
        <f t="shared" si="11"/>
        <v>2995</v>
      </c>
      <c r="AB33" s="15">
        <f t="shared" si="12"/>
        <v>3885</v>
      </c>
      <c r="AC33" s="15">
        <f>SUM(N33:Q33)</f>
        <v>4389.4113600000001</v>
      </c>
      <c r="AD33" s="15">
        <f>SUM(S33:V33)</f>
        <v>5240.557032344389</v>
      </c>
    </row>
    <row r="34" spans="1:142" x14ac:dyDescent="0.3">
      <c r="B34" s="3" t="s">
        <v>20</v>
      </c>
      <c r="C34" s="1">
        <v>38</v>
      </c>
      <c r="D34" s="1">
        <v>37</v>
      </c>
      <c r="E34" s="1">
        <v>37</v>
      </c>
      <c r="F34">
        <f>144-E34-D34-C34</f>
        <v>32</v>
      </c>
      <c r="G34" s="1">
        <v>32</v>
      </c>
      <c r="H34" s="1">
        <v>31</v>
      </c>
      <c r="I34" s="1">
        <v>37</v>
      </c>
      <c r="J34" s="1">
        <f>144-I34-H34-G34</f>
        <v>44</v>
      </c>
      <c r="K34" s="1">
        <v>50</v>
      </c>
      <c r="L34" s="1">
        <v>42</v>
      </c>
      <c r="M34" s="1">
        <v>33</v>
      </c>
      <c r="N34" s="1">
        <f>151-M34-L34-K34</f>
        <v>26</v>
      </c>
      <c r="O34" s="1">
        <f>30</f>
        <v>30</v>
      </c>
      <c r="Z34" s="15">
        <f t="shared" si="10"/>
        <v>144</v>
      </c>
      <c r="AA34" s="15">
        <f t="shared" si="11"/>
        <v>144</v>
      </c>
      <c r="AB34" s="15">
        <f t="shared" si="12"/>
        <v>151</v>
      </c>
      <c r="AC34" s="10"/>
      <c r="AD34" s="10"/>
    </row>
    <row r="35" spans="1:142" x14ac:dyDescent="0.3">
      <c r="B35" s="3" t="s">
        <v>21</v>
      </c>
      <c r="C35" s="1">
        <v>11</v>
      </c>
      <c r="D35" s="1">
        <v>17</v>
      </c>
      <c r="E35" s="1">
        <v>-66</v>
      </c>
      <c r="F35">
        <f>-40-E35-D35-C35</f>
        <v>-2</v>
      </c>
      <c r="G35" s="1">
        <v>-8</v>
      </c>
      <c r="H35" s="1">
        <v>-41</v>
      </c>
      <c r="I35" s="1">
        <v>-34</v>
      </c>
      <c r="J35" s="1">
        <f>36-I35-H35-G35</f>
        <v>119</v>
      </c>
      <c r="K35" s="1">
        <v>-11</v>
      </c>
      <c r="L35" s="1">
        <v>-7</v>
      </c>
      <c r="M35" s="1">
        <v>52</v>
      </c>
      <c r="N35" s="1">
        <f>93-M35-L35-K35</f>
        <v>59</v>
      </c>
      <c r="O35" s="1">
        <v>-26</v>
      </c>
      <c r="Z35" s="15">
        <f t="shared" si="10"/>
        <v>-40</v>
      </c>
      <c r="AA35" s="15">
        <f t="shared" si="11"/>
        <v>36</v>
      </c>
      <c r="AB35" s="15">
        <f t="shared" si="12"/>
        <v>93</v>
      </c>
      <c r="AC35" s="10"/>
      <c r="AD35" s="10"/>
    </row>
    <row r="36" spans="1:142" x14ac:dyDescent="0.3">
      <c r="B36" s="3" t="s">
        <v>15</v>
      </c>
      <c r="C36" s="1">
        <f t="shared" ref="C36:O36" si="16">C33-C34+C35</f>
        <v>538</v>
      </c>
      <c r="D36" s="1">
        <f t="shared" si="16"/>
        <v>620</v>
      </c>
      <c r="E36" s="1">
        <f t="shared" si="16"/>
        <v>496</v>
      </c>
      <c r="F36" s="1">
        <f t="shared" si="16"/>
        <v>625</v>
      </c>
      <c r="G36" s="1">
        <f t="shared" si="16"/>
        <v>579</v>
      </c>
      <c r="H36" s="1">
        <f t="shared" si="16"/>
        <v>639</v>
      </c>
      <c r="I36" s="1">
        <f t="shared" si="16"/>
        <v>719</v>
      </c>
      <c r="J36" s="42">
        <f t="shared" si="16"/>
        <v>950</v>
      </c>
      <c r="K36" s="1">
        <f t="shared" si="16"/>
        <v>740</v>
      </c>
      <c r="L36" s="1">
        <f t="shared" si="16"/>
        <v>897</v>
      </c>
      <c r="M36" s="1">
        <f t="shared" si="16"/>
        <v>1079</v>
      </c>
      <c r="N36" s="42">
        <f t="shared" si="16"/>
        <v>1111</v>
      </c>
      <c r="O36" s="1">
        <f t="shared" si="16"/>
        <v>948</v>
      </c>
      <c r="Z36" s="15">
        <f t="shared" si="10"/>
        <v>2279</v>
      </c>
      <c r="AA36" s="15">
        <f t="shared" si="11"/>
        <v>2887</v>
      </c>
      <c r="AB36" s="15">
        <f t="shared" si="12"/>
        <v>3827</v>
      </c>
      <c r="AC36" s="10"/>
      <c r="AD36" s="10"/>
    </row>
    <row r="37" spans="1:142" x14ac:dyDescent="0.3">
      <c r="B37" s="3" t="s">
        <v>16</v>
      </c>
      <c r="C37" s="1">
        <v>79</v>
      </c>
      <c r="D37" s="1">
        <v>114</v>
      </c>
      <c r="E37" s="1">
        <v>483</v>
      </c>
      <c r="F37" s="1">
        <f>750-E37-D37-C37</f>
        <v>74</v>
      </c>
      <c r="G37" s="1">
        <v>86</v>
      </c>
      <c r="H37" s="1">
        <v>119</v>
      </c>
      <c r="I37" s="1">
        <v>112</v>
      </c>
      <c r="J37" s="1">
        <f>445-I37-H37-G37</f>
        <v>128</v>
      </c>
      <c r="K37" s="1">
        <v>123</v>
      </c>
      <c r="L37" s="1">
        <v>153</v>
      </c>
      <c r="M37" s="1">
        <v>187</v>
      </c>
      <c r="N37" s="1">
        <f>604-M37-L37-K37</f>
        <v>141</v>
      </c>
      <c r="O37" s="1">
        <v>179</v>
      </c>
      <c r="Z37" s="15">
        <f t="shared" si="10"/>
        <v>750</v>
      </c>
      <c r="AA37" s="15">
        <f t="shared" si="11"/>
        <v>445</v>
      </c>
      <c r="AB37" s="15">
        <f t="shared" si="12"/>
        <v>604</v>
      </c>
      <c r="AC37" s="10"/>
      <c r="AD37" s="10"/>
    </row>
    <row r="38" spans="1:142" s="1" customFormat="1" x14ac:dyDescent="0.3">
      <c r="A38"/>
      <c r="B38" s="3" t="s">
        <v>17</v>
      </c>
      <c r="C38" s="1">
        <f t="shared" ref="C38:O38" si="17">C36-C37</f>
        <v>459</v>
      </c>
      <c r="D38" s="1">
        <f t="shared" si="17"/>
        <v>506</v>
      </c>
      <c r="E38" s="1">
        <f t="shared" si="17"/>
        <v>13</v>
      </c>
      <c r="F38" s="1">
        <f t="shared" si="17"/>
        <v>551</v>
      </c>
      <c r="G38" s="1">
        <f t="shared" si="17"/>
        <v>493</v>
      </c>
      <c r="H38" s="1">
        <f t="shared" si="17"/>
        <v>520</v>
      </c>
      <c r="I38" s="1">
        <f t="shared" si="17"/>
        <v>607</v>
      </c>
      <c r="J38" s="1">
        <f t="shared" si="17"/>
        <v>822</v>
      </c>
      <c r="K38" s="1">
        <f t="shared" si="17"/>
        <v>617</v>
      </c>
      <c r="L38" s="1">
        <f t="shared" si="17"/>
        <v>744</v>
      </c>
      <c r="M38" s="1">
        <f t="shared" si="17"/>
        <v>892</v>
      </c>
      <c r="N38" s="1">
        <f t="shared" si="17"/>
        <v>970</v>
      </c>
      <c r="O38" s="1">
        <f t="shared" si="17"/>
        <v>769</v>
      </c>
      <c r="P38" s="1">
        <f t="shared" ref="P38:V38" si="18">P33-P33*P44</f>
        <v>953.09256000000005</v>
      </c>
      <c r="Q38" s="1">
        <f t="shared" si="18"/>
        <v>985.13298240000017</v>
      </c>
      <c r="R38" s="1">
        <f t="shared" si="18"/>
        <v>1012.1780820480002</v>
      </c>
      <c r="S38" s="1">
        <f t="shared" si="18"/>
        <v>1023.1379636889602</v>
      </c>
      <c r="T38" s="1">
        <f t="shared" si="18"/>
        <v>1098.8634804209667</v>
      </c>
      <c r="U38" s="1">
        <f t="shared" si="18"/>
        <v>1131.832150029386</v>
      </c>
      <c r="V38" s="1">
        <f t="shared" si="18"/>
        <v>1148.2343130299737</v>
      </c>
      <c r="W38"/>
      <c r="X38"/>
      <c r="Y38"/>
      <c r="Z38" s="15">
        <f t="shared" si="10"/>
        <v>1529</v>
      </c>
      <c r="AA38" s="15">
        <f t="shared" si="11"/>
        <v>2442</v>
      </c>
      <c r="AB38" s="15">
        <f t="shared" si="12"/>
        <v>3223</v>
      </c>
      <c r="AC38" s="15">
        <f>SUM(N38:Q38)</f>
        <v>3677.2255424000004</v>
      </c>
      <c r="AD38" s="15">
        <f>SUM(S38:V38)</f>
        <v>4402.0679071692866</v>
      </c>
      <c r="AE38" s="1">
        <f>0.16*AE28</f>
        <v>4871.9892542468233</v>
      </c>
      <c r="AF38" s="1">
        <f>0.16*AF28</f>
        <v>5261.7483945865697</v>
      </c>
      <c r="AG38" s="1">
        <f t="shared" ref="AG38:AM38" si="19">AF38*1.05</f>
        <v>5524.8358143158985</v>
      </c>
      <c r="AH38" s="1">
        <f t="shared" si="19"/>
        <v>5801.0776050316936</v>
      </c>
      <c r="AI38" s="1">
        <f t="shared" si="19"/>
        <v>6091.1314852832784</v>
      </c>
      <c r="AJ38" s="1">
        <f t="shared" si="19"/>
        <v>6395.6880595474422</v>
      </c>
      <c r="AK38" s="1">
        <f t="shared" si="19"/>
        <v>6715.4724625248145</v>
      </c>
      <c r="AL38" s="1">
        <f t="shared" si="19"/>
        <v>7051.2460856510552</v>
      </c>
      <c r="AM38" s="1">
        <f t="shared" si="19"/>
        <v>7403.8083899336079</v>
      </c>
      <c r="AN38" s="1">
        <f t="shared" ref="AN38:AW38" si="20">AM38*1.01</f>
        <v>7477.846473832944</v>
      </c>
      <c r="AO38" s="1">
        <f t="shared" si="20"/>
        <v>7552.6249385712736</v>
      </c>
      <c r="AP38" s="1">
        <f t="shared" si="20"/>
        <v>7628.1511879569862</v>
      </c>
      <c r="AQ38" s="1">
        <f t="shared" si="20"/>
        <v>7704.4326998365559</v>
      </c>
      <c r="AR38" s="1">
        <f t="shared" si="20"/>
        <v>7781.4770268349212</v>
      </c>
      <c r="AS38" s="1">
        <f t="shared" si="20"/>
        <v>7859.2917971032703</v>
      </c>
      <c r="AT38" s="1">
        <f t="shared" si="20"/>
        <v>7937.8847150743031</v>
      </c>
      <c r="AU38" s="1">
        <f t="shared" si="20"/>
        <v>8017.2635622250464</v>
      </c>
      <c r="AV38" s="1">
        <f t="shared" si="20"/>
        <v>8097.4361978472971</v>
      </c>
      <c r="AW38" s="1">
        <f t="shared" si="20"/>
        <v>8178.4105598257702</v>
      </c>
      <c r="AX38" s="15">
        <f t="shared" ref="AX38:DF38" si="21">AW38*0.99</f>
        <v>8096.6264542275121</v>
      </c>
      <c r="AY38" s="15">
        <f t="shared" si="21"/>
        <v>8015.6601896852371</v>
      </c>
      <c r="AZ38" s="15">
        <f t="shared" si="21"/>
        <v>7935.5035877883847</v>
      </c>
      <c r="BA38" s="15">
        <f t="shared" si="21"/>
        <v>7856.1485519105008</v>
      </c>
      <c r="BB38" s="15">
        <f t="shared" si="21"/>
        <v>7777.5870663913956</v>
      </c>
      <c r="BC38" s="15">
        <f t="shared" si="21"/>
        <v>7699.8111957274814</v>
      </c>
      <c r="BD38" s="15">
        <f t="shared" si="21"/>
        <v>7622.8130837702065</v>
      </c>
      <c r="BE38" s="15">
        <f t="shared" si="21"/>
        <v>7546.5849529325042</v>
      </c>
      <c r="BF38" s="15">
        <f t="shared" si="21"/>
        <v>7471.119103403179</v>
      </c>
      <c r="BG38" s="15">
        <f t="shared" si="21"/>
        <v>7396.4079123691472</v>
      </c>
      <c r="BH38" s="15">
        <f t="shared" si="21"/>
        <v>7322.4438332454556</v>
      </c>
      <c r="BI38" s="15">
        <f t="shared" si="21"/>
        <v>7249.2193949130005</v>
      </c>
      <c r="BJ38" s="15">
        <f t="shared" si="21"/>
        <v>7176.72720096387</v>
      </c>
      <c r="BK38" s="15">
        <f t="shared" si="21"/>
        <v>7104.9599289542311</v>
      </c>
      <c r="BL38" s="15">
        <f t="shared" si="21"/>
        <v>7033.910329664689</v>
      </c>
      <c r="BM38" s="15">
        <f t="shared" si="21"/>
        <v>6963.5712263680425</v>
      </c>
      <c r="BN38" s="15">
        <f t="shared" si="21"/>
        <v>6893.9355141043625</v>
      </c>
      <c r="BO38" s="15">
        <f t="shared" si="21"/>
        <v>6824.9961589633185</v>
      </c>
      <c r="BP38" s="15">
        <f t="shared" si="21"/>
        <v>6756.7461973736854</v>
      </c>
      <c r="BQ38" s="15">
        <f t="shared" si="21"/>
        <v>6689.1787353999489</v>
      </c>
      <c r="BR38" s="15">
        <f t="shared" si="21"/>
        <v>6622.2869480459494</v>
      </c>
      <c r="BS38" s="15">
        <f t="shared" si="21"/>
        <v>6556.0640785654896</v>
      </c>
      <c r="BT38" s="15">
        <f t="shared" si="21"/>
        <v>6490.5034377798347</v>
      </c>
      <c r="BU38" s="15">
        <f t="shared" si="21"/>
        <v>6425.5984034020366</v>
      </c>
      <c r="BV38" s="15">
        <f t="shared" si="21"/>
        <v>6361.3424193680166</v>
      </c>
      <c r="BW38" s="15">
        <f t="shared" si="21"/>
        <v>6297.728995174336</v>
      </c>
      <c r="BX38" s="15">
        <f t="shared" si="21"/>
        <v>6234.7517052225921</v>
      </c>
      <c r="BY38" s="15">
        <f t="shared" si="21"/>
        <v>6172.4041881703661</v>
      </c>
      <c r="BZ38" s="15">
        <f t="shared" si="21"/>
        <v>6110.6801462886624</v>
      </c>
      <c r="CA38" s="15">
        <f t="shared" si="21"/>
        <v>6049.5733448257761</v>
      </c>
      <c r="CB38" s="15">
        <f t="shared" si="21"/>
        <v>5989.0776113775182</v>
      </c>
      <c r="CC38" s="15">
        <f t="shared" si="21"/>
        <v>5929.186835263743</v>
      </c>
      <c r="CD38" s="15">
        <f t="shared" si="21"/>
        <v>5869.8949669111053</v>
      </c>
      <c r="CE38" s="15">
        <f t="shared" si="21"/>
        <v>5811.196017241994</v>
      </c>
      <c r="CF38" s="15">
        <f t="shared" si="21"/>
        <v>5753.0840570695736</v>
      </c>
      <c r="CG38" s="15">
        <f t="shared" si="21"/>
        <v>5695.5532164988781</v>
      </c>
      <c r="CH38" s="15">
        <f t="shared" si="21"/>
        <v>5638.5976843338894</v>
      </c>
      <c r="CI38" s="15">
        <f t="shared" si="21"/>
        <v>5582.2117074905509</v>
      </c>
      <c r="CJ38" s="15">
        <f t="shared" si="21"/>
        <v>5526.3895904156452</v>
      </c>
      <c r="CK38" s="15">
        <f t="shared" si="21"/>
        <v>5471.1256945114883</v>
      </c>
      <c r="CL38" s="15">
        <f t="shared" si="21"/>
        <v>5416.4144375663736</v>
      </c>
      <c r="CM38" s="15">
        <f t="shared" si="21"/>
        <v>5362.2502931907102</v>
      </c>
      <c r="CN38" s="15">
        <f t="shared" si="21"/>
        <v>5308.6277902588026</v>
      </c>
      <c r="CO38" s="15">
        <f t="shared" si="21"/>
        <v>5255.5415123562143</v>
      </c>
      <c r="CP38" s="15">
        <f t="shared" si="21"/>
        <v>5202.9860972326524</v>
      </c>
      <c r="CQ38" s="15">
        <f t="shared" si="21"/>
        <v>5150.9562362603256</v>
      </c>
      <c r="CR38" s="15">
        <f t="shared" si="21"/>
        <v>5099.4466738977226</v>
      </c>
      <c r="CS38" s="15">
        <f t="shared" si="21"/>
        <v>5048.4522071587453</v>
      </c>
      <c r="CT38" s="15">
        <f t="shared" si="21"/>
        <v>4997.9676850871574</v>
      </c>
      <c r="CU38" s="15">
        <f t="shared" si="21"/>
        <v>4947.9880082362861</v>
      </c>
      <c r="CV38" s="15">
        <f t="shared" si="21"/>
        <v>4898.5081281539233</v>
      </c>
      <c r="CW38" s="15">
        <f t="shared" si="21"/>
        <v>4849.5230468723839</v>
      </c>
      <c r="CX38" s="15">
        <f t="shared" si="21"/>
        <v>4801.0278164036599</v>
      </c>
      <c r="CY38" s="15">
        <f t="shared" si="21"/>
        <v>4753.0175382396237</v>
      </c>
      <c r="CZ38" s="15">
        <f t="shared" si="21"/>
        <v>4705.4873628572277</v>
      </c>
      <c r="DA38" s="15">
        <f t="shared" si="21"/>
        <v>4658.432489228655</v>
      </c>
      <c r="DB38" s="15">
        <f t="shared" si="21"/>
        <v>4611.8481643363684</v>
      </c>
      <c r="DC38" s="15">
        <f t="shared" si="21"/>
        <v>4565.7296826930051</v>
      </c>
      <c r="DD38" s="15">
        <f t="shared" si="21"/>
        <v>4520.0723858660749</v>
      </c>
      <c r="DE38" s="15">
        <f t="shared" si="21"/>
        <v>4474.8716620074138</v>
      </c>
      <c r="DF38" s="15">
        <f t="shared" si="21"/>
        <v>4430.1229453873393</v>
      </c>
      <c r="DG38" s="15">
        <f t="shared" ref="DG38:EL38" si="22">DF38*0.99</f>
        <v>4385.8217159334663</v>
      </c>
      <c r="DH38" s="15">
        <f t="shared" si="22"/>
        <v>4341.9634987741319</v>
      </c>
      <c r="DI38" s="15">
        <f t="shared" si="22"/>
        <v>4298.5438637863908</v>
      </c>
      <c r="DJ38" s="15">
        <f t="shared" si="22"/>
        <v>4255.558425148527</v>
      </c>
      <c r="DK38" s="15">
        <f t="shared" si="22"/>
        <v>4213.002840897042</v>
      </c>
      <c r="DL38" s="15">
        <f t="shared" si="22"/>
        <v>4170.8728124880718</v>
      </c>
      <c r="DM38" s="15">
        <f t="shared" si="22"/>
        <v>4129.1640843631913</v>
      </c>
      <c r="DN38" s="15">
        <f t="shared" si="22"/>
        <v>4087.8724435195595</v>
      </c>
      <c r="DO38" s="15">
        <f t="shared" si="22"/>
        <v>4046.9937190843639</v>
      </c>
      <c r="DP38" s="15">
        <f t="shared" si="22"/>
        <v>4006.5237818935202</v>
      </c>
      <c r="DQ38" s="15">
        <f t="shared" si="22"/>
        <v>3966.458544074585</v>
      </c>
      <c r="DR38" s="15">
        <f t="shared" si="22"/>
        <v>3926.7939586338393</v>
      </c>
      <c r="DS38" s="15">
        <f t="shared" si="22"/>
        <v>3887.526019047501</v>
      </c>
      <c r="DT38" s="15">
        <f t="shared" si="22"/>
        <v>3848.6507588570262</v>
      </c>
      <c r="DU38" s="15">
        <f t="shared" si="22"/>
        <v>3810.1642512684557</v>
      </c>
      <c r="DV38" s="15">
        <f t="shared" si="22"/>
        <v>3772.0626087557712</v>
      </c>
      <c r="DW38" s="15">
        <f t="shared" si="22"/>
        <v>3734.3419826682134</v>
      </c>
      <c r="DX38" s="15">
        <f t="shared" si="22"/>
        <v>3696.9985628415311</v>
      </c>
      <c r="DY38" s="15">
        <f t="shared" si="22"/>
        <v>3660.0285772131156</v>
      </c>
      <c r="DZ38" s="15">
        <f t="shared" si="22"/>
        <v>3623.4282914409846</v>
      </c>
      <c r="EA38" s="15">
        <f t="shared" si="22"/>
        <v>3587.1940085265746</v>
      </c>
      <c r="EB38" s="15">
        <f t="shared" si="22"/>
        <v>3551.3220684413091</v>
      </c>
      <c r="EC38" s="15">
        <f t="shared" si="22"/>
        <v>3515.8088477568958</v>
      </c>
      <c r="ED38" s="15">
        <f t="shared" si="22"/>
        <v>3480.6507592793268</v>
      </c>
      <c r="EE38" s="15">
        <f t="shared" si="22"/>
        <v>3445.8442516865334</v>
      </c>
      <c r="EF38" s="15">
        <f t="shared" si="22"/>
        <v>3411.3858091696679</v>
      </c>
      <c r="EG38" s="15">
        <f t="shared" si="22"/>
        <v>3377.2719510779712</v>
      </c>
      <c r="EH38" s="15">
        <f t="shared" si="22"/>
        <v>3343.4992315671916</v>
      </c>
      <c r="EI38" s="15">
        <f t="shared" si="22"/>
        <v>3310.0642392515197</v>
      </c>
      <c r="EJ38" s="15">
        <f t="shared" si="22"/>
        <v>3276.9635968590046</v>
      </c>
      <c r="EK38" s="15">
        <f t="shared" si="22"/>
        <v>3244.1939608904145</v>
      </c>
      <c r="EL38" s="15">
        <f t="shared" si="22"/>
        <v>3211.7520212815102</v>
      </c>
    </row>
    <row r="39" spans="1:142" s="5" customFormat="1" x14ac:dyDescent="0.3">
      <c r="B39" s="17" t="s">
        <v>18</v>
      </c>
      <c r="C39" s="5">
        <f t="shared" ref="C39:O39" si="23">C38/C40</f>
        <v>1.144923921177351</v>
      </c>
      <c r="D39" s="5">
        <f t="shared" si="23"/>
        <v>1.2605879422022921</v>
      </c>
      <c r="E39" s="5">
        <f t="shared" si="23"/>
        <v>3.234635481463051E-2</v>
      </c>
      <c r="F39" s="5">
        <f t="shared" si="23"/>
        <v>1.3720119521912351</v>
      </c>
      <c r="G39" s="5">
        <f t="shared" si="23"/>
        <v>1.2269785963165754</v>
      </c>
      <c r="H39" s="5">
        <f t="shared" si="23"/>
        <v>1.2977289742949838</v>
      </c>
      <c r="I39" s="5">
        <f t="shared" si="23"/>
        <v>1.5163627279540344</v>
      </c>
      <c r="J39" s="16">
        <f t="shared" si="23"/>
        <v>2.0508982035928143</v>
      </c>
      <c r="K39" s="5">
        <f t="shared" si="23"/>
        <v>1.5405742821473158</v>
      </c>
      <c r="L39" s="5">
        <f t="shared" si="23"/>
        <v>1.8567506862989769</v>
      </c>
      <c r="M39" s="5">
        <f t="shared" si="23"/>
        <v>2.2211155378486054</v>
      </c>
      <c r="N39" s="16">
        <f t="shared" si="23"/>
        <v>2.4183495387683869</v>
      </c>
      <c r="O39" s="5">
        <f t="shared" si="23"/>
        <v>1.9134112963423737</v>
      </c>
      <c r="Z39" s="45">
        <f>Z38/Z40</f>
        <v>3.8129675810473818</v>
      </c>
      <c r="AA39" s="46">
        <f>AA38/AA40</f>
        <v>6.0746268656716422</v>
      </c>
      <c r="AB39" s="46">
        <f>AB38/AB40</f>
        <v>8.0174129353233834</v>
      </c>
      <c r="AC39" s="46">
        <f>AC38/AC40</f>
        <v>9.1701385097256871</v>
      </c>
      <c r="AD39" s="46">
        <f t="shared" ref="AD39:CO39" si="24">AD38/AD40</f>
        <v>10.977725454287498</v>
      </c>
      <c r="AE39" s="46">
        <f t="shared" si="24"/>
        <v>12.149599137772627</v>
      </c>
      <c r="AF39" s="46">
        <f t="shared" si="24"/>
        <v>13.121567068794437</v>
      </c>
      <c r="AG39" s="46">
        <f t="shared" si="24"/>
        <v>13.77764542223416</v>
      </c>
      <c r="AH39" s="46">
        <f t="shared" si="24"/>
        <v>14.466527693345869</v>
      </c>
      <c r="AI39" s="46">
        <f t="shared" si="24"/>
        <v>15.189854078013163</v>
      </c>
      <c r="AJ39" s="46">
        <f t="shared" si="24"/>
        <v>15.949346781913821</v>
      </c>
      <c r="AK39" s="46">
        <f t="shared" si="24"/>
        <v>16.746814121009514</v>
      </c>
      <c r="AL39" s="46">
        <f t="shared" si="24"/>
        <v>17.584154827059987</v>
      </c>
      <c r="AM39" s="46">
        <f t="shared" si="24"/>
        <v>18.463362568412986</v>
      </c>
      <c r="AN39" s="46">
        <f t="shared" si="24"/>
        <v>18.647996194097118</v>
      </c>
      <c r="AO39" s="46">
        <f t="shared" si="24"/>
        <v>18.83447615603809</v>
      </c>
      <c r="AP39" s="46">
        <f t="shared" si="24"/>
        <v>19.022820917598469</v>
      </c>
      <c r="AQ39" s="46">
        <f t="shared" si="24"/>
        <v>19.213049126774454</v>
      </c>
      <c r="AR39" s="46">
        <f t="shared" si="24"/>
        <v>19.405179618042197</v>
      </c>
      <c r="AS39" s="46">
        <f t="shared" si="24"/>
        <v>19.599231414222618</v>
      </c>
      <c r="AT39" s="46">
        <f t="shared" si="24"/>
        <v>19.795223728364846</v>
      </c>
      <c r="AU39" s="46">
        <f t="shared" si="24"/>
        <v>19.993175965648494</v>
      </c>
      <c r="AV39" s="46">
        <f t="shared" si="24"/>
        <v>20.19310772530498</v>
      </c>
      <c r="AW39" s="46">
        <f t="shared" si="24"/>
        <v>20.39503880255803</v>
      </c>
      <c r="AX39" s="46">
        <f t="shared" si="24"/>
        <v>20.191088414532448</v>
      </c>
      <c r="AY39" s="46">
        <f t="shared" si="24"/>
        <v>19.989177530387124</v>
      </c>
      <c r="AZ39" s="46">
        <f t="shared" si="24"/>
        <v>19.789285755083252</v>
      </c>
      <c r="BA39" s="46">
        <f t="shared" si="24"/>
        <v>19.591392897532423</v>
      </c>
      <c r="BB39" s="46">
        <f t="shared" si="24"/>
        <v>19.395478968557097</v>
      </c>
      <c r="BC39" s="46">
        <f t="shared" si="24"/>
        <v>19.201524178871523</v>
      </c>
      <c r="BD39" s="46">
        <f t="shared" si="24"/>
        <v>19.00950893708281</v>
      </c>
      <c r="BE39" s="46">
        <f t="shared" si="24"/>
        <v>18.819413847711981</v>
      </c>
      <c r="BF39" s="46">
        <f t="shared" si="24"/>
        <v>18.631219709234859</v>
      </c>
      <c r="BG39" s="46">
        <f t="shared" si="24"/>
        <v>18.44490751214251</v>
      </c>
      <c r="BH39" s="46">
        <f t="shared" si="24"/>
        <v>18.260458437021086</v>
      </c>
      <c r="BI39" s="46">
        <f t="shared" si="24"/>
        <v>18.077853852650875</v>
      </c>
      <c r="BJ39" s="46">
        <f t="shared" si="24"/>
        <v>17.897075314124365</v>
      </c>
      <c r="BK39" s="46">
        <f t="shared" si="24"/>
        <v>17.718104560983122</v>
      </c>
      <c r="BL39" s="46">
        <f t="shared" si="24"/>
        <v>17.54092351537329</v>
      </c>
      <c r="BM39" s="46">
        <f t="shared" si="24"/>
        <v>17.365514280219557</v>
      </c>
      <c r="BN39" s="46">
        <f t="shared" si="24"/>
        <v>17.191859137417364</v>
      </c>
      <c r="BO39" s="46">
        <f t="shared" si="24"/>
        <v>17.019940546043188</v>
      </c>
      <c r="BP39" s="46">
        <f t="shared" si="24"/>
        <v>16.849741140582758</v>
      </c>
      <c r="BQ39" s="46">
        <f t="shared" si="24"/>
        <v>16.681243729176931</v>
      </c>
      <c r="BR39" s="46">
        <f t="shared" si="24"/>
        <v>16.51443129188516</v>
      </c>
      <c r="BS39" s="46">
        <f t="shared" si="24"/>
        <v>16.349286978966308</v>
      </c>
      <c r="BT39" s="46">
        <f t="shared" si="24"/>
        <v>16.185794109176644</v>
      </c>
      <c r="BU39" s="46">
        <f t="shared" si="24"/>
        <v>16.02393616808488</v>
      </c>
      <c r="BV39" s="46">
        <f t="shared" si="24"/>
        <v>15.863696806404031</v>
      </c>
      <c r="BW39" s="46">
        <f t="shared" si="24"/>
        <v>15.70505983833999</v>
      </c>
      <c r="BX39" s="46">
        <f t="shared" si="24"/>
        <v>15.548009239956588</v>
      </c>
      <c r="BY39" s="46">
        <f t="shared" si="24"/>
        <v>15.392529147557022</v>
      </c>
      <c r="BZ39" s="46">
        <f t="shared" si="24"/>
        <v>15.238603856081452</v>
      </c>
      <c r="CA39" s="46">
        <f t="shared" si="24"/>
        <v>15.086217817520639</v>
      </c>
      <c r="CB39" s="46">
        <f t="shared" si="24"/>
        <v>14.935355639345431</v>
      </c>
      <c r="CC39" s="46">
        <f t="shared" si="24"/>
        <v>14.786002082951978</v>
      </c>
      <c r="CD39" s="46">
        <f t="shared" si="24"/>
        <v>14.638142062122457</v>
      </c>
      <c r="CE39" s="46">
        <f t="shared" si="24"/>
        <v>14.491760641501232</v>
      </c>
      <c r="CF39" s="46">
        <f t="shared" si="24"/>
        <v>14.346843035086218</v>
      </c>
      <c r="CG39" s="46">
        <f t="shared" si="24"/>
        <v>14.203374604735357</v>
      </c>
      <c r="CH39" s="46">
        <f t="shared" si="24"/>
        <v>14.061340858688004</v>
      </c>
      <c r="CI39" s="46">
        <f t="shared" si="24"/>
        <v>13.920727450101124</v>
      </c>
      <c r="CJ39" s="46">
        <f t="shared" si="24"/>
        <v>13.781520175600113</v>
      </c>
      <c r="CK39" s="46">
        <f t="shared" si="24"/>
        <v>13.643704973844111</v>
      </c>
      <c r="CL39" s="46">
        <f t="shared" si="24"/>
        <v>13.507267924105671</v>
      </c>
      <c r="CM39" s="46">
        <f t="shared" si="24"/>
        <v>13.372195244864614</v>
      </c>
      <c r="CN39" s="46">
        <f t="shared" si="24"/>
        <v>13.238473292415966</v>
      </c>
      <c r="CO39" s="46">
        <f t="shared" si="24"/>
        <v>13.106088559491806</v>
      </c>
      <c r="CP39" s="46">
        <f t="shared" ref="CP39:EL39" si="25">CP38/CP40</f>
        <v>12.975027673896889</v>
      </c>
      <c r="CQ39" s="46">
        <f t="shared" si="25"/>
        <v>12.845277397157918</v>
      </c>
      <c r="CR39" s="46">
        <f t="shared" si="25"/>
        <v>12.716824623186341</v>
      </c>
      <c r="CS39" s="46">
        <f t="shared" si="25"/>
        <v>12.589656376954476</v>
      </c>
      <c r="CT39" s="46">
        <f t="shared" si="25"/>
        <v>12.463759813184931</v>
      </c>
      <c r="CU39" s="46">
        <f t="shared" si="25"/>
        <v>12.339122215053083</v>
      </c>
      <c r="CV39" s="46">
        <f t="shared" si="25"/>
        <v>12.215730992902552</v>
      </c>
      <c r="CW39" s="46">
        <f t="shared" si="25"/>
        <v>12.093573682973526</v>
      </c>
      <c r="CX39" s="46">
        <f t="shared" si="25"/>
        <v>11.97263794614379</v>
      </c>
      <c r="CY39" s="46">
        <f t="shared" si="25"/>
        <v>11.852911566682353</v>
      </c>
      <c r="CZ39" s="46">
        <f t="shared" si="25"/>
        <v>11.734382451015531</v>
      </c>
      <c r="DA39" s="46">
        <f t="shared" si="25"/>
        <v>11.617038626505375</v>
      </c>
      <c r="DB39" s="46">
        <f t="shared" si="25"/>
        <v>11.500868240240321</v>
      </c>
      <c r="DC39" s="46">
        <f t="shared" si="25"/>
        <v>11.385859557837918</v>
      </c>
      <c r="DD39" s="46">
        <f t="shared" si="25"/>
        <v>11.272000962259538</v>
      </c>
      <c r="DE39" s="46">
        <f t="shared" si="25"/>
        <v>11.159280952636943</v>
      </c>
      <c r="DF39" s="46">
        <f t="shared" si="25"/>
        <v>11.047688143110571</v>
      </c>
      <c r="DG39" s="46">
        <f t="shared" si="25"/>
        <v>10.937211261679467</v>
      </c>
      <c r="DH39" s="46">
        <f t="shared" si="25"/>
        <v>10.827839149062672</v>
      </c>
      <c r="DI39" s="46">
        <f t="shared" si="25"/>
        <v>10.719560757572047</v>
      </c>
      <c r="DJ39" s="46">
        <f t="shared" si="25"/>
        <v>10.612365149996327</v>
      </c>
      <c r="DK39" s="46">
        <f t="shared" si="25"/>
        <v>10.506241498496363</v>
      </c>
      <c r="DL39" s="46">
        <f t="shared" si="25"/>
        <v>10.401179083511401</v>
      </c>
      <c r="DM39" s="46">
        <f t="shared" si="25"/>
        <v>10.297167292676287</v>
      </c>
      <c r="DN39" s="46">
        <f t="shared" si="25"/>
        <v>10.194195619749525</v>
      </c>
      <c r="DO39" s="46">
        <f t="shared" si="25"/>
        <v>10.092253663552029</v>
      </c>
      <c r="DP39" s="46">
        <f t="shared" si="25"/>
        <v>9.9913311269165099</v>
      </c>
      <c r="DQ39" s="46">
        <f t="shared" si="25"/>
        <v>9.891417815647344</v>
      </c>
      <c r="DR39" s="46">
        <f t="shared" si="25"/>
        <v>9.7925036374908707</v>
      </c>
      <c r="DS39" s="46">
        <f t="shared" si="25"/>
        <v>9.6945786011159623</v>
      </c>
      <c r="DT39" s="46">
        <f t="shared" si="25"/>
        <v>9.597632815104804</v>
      </c>
      <c r="DU39" s="46">
        <f t="shared" si="25"/>
        <v>9.5016564869537543</v>
      </c>
      <c r="DV39" s="46">
        <f t="shared" si="25"/>
        <v>9.4066399220842172</v>
      </c>
      <c r="DW39" s="46">
        <f t="shared" si="25"/>
        <v>9.3125735228633744</v>
      </c>
      <c r="DX39" s="46">
        <f t="shared" si="25"/>
        <v>9.2194477876347403</v>
      </c>
      <c r="DY39" s="46">
        <f t="shared" si="25"/>
        <v>9.1272533097583928</v>
      </c>
      <c r="DZ39" s="46">
        <f t="shared" si="25"/>
        <v>9.0359807766608089</v>
      </c>
      <c r="EA39" s="46">
        <f t="shared" si="25"/>
        <v>8.9456209688942003</v>
      </c>
      <c r="EB39" s="46">
        <f t="shared" si="25"/>
        <v>8.8561647592052601</v>
      </c>
      <c r="EC39" s="46">
        <f t="shared" si="25"/>
        <v>8.7676031116132069</v>
      </c>
      <c r="ED39" s="46">
        <f t="shared" si="25"/>
        <v>8.679927080497075</v>
      </c>
      <c r="EE39" s="46">
        <f t="shared" si="25"/>
        <v>8.5931278096921027</v>
      </c>
      <c r="EF39" s="46">
        <f t="shared" si="25"/>
        <v>8.5071965315951825</v>
      </c>
      <c r="EG39" s="46">
        <f t="shared" si="25"/>
        <v>8.4221245662792299</v>
      </c>
      <c r="EH39" s="46">
        <f t="shared" si="25"/>
        <v>8.3379033206164372</v>
      </c>
      <c r="EI39" s="46">
        <f t="shared" si="25"/>
        <v>8.2545242874102733</v>
      </c>
      <c r="EJ39" s="46">
        <f t="shared" si="25"/>
        <v>8.1719790445361706</v>
      </c>
      <c r="EK39" s="46">
        <f t="shared" si="25"/>
        <v>8.0902592540908085</v>
      </c>
      <c r="EL39" s="46">
        <f t="shared" si="25"/>
        <v>8.0093566615499014</v>
      </c>
    </row>
    <row r="40" spans="1:142" x14ac:dyDescent="0.3">
      <c r="B40" s="3" t="s">
        <v>1</v>
      </c>
      <c r="C40" s="1">
        <v>400.9</v>
      </c>
      <c r="D40" s="1">
        <v>401.4</v>
      </c>
      <c r="E40" s="1">
        <v>401.9</v>
      </c>
      <c r="F40" s="1">
        <v>401.6</v>
      </c>
      <c r="G40" s="1">
        <v>401.8</v>
      </c>
      <c r="H40" s="1">
        <v>400.7</v>
      </c>
      <c r="I40" s="1">
        <v>400.3</v>
      </c>
      <c r="J40" s="1">
        <v>400.8</v>
      </c>
      <c r="K40" s="1">
        <v>400.5</v>
      </c>
      <c r="L40" s="1">
        <v>400.7</v>
      </c>
      <c r="M40" s="1">
        <v>401.6</v>
      </c>
      <c r="N40" s="1">
        <v>401.1</v>
      </c>
      <c r="O40" s="1">
        <v>401.9</v>
      </c>
      <c r="P40">
        <v>401</v>
      </c>
      <c r="Q40" s="1">
        <v>401</v>
      </c>
      <c r="R40" s="1">
        <v>401</v>
      </c>
      <c r="S40" s="1">
        <v>401</v>
      </c>
      <c r="T40" s="1">
        <v>401</v>
      </c>
      <c r="U40">
        <v>401</v>
      </c>
      <c r="V40">
        <v>401</v>
      </c>
      <c r="Z40" s="1">
        <v>401</v>
      </c>
      <c r="AA40" s="15">
        <v>402</v>
      </c>
      <c r="AB40" s="15">
        <v>402</v>
      </c>
      <c r="AC40">
        <v>401</v>
      </c>
      <c r="AD40">
        <v>401</v>
      </c>
      <c r="AE40">
        <v>401</v>
      </c>
      <c r="AF40">
        <v>401</v>
      </c>
      <c r="AG40">
        <v>401</v>
      </c>
      <c r="AH40">
        <v>401</v>
      </c>
      <c r="AI40">
        <v>401</v>
      </c>
      <c r="AJ40">
        <v>401</v>
      </c>
      <c r="AK40">
        <v>401</v>
      </c>
      <c r="AL40">
        <v>401</v>
      </c>
      <c r="AM40">
        <v>401</v>
      </c>
      <c r="AN40">
        <v>401</v>
      </c>
      <c r="AO40">
        <v>401</v>
      </c>
      <c r="AP40">
        <v>401</v>
      </c>
      <c r="AQ40">
        <v>401</v>
      </c>
      <c r="AR40">
        <v>401</v>
      </c>
      <c r="AS40">
        <v>401</v>
      </c>
      <c r="AT40">
        <v>401</v>
      </c>
      <c r="AU40">
        <v>401</v>
      </c>
      <c r="AV40">
        <v>401</v>
      </c>
      <c r="AW40">
        <v>401</v>
      </c>
      <c r="AX40">
        <v>401</v>
      </c>
      <c r="AY40">
        <v>401</v>
      </c>
      <c r="AZ40">
        <v>401</v>
      </c>
      <c r="BA40">
        <v>401</v>
      </c>
      <c r="BB40">
        <v>401</v>
      </c>
      <c r="BC40">
        <v>401</v>
      </c>
      <c r="BD40">
        <v>401</v>
      </c>
      <c r="BE40">
        <v>401</v>
      </c>
      <c r="BF40">
        <v>401</v>
      </c>
      <c r="BG40">
        <v>401</v>
      </c>
      <c r="BH40">
        <v>401</v>
      </c>
      <c r="BI40">
        <v>401</v>
      </c>
      <c r="BJ40">
        <v>401</v>
      </c>
      <c r="BK40">
        <v>401</v>
      </c>
      <c r="BL40">
        <v>401</v>
      </c>
      <c r="BM40">
        <v>401</v>
      </c>
      <c r="BN40">
        <v>401</v>
      </c>
      <c r="BO40">
        <v>401</v>
      </c>
      <c r="BP40">
        <v>401</v>
      </c>
      <c r="BQ40">
        <v>401</v>
      </c>
      <c r="BR40">
        <v>401</v>
      </c>
      <c r="BS40">
        <v>401</v>
      </c>
      <c r="BT40">
        <v>401</v>
      </c>
      <c r="BU40">
        <v>401</v>
      </c>
      <c r="BV40">
        <v>401</v>
      </c>
      <c r="BW40">
        <v>401</v>
      </c>
      <c r="BX40">
        <v>401</v>
      </c>
      <c r="BY40">
        <v>401</v>
      </c>
      <c r="BZ40">
        <v>401</v>
      </c>
      <c r="CA40">
        <v>401</v>
      </c>
      <c r="CB40">
        <v>401</v>
      </c>
      <c r="CC40">
        <v>401</v>
      </c>
      <c r="CD40">
        <v>401</v>
      </c>
      <c r="CE40">
        <v>401</v>
      </c>
      <c r="CF40">
        <v>401</v>
      </c>
      <c r="CG40">
        <v>401</v>
      </c>
      <c r="CH40">
        <v>401</v>
      </c>
      <c r="CI40">
        <v>401</v>
      </c>
      <c r="CJ40">
        <v>401</v>
      </c>
      <c r="CK40">
        <v>401</v>
      </c>
      <c r="CL40">
        <v>401</v>
      </c>
      <c r="CM40">
        <v>401</v>
      </c>
      <c r="CN40">
        <v>401</v>
      </c>
      <c r="CO40">
        <v>401</v>
      </c>
      <c r="CP40">
        <v>401</v>
      </c>
      <c r="CQ40">
        <v>401</v>
      </c>
      <c r="CR40">
        <v>401</v>
      </c>
      <c r="CS40">
        <v>401</v>
      </c>
      <c r="CT40">
        <v>401</v>
      </c>
      <c r="CU40">
        <v>401</v>
      </c>
      <c r="CV40">
        <v>401</v>
      </c>
      <c r="CW40">
        <v>401</v>
      </c>
      <c r="CX40">
        <v>401</v>
      </c>
      <c r="CY40">
        <v>401</v>
      </c>
      <c r="CZ40">
        <v>401</v>
      </c>
      <c r="DA40">
        <v>401</v>
      </c>
      <c r="DB40">
        <v>401</v>
      </c>
      <c r="DC40">
        <v>401</v>
      </c>
      <c r="DD40">
        <v>401</v>
      </c>
      <c r="DE40">
        <v>401</v>
      </c>
      <c r="DF40">
        <v>401</v>
      </c>
      <c r="DG40">
        <v>401</v>
      </c>
      <c r="DH40">
        <v>401</v>
      </c>
      <c r="DI40">
        <v>401</v>
      </c>
      <c r="DJ40">
        <v>401</v>
      </c>
      <c r="DK40">
        <v>401</v>
      </c>
      <c r="DL40">
        <v>401</v>
      </c>
      <c r="DM40">
        <v>401</v>
      </c>
      <c r="DN40">
        <v>401</v>
      </c>
      <c r="DO40">
        <v>401</v>
      </c>
      <c r="DP40">
        <v>401</v>
      </c>
      <c r="DQ40">
        <v>401</v>
      </c>
      <c r="DR40">
        <v>401</v>
      </c>
      <c r="DS40">
        <v>401</v>
      </c>
      <c r="DT40">
        <v>401</v>
      </c>
      <c r="DU40">
        <v>401</v>
      </c>
      <c r="DV40">
        <v>401</v>
      </c>
      <c r="DW40">
        <v>401</v>
      </c>
      <c r="DX40">
        <v>401</v>
      </c>
      <c r="DY40">
        <v>401</v>
      </c>
      <c r="DZ40">
        <v>401</v>
      </c>
      <c r="EA40">
        <v>401</v>
      </c>
      <c r="EB40">
        <v>401</v>
      </c>
      <c r="EC40">
        <v>401</v>
      </c>
      <c r="ED40">
        <v>401</v>
      </c>
      <c r="EE40">
        <v>401</v>
      </c>
      <c r="EF40">
        <v>401</v>
      </c>
      <c r="EG40">
        <v>401</v>
      </c>
      <c r="EH40">
        <v>401</v>
      </c>
      <c r="EI40">
        <v>401</v>
      </c>
      <c r="EJ40">
        <v>401</v>
      </c>
      <c r="EK40">
        <v>401</v>
      </c>
      <c r="EL40">
        <v>401</v>
      </c>
    </row>
    <row r="41" spans="1:142" x14ac:dyDescent="0.3">
      <c r="H41" s="1"/>
      <c r="I41" s="1"/>
      <c r="K41" s="1"/>
      <c r="L41" s="1"/>
    </row>
    <row r="42" spans="1:142" s="9" customFormat="1" x14ac:dyDescent="0.3">
      <c r="A42" s="8"/>
      <c r="B42" s="18" t="s">
        <v>22</v>
      </c>
      <c r="C42" s="9">
        <f t="shared" ref="C42:O42" si="26">C30/C28</f>
        <v>0.32139812446717819</v>
      </c>
      <c r="D42" s="9">
        <f t="shared" si="26"/>
        <v>0.3202301054650048</v>
      </c>
      <c r="E42" s="9">
        <f t="shared" si="26"/>
        <v>0.32195815559618118</v>
      </c>
      <c r="F42" s="9">
        <f t="shared" si="26"/>
        <v>0.3276365152146728</v>
      </c>
      <c r="G42" s="9">
        <f t="shared" si="26"/>
        <v>0.32500516208961389</v>
      </c>
      <c r="H42" s="9">
        <f t="shared" si="26"/>
        <v>0.3275134305448964</v>
      </c>
      <c r="I42" s="9">
        <f t="shared" si="26"/>
        <v>0.33276868059476755</v>
      </c>
      <c r="J42" s="9">
        <f t="shared" si="26"/>
        <v>0.34138187221396732</v>
      </c>
      <c r="K42" s="9">
        <f t="shared" si="26"/>
        <v>0.34360751413459784</v>
      </c>
      <c r="L42" s="9">
        <f t="shared" si="26"/>
        <v>0.36123423116263209</v>
      </c>
      <c r="M42" s="9">
        <f t="shared" si="26"/>
        <v>0.37346938775510202</v>
      </c>
      <c r="N42" s="9">
        <f t="shared" si="26"/>
        <v>0.37456008044243339</v>
      </c>
      <c r="O42" s="9">
        <f t="shared" si="26"/>
        <v>0.37321218239946158</v>
      </c>
      <c r="Z42" s="9">
        <f>Z30/Z28</f>
        <v>0.32275320970042798</v>
      </c>
      <c r="AA42" s="9">
        <f>AA30/AA28</f>
        <v>0.33187162683114879</v>
      </c>
      <c r="AB42" s="9">
        <f>AB30/AB28</f>
        <v>0.36359717192619417</v>
      </c>
      <c r="AD42" s="49" t="s">
        <v>104</v>
      </c>
      <c r="AE42" s="49">
        <v>5.5E-2</v>
      </c>
    </row>
    <row r="43" spans="1:142" s="9" customFormat="1" x14ac:dyDescent="0.3">
      <c r="A43" s="8"/>
      <c r="B43" s="18" t="s">
        <v>23</v>
      </c>
      <c r="C43" s="9">
        <f t="shared" ref="C43:V43" si="27">C33/C28</f>
        <v>0.12041773231031543</v>
      </c>
      <c r="D43" s="9">
        <f t="shared" si="27"/>
        <v>0.12272291466922339</v>
      </c>
      <c r="E43" s="9">
        <f t="shared" si="27"/>
        <v>0.12167377615275239</v>
      </c>
      <c r="F43" s="9">
        <f t="shared" si="27"/>
        <v>0.1373488953730721</v>
      </c>
      <c r="G43" s="9">
        <f t="shared" si="27"/>
        <v>0.12781333883956225</v>
      </c>
      <c r="H43" s="9">
        <f t="shared" si="27"/>
        <v>0.136415963161934</v>
      </c>
      <c r="I43" s="9">
        <f t="shared" si="27"/>
        <v>0.14869188782232259</v>
      </c>
      <c r="J43" s="9">
        <f t="shared" si="27"/>
        <v>0.16251857355126301</v>
      </c>
      <c r="K43" s="9">
        <f t="shared" si="27"/>
        <v>0.14608790807951852</v>
      </c>
      <c r="L43" s="9">
        <f t="shared" si="27"/>
        <v>0.16126832594613025</v>
      </c>
      <c r="M43" s="9">
        <f t="shared" si="27"/>
        <v>0.18027210884353742</v>
      </c>
      <c r="N43" s="9">
        <f t="shared" si="27"/>
        <v>0.18066029830735714</v>
      </c>
      <c r="O43" s="9">
        <f t="shared" si="27"/>
        <v>0.16893824667676258</v>
      </c>
      <c r="P43" s="9">
        <f t="shared" si="27"/>
        <v>0.17936608808372062</v>
      </c>
      <c r="Q43" s="9">
        <f t="shared" si="27"/>
        <v>0.18089170473363</v>
      </c>
      <c r="R43" s="9">
        <f t="shared" si="27"/>
        <v>0.18185600126570897</v>
      </c>
      <c r="S43" s="9">
        <f t="shared" si="27"/>
        <v>0.18234132032211059</v>
      </c>
      <c r="T43" s="9">
        <f t="shared" si="27"/>
        <v>0.18626186152707927</v>
      </c>
      <c r="U43" s="9">
        <f t="shared" si="27"/>
        <v>0.18702844908387831</v>
      </c>
      <c r="V43" s="9">
        <f t="shared" si="27"/>
        <v>0.18759096337517306</v>
      </c>
      <c r="Z43" s="9">
        <f>Z33/Z28</f>
        <v>0.12548400244548605</v>
      </c>
      <c r="AA43" s="9">
        <f>AA33/AA28</f>
        <v>0.14432343870470316</v>
      </c>
      <c r="AB43" s="9">
        <f>AB33/AB28</f>
        <v>0.16748577340920848</v>
      </c>
      <c r="AD43" s="49" t="s">
        <v>103</v>
      </c>
      <c r="AE43" s="50">
        <f>NPV(AE42,AC38:EL38)+Main!L5-Main!L6</f>
        <v>111202.19519054302</v>
      </c>
    </row>
    <row r="44" spans="1:142" s="9" customFormat="1" x14ac:dyDescent="0.3">
      <c r="A44" s="8"/>
      <c r="B44" s="18" t="s">
        <v>24</v>
      </c>
      <c r="C44" s="9">
        <f t="shared" ref="C44:O44" si="28">C37/C36</f>
        <v>0.14684014869888476</v>
      </c>
      <c r="D44" s="9">
        <f t="shared" si="28"/>
        <v>0.18387096774193548</v>
      </c>
      <c r="E44" s="9">
        <f t="shared" si="28"/>
        <v>0.97379032258064513</v>
      </c>
      <c r="F44" s="9">
        <f t="shared" si="28"/>
        <v>0.11840000000000001</v>
      </c>
      <c r="G44" s="9">
        <f t="shared" si="28"/>
        <v>0.14853195164075994</v>
      </c>
      <c r="H44" s="9">
        <f t="shared" si="28"/>
        <v>0.18622848200312989</v>
      </c>
      <c r="I44" s="9">
        <f t="shared" si="28"/>
        <v>0.15577190542420027</v>
      </c>
      <c r="J44" s="9">
        <f t="shared" si="28"/>
        <v>0.13473684210526315</v>
      </c>
      <c r="K44" s="9">
        <f t="shared" si="28"/>
        <v>0.16621621621621621</v>
      </c>
      <c r="L44" s="9">
        <f t="shared" si="28"/>
        <v>0.1705685618729097</v>
      </c>
      <c r="M44" s="9">
        <f t="shared" si="28"/>
        <v>0.17330861909175163</v>
      </c>
      <c r="N44" s="9">
        <f t="shared" si="28"/>
        <v>0.12691269126912691</v>
      </c>
      <c r="O44" s="9">
        <f t="shared" si="28"/>
        <v>0.18881856540084388</v>
      </c>
      <c r="P44" s="9">
        <v>0.16</v>
      </c>
      <c r="Q44" s="9">
        <v>0.16</v>
      </c>
      <c r="R44" s="9">
        <v>0.16</v>
      </c>
      <c r="S44" s="9">
        <v>0.16</v>
      </c>
      <c r="T44" s="9">
        <v>0.16</v>
      </c>
      <c r="U44" s="9">
        <v>0.16</v>
      </c>
      <c r="V44" s="9">
        <v>0.16</v>
      </c>
      <c r="Z44" s="9">
        <f>Z37/Z36</f>
        <v>0.32909170688898642</v>
      </c>
      <c r="AA44" s="9">
        <f>AA37/AA36</f>
        <v>0.1541392448908902</v>
      </c>
      <c r="AB44" s="9">
        <f>AB37/AB36</f>
        <v>0.15782597334726939</v>
      </c>
      <c r="AD44" s="49" t="s">
        <v>106</v>
      </c>
      <c r="AE44" s="51">
        <f>AE43/Model!O40</f>
        <v>276.69120475377713</v>
      </c>
    </row>
    <row r="45" spans="1:142" s="9" customFormat="1" x14ac:dyDescent="0.3">
      <c r="A45" s="8"/>
      <c r="B45" s="18" t="s">
        <v>25</v>
      </c>
      <c r="C45" s="9">
        <f t="shared" ref="C45:V45" si="29">C38/C28</f>
        <v>9.7826086956521743E-2</v>
      </c>
      <c r="D45" s="9">
        <f t="shared" si="29"/>
        <v>9.7027804410354745E-2</v>
      </c>
      <c r="E45" s="9">
        <f t="shared" si="29"/>
        <v>2.640666260410319E-3</v>
      </c>
      <c r="F45" s="9">
        <f t="shared" si="29"/>
        <v>0.11483951646519383</v>
      </c>
      <c r="G45" s="9">
        <f t="shared" si="29"/>
        <v>0.10179640718562874</v>
      </c>
      <c r="H45" s="9">
        <f t="shared" si="29"/>
        <v>9.9769762087490402E-2</v>
      </c>
      <c r="I45" s="9">
        <f t="shared" si="29"/>
        <v>0.1142480707698099</v>
      </c>
      <c r="J45" s="9">
        <f t="shared" si="29"/>
        <v>0.15267459138187223</v>
      </c>
      <c r="K45" s="9">
        <f t="shared" si="29"/>
        <v>0.11252963706000364</v>
      </c>
      <c r="L45" s="9">
        <f t="shared" si="29"/>
        <v>0.12683259461302421</v>
      </c>
      <c r="M45" s="9">
        <f t="shared" si="29"/>
        <v>0.15170068027210884</v>
      </c>
      <c r="N45" s="9">
        <f t="shared" si="29"/>
        <v>0.1625607507960449</v>
      </c>
      <c r="O45" s="9">
        <f t="shared" si="29"/>
        <v>0.12939592798250041</v>
      </c>
      <c r="P45" s="9">
        <f t="shared" si="29"/>
        <v>0.15066751399032532</v>
      </c>
      <c r="Q45" s="9">
        <f t="shared" si="29"/>
        <v>0.1519490319762492</v>
      </c>
      <c r="R45" s="9">
        <f t="shared" si="29"/>
        <v>0.15275904106319554</v>
      </c>
      <c r="S45" s="9">
        <f t="shared" si="29"/>
        <v>0.15316670907057289</v>
      </c>
      <c r="T45" s="9">
        <f t="shared" si="29"/>
        <v>0.15645996368274659</v>
      </c>
      <c r="U45" s="9">
        <f t="shared" si="29"/>
        <v>0.15710389723045776</v>
      </c>
      <c r="V45" s="9">
        <f t="shared" si="29"/>
        <v>0.15757640923514538</v>
      </c>
      <c r="Z45" s="9">
        <f>Z38/Z28</f>
        <v>7.7898919910332182E-2</v>
      </c>
      <c r="AA45" s="9">
        <f>AA38/AA28</f>
        <v>0.11767540478026214</v>
      </c>
      <c r="AB45" s="9">
        <f>AB38/AB28</f>
        <v>0.13894637006380411</v>
      </c>
      <c r="AD45" s="49" t="s">
        <v>105</v>
      </c>
      <c r="AE45" s="49">
        <f>AE44/Main!L2-1</f>
        <v>-0.16215114839578149</v>
      </c>
    </row>
    <row r="46" spans="1:142" s="10" customFormat="1" x14ac:dyDescent="0.3">
      <c r="B46" s="14" t="s">
        <v>26</v>
      </c>
      <c r="F46" s="11"/>
      <c r="G46" s="11">
        <f t="shared" ref="G46:V46" si="30">G28/C28-1</f>
        <v>3.2182438192668306E-2</v>
      </c>
      <c r="H46" s="11">
        <f t="shared" si="30"/>
        <v>-5.7526366251203775E-4</v>
      </c>
      <c r="I46" s="11">
        <f t="shared" si="30"/>
        <v>7.9219987812309656E-2</v>
      </c>
      <c r="J46" s="11">
        <f t="shared" si="30"/>
        <v>0.12213422259274709</v>
      </c>
      <c r="K46" s="11">
        <f t="shared" si="30"/>
        <v>0.13214949411521792</v>
      </c>
      <c r="L46" s="11">
        <f t="shared" si="30"/>
        <v>0.12547966231772834</v>
      </c>
      <c r="M46" s="11">
        <f t="shared" si="30"/>
        <v>0.10671936758893286</v>
      </c>
      <c r="N46" s="11">
        <f t="shared" si="30"/>
        <v>0.10828380386329872</v>
      </c>
      <c r="O46" s="11">
        <f t="shared" si="30"/>
        <v>8.3895677548787129E-2</v>
      </c>
      <c r="P46" s="11">
        <f t="shared" si="30"/>
        <v>7.8383907262189023E-2</v>
      </c>
      <c r="Q46" s="11">
        <f t="shared" si="30"/>
        <v>0.102604081632653</v>
      </c>
      <c r="R46" s="11">
        <f t="shared" si="30"/>
        <v>0.11043711077593432</v>
      </c>
      <c r="S46" s="11">
        <f t="shared" si="30"/>
        <v>0.12399424613831411</v>
      </c>
      <c r="T46" s="11">
        <f t="shared" si="30"/>
        <v>0.11026093256694813</v>
      </c>
      <c r="U46" s="11">
        <f t="shared" si="30"/>
        <v>0.11121512883795193</v>
      </c>
      <c r="V46" s="11">
        <f t="shared" si="30"/>
        <v>9.9738212687546124E-2</v>
      </c>
      <c r="AA46" s="11">
        <f>AA28/Z28-1</f>
        <v>5.7265131444874662E-2</v>
      </c>
      <c r="AB46" s="11">
        <f>AB28/AA28-1</f>
        <v>0.11777178103315333</v>
      </c>
    </row>
    <row r="47" spans="1:142" x14ac:dyDescent="0.3">
      <c r="L47" s="1"/>
    </row>
    <row r="48" spans="1:142" x14ac:dyDescent="0.3">
      <c r="L48" s="1"/>
    </row>
    <row r="49" spans="2:15" x14ac:dyDescent="0.3">
      <c r="B49" s="3" t="s">
        <v>28</v>
      </c>
      <c r="K49" s="1">
        <f>K50-K61</f>
        <v>-8272</v>
      </c>
      <c r="L49" s="1">
        <f>L50-L61</f>
        <v>-7970</v>
      </c>
      <c r="M49" s="1">
        <f>M50-M61</f>
        <v>-7243</v>
      </c>
      <c r="N49" s="1">
        <f>N50-N61</f>
        <v>-6660</v>
      </c>
      <c r="O49" s="1">
        <f>O50-O61</f>
        <v>-6745</v>
      </c>
    </row>
    <row r="50" spans="2:15" x14ac:dyDescent="0.3">
      <c r="B50" s="3" t="s">
        <v>3</v>
      </c>
      <c r="K50" s="1">
        <f>235+289</f>
        <v>524</v>
      </c>
      <c r="L50" s="1">
        <f>353+977</f>
        <v>1330</v>
      </c>
      <c r="M50" s="1">
        <f>348+1558</f>
        <v>1906</v>
      </c>
      <c r="N50" s="1">
        <f>488+2121</f>
        <v>2609</v>
      </c>
      <c r="O50" s="1">
        <f>473+1969</f>
        <v>2442</v>
      </c>
    </row>
    <row r="51" spans="2:15" x14ac:dyDescent="0.3">
      <c r="B51" s="3" t="s">
        <v>27</v>
      </c>
      <c r="K51" s="1">
        <v>4239</v>
      </c>
      <c r="L51" s="1">
        <v>4399</v>
      </c>
      <c r="M51" s="1">
        <v>4460</v>
      </c>
      <c r="N51" s="1">
        <v>4475</v>
      </c>
      <c r="O51" s="1">
        <v>4674</v>
      </c>
    </row>
    <row r="52" spans="2:15" x14ac:dyDescent="0.3">
      <c r="B52" s="3" t="s">
        <v>29</v>
      </c>
      <c r="K52" s="1">
        <v>3604</v>
      </c>
      <c r="L52" s="1">
        <v>3670</v>
      </c>
      <c r="M52" s="1">
        <v>3713</v>
      </c>
      <c r="N52" s="1">
        <v>3739</v>
      </c>
      <c r="O52" s="1">
        <v>3868</v>
      </c>
    </row>
    <row r="53" spans="2:15" x14ac:dyDescent="0.3">
      <c r="B53" s="3" t="s">
        <v>32</v>
      </c>
      <c r="K53" s="1">
        <v>772</v>
      </c>
      <c r="L53" s="1">
        <v>904</v>
      </c>
      <c r="M53" s="1">
        <v>904</v>
      </c>
      <c r="N53" s="1">
        <v>851</v>
      </c>
      <c r="O53" s="1">
        <v>870</v>
      </c>
    </row>
    <row r="54" spans="2:15" x14ac:dyDescent="0.3">
      <c r="B54" s="3" t="s">
        <v>30</v>
      </c>
      <c r="K54" s="1">
        <v>3206</v>
      </c>
      <c r="L54" s="1">
        <v>3267</v>
      </c>
      <c r="M54" s="1">
        <v>3341</v>
      </c>
      <c r="N54" s="1">
        <v>3530</v>
      </c>
      <c r="O54" s="1">
        <v>3558</v>
      </c>
    </row>
    <row r="55" spans="2:15" x14ac:dyDescent="0.3">
      <c r="B55" s="3" t="s">
        <v>31</v>
      </c>
      <c r="K55" s="1">
        <f>14894+5386+579+340+1975</f>
        <v>23174</v>
      </c>
      <c r="L55" s="1">
        <f>14914+5285+594+354+2056</f>
        <v>23203</v>
      </c>
      <c r="M55" s="1">
        <f>14781+5158+600+349+2076</f>
        <v>22964</v>
      </c>
      <c r="N55" s="1">
        <f>14977+5091+648+458+2052</f>
        <v>23226</v>
      </c>
      <c r="O55" s="1">
        <f>14877+4975+722+481+2070</f>
        <v>23125</v>
      </c>
    </row>
    <row r="56" spans="2:15" x14ac:dyDescent="0.3">
      <c r="B56" s="3" t="s">
        <v>33</v>
      </c>
      <c r="K56" s="1">
        <f>SUM(K50:K55)</f>
        <v>35519</v>
      </c>
      <c r="L56" s="1">
        <f>SUM(L50:L55)</f>
        <v>36773</v>
      </c>
      <c r="M56" s="1">
        <f>SUM(M50:M55)</f>
        <v>37288</v>
      </c>
      <c r="N56" s="1">
        <f>SUM(N50:N55)</f>
        <v>38430</v>
      </c>
      <c r="O56" s="1">
        <f>SUM(O50:O55)</f>
        <v>38537</v>
      </c>
    </row>
    <row r="57" spans="2:15" x14ac:dyDescent="0.3">
      <c r="K57" s="1"/>
      <c r="L57" s="1"/>
    </row>
    <row r="58" spans="2:15" x14ac:dyDescent="0.3">
      <c r="B58" s="3" t="s">
        <v>34</v>
      </c>
      <c r="K58" s="1">
        <v>3118</v>
      </c>
      <c r="L58" s="1">
        <v>3192</v>
      </c>
      <c r="M58" s="1">
        <v>3255</v>
      </c>
      <c r="N58" s="1">
        <v>3365</v>
      </c>
      <c r="O58" s="1">
        <v>3400</v>
      </c>
    </row>
    <row r="59" spans="2:15" x14ac:dyDescent="0.3">
      <c r="B59" s="3" t="s">
        <v>35</v>
      </c>
      <c r="K59" s="1">
        <v>350</v>
      </c>
      <c r="L59" s="1">
        <v>465</v>
      </c>
      <c r="M59" s="1">
        <v>592</v>
      </c>
      <c r="N59" s="1">
        <v>676</v>
      </c>
      <c r="O59" s="1">
        <v>492</v>
      </c>
    </row>
    <row r="60" spans="2:15" x14ac:dyDescent="0.3">
      <c r="B60" s="3" t="s">
        <v>36</v>
      </c>
      <c r="K60" s="1">
        <v>2524</v>
      </c>
      <c r="L60" s="1">
        <v>2571</v>
      </c>
      <c r="M60" s="1">
        <v>2716</v>
      </c>
      <c r="N60" s="1">
        <v>2680</v>
      </c>
      <c r="O60" s="1">
        <v>2726</v>
      </c>
    </row>
    <row r="61" spans="2:15" x14ac:dyDescent="0.3">
      <c r="B61" s="3" t="s">
        <v>4</v>
      </c>
      <c r="K61" s="1">
        <f>8+87+8701</f>
        <v>8796</v>
      </c>
      <c r="L61" s="1">
        <f>94+402+8804</f>
        <v>9300</v>
      </c>
      <c r="M61" s="1">
        <f>24+975+8150</f>
        <v>9149</v>
      </c>
      <c r="N61" s="1">
        <f>8+1017+8244</f>
        <v>9269</v>
      </c>
      <c r="O61" s="1">
        <f>1+994+8192</f>
        <v>9187</v>
      </c>
    </row>
    <row r="62" spans="2:15" x14ac:dyDescent="0.3">
      <c r="B62" s="3" t="s">
        <v>37</v>
      </c>
      <c r="K62" s="1">
        <f>651+174</f>
        <v>825</v>
      </c>
      <c r="L62" s="1">
        <f>642+173</f>
        <v>815</v>
      </c>
      <c r="M62" s="1">
        <f>611+170</f>
        <v>781</v>
      </c>
      <c r="N62" s="1">
        <f>768+180</f>
        <v>948</v>
      </c>
      <c r="O62" s="1">
        <f>730+177</f>
        <v>907</v>
      </c>
    </row>
    <row r="63" spans="2:15" x14ac:dyDescent="0.3">
      <c r="B63" s="3" t="s">
        <v>38</v>
      </c>
      <c r="K63" s="1">
        <v>537</v>
      </c>
      <c r="L63" s="1">
        <v>531</v>
      </c>
      <c r="M63" s="1">
        <v>460</v>
      </c>
      <c r="N63" s="1">
        <v>402</v>
      </c>
      <c r="O63" s="1">
        <v>419</v>
      </c>
    </row>
    <row r="64" spans="2:15" x14ac:dyDescent="0.3">
      <c r="B64" s="3" t="s">
        <v>39</v>
      </c>
      <c r="K64" s="1">
        <f>466+1417</f>
        <v>1883</v>
      </c>
      <c r="L64" s="1">
        <f>1428+482</f>
        <v>1910</v>
      </c>
      <c r="M64" s="1">
        <f>486+1429</f>
        <v>1915</v>
      </c>
      <c r="N64" s="1">
        <f>533+1489</f>
        <v>2022</v>
      </c>
      <c r="O64" s="1">
        <f>1478+601</f>
        <v>2079</v>
      </c>
    </row>
    <row r="65" spans="2:15" x14ac:dyDescent="0.3">
      <c r="B65" s="3" t="s">
        <v>40</v>
      </c>
      <c r="K65" s="1">
        <v>17485</v>
      </c>
      <c r="L65" s="1">
        <v>17988</v>
      </c>
      <c r="M65" s="1">
        <v>18420</v>
      </c>
      <c r="N65" s="1">
        <v>19069</v>
      </c>
      <c r="O65" s="1">
        <v>19292</v>
      </c>
    </row>
    <row r="66" spans="2:15" x14ac:dyDescent="0.3">
      <c r="B66" s="3" t="s">
        <v>41</v>
      </c>
      <c r="K66" s="1">
        <f>SUM(K58:K65)</f>
        <v>35518</v>
      </c>
      <c r="L66" s="1">
        <f>SUM(L58:L65)</f>
        <v>36772</v>
      </c>
      <c r="M66" s="1">
        <f>SUM(M58:M65)</f>
        <v>37288</v>
      </c>
      <c r="N66" s="1">
        <f>SUM(N58:N65)</f>
        <v>38431</v>
      </c>
      <c r="O66" s="1">
        <f>SUM(O58:O65)</f>
        <v>38502</v>
      </c>
    </row>
    <row r="67" spans="2:15" x14ac:dyDescent="0.3">
      <c r="L67" s="1"/>
    </row>
    <row r="68" spans="2:15" x14ac:dyDescent="0.3">
      <c r="L68" s="1"/>
    </row>
    <row r="69" spans="2:15" x14ac:dyDescent="0.3">
      <c r="B69" s="3" t="s">
        <v>42</v>
      </c>
      <c r="K69" s="1">
        <f>K38</f>
        <v>617</v>
      </c>
      <c r="L69" s="1">
        <f>L38</f>
        <v>744</v>
      </c>
      <c r="M69" s="1">
        <f>M38</f>
        <v>892</v>
      </c>
      <c r="N69" s="1">
        <f>N38</f>
        <v>970</v>
      </c>
      <c r="O69" s="1">
        <f>O38</f>
        <v>769</v>
      </c>
    </row>
    <row r="70" spans="2:15" x14ac:dyDescent="0.3">
      <c r="B70" s="3" t="s">
        <v>43</v>
      </c>
      <c r="K70" s="1">
        <v>639</v>
      </c>
      <c r="L70" s="1">
        <f>1384-K70</f>
        <v>745</v>
      </c>
      <c r="M70" s="1">
        <f>2277-L70-K70</f>
        <v>893</v>
      </c>
      <c r="N70" s="1">
        <f>3223-M70-L70-K70</f>
        <v>946</v>
      </c>
      <c r="O70" s="1">
        <v>822</v>
      </c>
    </row>
    <row r="71" spans="2:15" x14ac:dyDescent="0.3">
      <c r="B71" s="3" t="s">
        <v>44</v>
      </c>
      <c r="K71" s="1">
        <v>238</v>
      </c>
      <c r="L71" s="1">
        <f>466-K71</f>
        <v>228</v>
      </c>
      <c r="M71" s="1">
        <f>695-L71-K71</f>
        <v>229</v>
      </c>
      <c r="N71" s="1">
        <f>926-M71-L71-K71</f>
        <v>231</v>
      </c>
      <c r="O71" s="1">
        <f>225</f>
        <v>225</v>
      </c>
    </row>
    <row r="72" spans="2:15" x14ac:dyDescent="0.3">
      <c r="B72" s="3" t="s">
        <v>38</v>
      </c>
      <c r="K72" s="1">
        <v>17</v>
      </c>
      <c r="L72" s="1">
        <f>-3-K72</f>
        <v>-20</v>
      </c>
      <c r="M72" s="1">
        <f>-69-L72-K72</f>
        <v>-66</v>
      </c>
      <c r="N72" s="1">
        <f>-182-M72-L72-K72</f>
        <v>-113</v>
      </c>
      <c r="O72" s="1">
        <v>32</v>
      </c>
    </row>
    <row r="73" spans="2:15" x14ac:dyDescent="0.3">
      <c r="B73" s="3" t="s">
        <v>37</v>
      </c>
      <c r="K73" s="1">
        <f>4-5-29</f>
        <v>-30</v>
      </c>
      <c r="L73" s="1">
        <f>9-51-10-K73</f>
        <v>-22</v>
      </c>
      <c r="M73" s="1">
        <f>13-83-15-L73-K73</f>
        <v>-33</v>
      </c>
      <c r="N73" s="1">
        <f>15-113-20-M73-L73-K73</f>
        <v>-33</v>
      </c>
      <c r="O73" s="1">
        <f>4-46-4</f>
        <v>-46</v>
      </c>
    </row>
    <row r="74" spans="2:15" x14ac:dyDescent="0.3">
      <c r="B74" s="3" t="s">
        <v>45</v>
      </c>
      <c r="K74" s="1">
        <v>-498</v>
      </c>
      <c r="L74" s="1">
        <f>-622-K74</f>
        <v>-124</v>
      </c>
      <c r="M74" s="1">
        <f>-436-L74-K74</f>
        <v>186</v>
      </c>
      <c r="N74" s="1">
        <f>-341-282+256+197+61-112+72-M74-K74-L74</f>
        <v>287</v>
      </c>
      <c r="O74" s="1">
        <v>-524</v>
      </c>
    </row>
    <row r="75" spans="2:15" x14ac:dyDescent="0.3">
      <c r="B75" s="3" t="s">
        <v>19</v>
      </c>
      <c r="K75" s="1">
        <v>-31</v>
      </c>
      <c r="L75" s="1">
        <f>12-K75</f>
        <v>43</v>
      </c>
      <c r="M75" s="1">
        <f>-56-L75-K75</f>
        <v>-68</v>
      </c>
      <c r="N75" s="1">
        <f>-76-M75-L75-K75</f>
        <v>-20</v>
      </c>
      <c r="O75" s="1">
        <v>-34</v>
      </c>
    </row>
    <row r="76" spans="2:15" x14ac:dyDescent="0.3">
      <c r="B76" s="3" t="s">
        <v>46</v>
      </c>
      <c r="K76" s="1">
        <f>SUM(K70:K75)</f>
        <v>335</v>
      </c>
      <c r="L76" s="1">
        <f>SUM(L70:L75)</f>
        <v>850</v>
      </c>
      <c r="M76" s="1">
        <f>SUM(M70:M75)</f>
        <v>1141</v>
      </c>
      <c r="N76" s="1">
        <f>SUM(N70:N75)</f>
        <v>1298</v>
      </c>
      <c r="O76" s="1">
        <f>SUM(O70:O75)</f>
        <v>475</v>
      </c>
    </row>
    <row r="77" spans="2:15" x14ac:dyDescent="0.3">
      <c r="K77" s="1"/>
      <c r="L77" s="1"/>
    </row>
    <row r="78" spans="2:15" x14ac:dyDescent="0.3">
      <c r="B78" s="3" t="s">
        <v>47</v>
      </c>
      <c r="K78" s="1">
        <v>-126</v>
      </c>
      <c r="L78" s="1">
        <f>-286-K78</f>
        <v>-160</v>
      </c>
      <c r="M78" s="1">
        <f>-514-L78-K78</f>
        <v>-228</v>
      </c>
      <c r="N78" s="1">
        <f>-757-M78-L78-K78</f>
        <v>-243</v>
      </c>
      <c r="O78" s="1">
        <f>+-183+58</f>
        <v>-125</v>
      </c>
    </row>
    <row r="79" spans="2:15" x14ac:dyDescent="0.3">
      <c r="B79" s="3" t="s">
        <v>48</v>
      </c>
      <c r="K79" s="1">
        <f>3-27+41</f>
        <v>17</v>
      </c>
      <c r="L79" s="1">
        <f>-1-68-719+42-K79</f>
        <v>-763</v>
      </c>
      <c r="M79" s="1">
        <f>54-2-L79-K79-68-1304+61</f>
        <v>-513</v>
      </c>
      <c r="N79" s="1">
        <f>-2+76-68-1861+92-M79-L79-K79</f>
        <v>-504</v>
      </c>
      <c r="O79" s="1">
        <f>150+11</f>
        <v>161</v>
      </c>
    </row>
    <row r="80" spans="2:15" x14ac:dyDescent="0.3">
      <c r="B80" s="3" t="s">
        <v>19</v>
      </c>
      <c r="K80" s="1">
        <v>-14</v>
      </c>
      <c r="L80" s="1">
        <f>2-K80</f>
        <v>16</v>
      </c>
      <c r="M80" s="1">
        <f>-9-L80-K80</f>
        <v>-11</v>
      </c>
      <c r="N80" s="1">
        <f>-54-M80-L80-K80</f>
        <v>-45</v>
      </c>
      <c r="O80" s="1">
        <v>-3</v>
      </c>
    </row>
    <row r="81" spans="2:15" x14ac:dyDescent="0.3">
      <c r="B81" s="3" t="s">
        <v>49</v>
      </c>
      <c r="K81" s="1">
        <f>SUM(K78:K80)</f>
        <v>-123</v>
      </c>
      <c r="L81" s="1">
        <f>SUM(L78:L80)</f>
        <v>-907</v>
      </c>
      <c r="M81" s="1">
        <f>SUM(M78:M80)</f>
        <v>-752</v>
      </c>
      <c r="N81" s="1">
        <f>SUM(N78:N80)</f>
        <v>-792</v>
      </c>
      <c r="O81" s="1">
        <f>SUM(O78:O80)</f>
        <v>33</v>
      </c>
    </row>
    <row r="82" spans="2:15" x14ac:dyDescent="0.3">
      <c r="K82" s="1"/>
      <c r="L82" s="1"/>
    </row>
    <row r="83" spans="2:15" x14ac:dyDescent="0.3">
      <c r="B83" s="3" t="s">
        <v>4</v>
      </c>
      <c r="K83" s="1">
        <f>318-3-236</f>
        <v>79</v>
      </c>
      <c r="L83" s="1">
        <f>818-5-225-K83</f>
        <v>509</v>
      </c>
      <c r="M83" s="1">
        <f>818-11-295-L83-K83</f>
        <v>-76</v>
      </c>
      <c r="N83" s="1">
        <f>818-19-311-M83-L83-K83</f>
        <v>-24</v>
      </c>
      <c r="O83" s="1">
        <f>+-4-7</f>
        <v>-11</v>
      </c>
    </row>
    <row r="84" spans="2:15" x14ac:dyDescent="0.3">
      <c r="B84" s="3" t="s">
        <v>50</v>
      </c>
      <c r="K84" s="1">
        <v>-334</v>
      </c>
      <c r="L84" s="1">
        <f>-692-K84</f>
        <v>-358</v>
      </c>
      <c r="M84" s="1">
        <f>-1035-L84-K84</f>
        <v>-343</v>
      </c>
      <c r="N84" s="1">
        <f>-1379-M84-K84-L84</f>
        <v>-344</v>
      </c>
      <c r="O84" s="1">
        <v>-368</v>
      </c>
    </row>
    <row r="85" spans="2:15" x14ac:dyDescent="0.3">
      <c r="B85" s="3" t="s">
        <v>51</v>
      </c>
      <c r="K85" s="1">
        <v>0</v>
      </c>
      <c r="L85" s="1">
        <f>0-K85</f>
        <v>0</v>
      </c>
      <c r="M85" s="1">
        <f>0-L85-K85</f>
        <v>0</v>
      </c>
      <c r="N85" s="1">
        <f>0-M85-L85-K85</f>
        <v>0</v>
      </c>
      <c r="O85" s="1">
        <v>-138</v>
      </c>
    </row>
    <row r="86" spans="2:15" x14ac:dyDescent="0.3">
      <c r="B86" s="3" t="s">
        <v>52</v>
      </c>
      <c r="K86" s="1">
        <f>17-40</f>
        <v>-23</v>
      </c>
      <c r="L86" s="1">
        <f>46-47-K86</f>
        <v>22</v>
      </c>
      <c r="M86" s="1">
        <f>73-L86-K86-49</f>
        <v>25</v>
      </c>
      <c r="N86" s="1">
        <f>78-M86-L86-K86</f>
        <v>54</v>
      </c>
      <c r="O86" s="1">
        <f>41-56</f>
        <v>-15</v>
      </c>
    </row>
    <row r="87" spans="2:15" x14ac:dyDescent="0.3">
      <c r="B87" s="3" t="s">
        <v>19</v>
      </c>
      <c r="K87" s="1">
        <v>-1</v>
      </c>
      <c r="L87" s="1">
        <f>-7-K87</f>
        <v>-6</v>
      </c>
      <c r="M87" s="1">
        <f>-9-L87-K87</f>
        <v>-2</v>
      </c>
      <c r="N87" s="1">
        <f>-9-49-M87-L87-K87</f>
        <v>-49</v>
      </c>
      <c r="O87" s="1">
        <v>-4</v>
      </c>
    </row>
    <row r="88" spans="2:15" x14ac:dyDescent="0.3">
      <c r="B88" s="3" t="s">
        <v>53</v>
      </c>
      <c r="K88" s="1">
        <f>SUM(K83:K87)</f>
        <v>-279</v>
      </c>
      <c r="L88" s="1">
        <f>SUM(L83:L87)</f>
        <v>167</v>
      </c>
      <c r="M88" s="1">
        <f>SUM(M83:M87)</f>
        <v>-396</v>
      </c>
      <c r="N88" s="1">
        <f>SUM(N83:N87)</f>
        <v>-363</v>
      </c>
      <c r="O88" s="1">
        <f>SUM(O83:O87)+13</f>
        <v>-523</v>
      </c>
    </row>
    <row r="89" spans="2:15" x14ac:dyDescent="0.3">
      <c r="K89" s="1"/>
      <c r="L89" s="1"/>
    </row>
    <row r="90" spans="2:15" x14ac:dyDescent="0.3">
      <c r="B90" s="3" t="s">
        <v>54</v>
      </c>
      <c r="K90" s="1">
        <f>+K88+K81+K76</f>
        <v>-67</v>
      </c>
      <c r="L90" s="1">
        <f>+L88+L81+L76</f>
        <v>110</v>
      </c>
      <c r="M90" s="1">
        <f>+M88+M81+M76</f>
        <v>-7</v>
      </c>
      <c r="N90" s="1">
        <f>+N88+N81+N76</f>
        <v>143</v>
      </c>
      <c r="O90" s="1">
        <f>+O88+O81+O76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Main</vt:lpstr>
      <vt:lpstr>Model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Szewczyk</dc:creator>
  <cp:lastModifiedBy>Sebastian Szewczyk</cp:lastModifiedBy>
  <dcterms:created xsi:type="dcterms:W3CDTF">2024-05-17T18:29:53Z</dcterms:created>
  <dcterms:modified xsi:type="dcterms:W3CDTF">2024-08-30T18:00:27Z</dcterms:modified>
</cp:coreProperties>
</file>