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wylie/Desktop/UW/CHEME485_ProcessDesign/Wi2020_CHEME485_FinalProject/Economics/"/>
    </mc:Choice>
  </mc:AlternateContent>
  <xr:revisionPtr revIDLastSave="0" documentId="13_ncr:1_{90142F17-C3A6-AD4D-A1FD-71F906156B04}" xr6:coauthVersionLast="45" xr6:coauthVersionMax="45" xr10:uidLastSave="{00000000-0000-0000-0000-000000000000}"/>
  <bookViews>
    <workbookView xWindow="0" yWindow="460" windowWidth="28800" windowHeight="17540" xr2:uid="{74176B1B-27FF-EC4A-BC90-47A84481ADA2}"/>
  </bookViews>
  <sheets>
    <sheet name="Itemized Utilities" sheetId="7" r:id="rId1"/>
    <sheet name="Itemized List_Messy" sheetId="1" r:id="rId2"/>
    <sheet name="Recycle " sheetId="3" r:id="rId3"/>
    <sheet name="BFW  $perGJ  Calc" sheetId="2" r:id="rId4"/>
    <sheet name="HiTec Calc" sheetId="4" r:id="rId5"/>
    <sheet name="Condenser unit calc" sheetId="5" r:id="rId6"/>
    <sheet name="O-xylene Fuel calc"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7" l="1"/>
  <c r="B41" i="7"/>
  <c r="B40" i="7"/>
  <c r="D40" i="7" s="1"/>
  <c r="D39" i="7"/>
  <c r="B39" i="7"/>
  <c r="B38" i="7"/>
  <c r="D38" i="7" s="1"/>
  <c r="D37" i="7"/>
  <c r="B37" i="7"/>
  <c r="B36" i="7"/>
  <c r="D36" i="7" s="1"/>
  <c r="D35" i="7"/>
  <c r="B35" i="7"/>
  <c r="B34" i="7"/>
  <c r="D34" i="7" s="1"/>
  <c r="D33" i="7"/>
  <c r="B33" i="7"/>
  <c r="B32" i="7"/>
  <c r="D32" i="7" s="1"/>
  <c r="D31" i="7"/>
  <c r="B31" i="7"/>
  <c r="C25" i="7"/>
  <c r="E25" i="7"/>
  <c r="K25" i="7"/>
  <c r="K26" i="7" s="1"/>
  <c r="K16" i="7" l="1"/>
  <c r="K17" i="7"/>
  <c r="K18" i="7"/>
  <c r="K19" i="7"/>
  <c r="K20" i="7"/>
  <c r="K21" i="7"/>
  <c r="K22" i="7"/>
  <c r="K23" i="7"/>
  <c r="K24" i="7"/>
  <c r="K15" i="7"/>
  <c r="E17" i="7"/>
  <c r="E18" i="7"/>
  <c r="E19" i="7"/>
  <c r="E20" i="7"/>
  <c r="E21" i="7"/>
  <c r="E22" i="7"/>
  <c r="E23" i="7"/>
  <c r="E24" i="7"/>
  <c r="E16" i="7"/>
  <c r="C24" i="7"/>
  <c r="C23" i="7"/>
  <c r="C22" i="7"/>
  <c r="C21" i="7"/>
  <c r="C20" i="7"/>
  <c r="C19" i="7"/>
  <c r="C18" i="7"/>
  <c r="C17" i="7"/>
  <c r="C16" i="7"/>
  <c r="E15" i="7"/>
  <c r="C15" i="7"/>
  <c r="J19" i="7"/>
  <c r="A13" i="6"/>
  <c r="A12" i="6"/>
  <c r="A8" i="6"/>
  <c r="A9" i="6" s="1"/>
  <c r="A10" i="6" s="1"/>
  <c r="C14" i="1" l="1"/>
  <c r="C13" i="1"/>
  <c r="C12" i="1"/>
  <c r="C11" i="1"/>
  <c r="C10" i="1"/>
  <c r="C9" i="1"/>
  <c r="C8" i="1"/>
  <c r="H9" i="1"/>
  <c r="B42" i="5"/>
  <c r="B44" i="5" s="1"/>
  <c r="B45" i="5" l="1"/>
  <c r="B46" i="5"/>
  <c r="B43" i="5"/>
  <c r="B19" i="5"/>
  <c r="B51" i="5" s="1"/>
  <c r="B17" i="5"/>
  <c r="B50" i="5" s="1"/>
  <c r="B15" i="5"/>
  <c r="B49" i="5" s="1"/>
  <c r="B11" i="5"/>
  <c r="B39" i="5" s="1"/>
  <c r="B9" i="5"/>
  <c r="B38" i="5" s="1"/>
  <c r="B7" i="5"/>
  <c r="B37" i="5" s="1"/>
  <c r="J6" i="5"/>
  <c r="C7" i="1"/>
  <c r="C6" i="1"/>
  <c r="I6" i="1" s="1"/>
  <c r="C5" i="1"/>
  <c r="A11" i="3" s="1"/>
  <c r="A26" i="4"/>
  <c r="A19" i="4"/>
  <c r="A20" i="4" s="1"/>
  <c r="B14" i="4"/>
  <c r="B10" i="4"/>
  <c r="B6" i="4"/>
  <c r="A32" i="4"/>
  <c r="A33" i="4" s="1"/>
  <c r="A37" i="4" s="1"/>
  <c r="A7" i="2"/>
  <c r="A8" i="2" s="1"/>
  <c r="A9" i="2" s="1"/>
  <c r="A10" i="2" s="1"/>
  <c r="A11" i="2" s="1"/>
  <c r="I11" i="1"/>
  <c r="I7" i="1"/>
  <c r="I8" i="1"/>
  <c r="I9" i="1"/>
  <c r="I10" i="1"/>
  <c r="I12" i="1"/>
  <c r="I13" i="1"/>
  <c r="I14" i="1"/>
  <c r="I5" i="1"/>
  <c r="A54" i="5" l="1"/>
  <c r="A63" i="5" s="1"/>
  <c r="A43" i="4"/>
  <c r="A46" i="4" s="1"/>
  <c r="A50" i="4" s="1"/>
  <c r="A57" i="5"/>
  <c r="A7" i="3"/>
  <c r="A13" i="3" s="1"/>
  <c r="I15" i="1"/>
  <c r="A34" i="4"/>
  <c r="A29" i="4"/>
  <c r="A60" i="5" l="1"/>
  <c r="A53" i="4"/>
</calcChain>
</file>

<file path=xl/sharedStrings.xml><?xml version="1.0" encoding="utf-8"?>
<sst xmlns="http://schemas.openxmlformats.org/spreadsheetml/2006/main" count="356" uniqueCount="181">
  <si>
    <t>Unit</t>
  </si>
  <si>
    <t>Phase Change?</t>
  </si>
  <si>
    <t>Utility</t>
  </si>
  <si>
    <t>$/GJ</t>
  </si>
  <si>
    <t>In Progress</t>
  </si>
  <si>
    <t>Not looked at/Consufing</t>
  </si>
  <si>
    <t>Notes</t>
  </si>
  <si>
    <t>H-701</t>
  </si>
  <si>
    <t>Description</t>
  </si>
  <si>
    <t>Heats feed air stream</t>
  </si>
  <si>
    <t>H-702</t>
  </si>
  <si>
    <t>H-703</t>
  </si>
  <si>
    <t>E-701</t>
  </si>
  <si>
    <t>E-702a/b/c</t>
  </si>
  <si>
    <t>E-703</t>
  </si>
  <si>
    <t>Heats Oxy feed stream</t>
  </si>
  <si>
    <t>3 condenser unit</t>
  </si>
  <si>
    <t>E-704</t>
  </si>
  <si>
    <t>Reboiler for Oxy/PA, MA Column (T-701)</t>
  </si>
  <si>
    <t>Reboiler for MA/PA Column (T-702)</t>
  </si>
  <si>
    <t>Prep for Oxy/PA, MA Column (T-701)</t>
  </si>
  <si>
    <t>Condenser for Oxy/PA, MA Column (T-701)</t>
  </si>
  <si>
    <t>E-705</t>
  </si>
  <si>
    <t>E-706</t>
  </si>
  <si>
    <t>R-701</t>
  </si>
  <si>
    <t>Cooling duty req'd for isothermal reactor</t>
  </si>
  <si>
    <t>Prep for MA/PA Column (T-702)</t>
  </si>
  <si>
    <t>Condenser for MA/PA Column (T-702)</t>
  </si>
  <si>
    <t>Duty [GJ/hr]</t>
  </si>
  <si>
    <t>Process Temperature in [C]</t>
  </si>
  <si>
    <t>Process Temperature Out [C]</t>
  </si>
  <si>
    <t>partial vaporization</t>
  </si>
  <si>
    <t>total vaporization</t>
  </si>
  <si>
    <t>MPS</t>
  </si>
  <si>
    <t>Operating Hours/yr</t>
  </si>
  <si>
    <t>Annual Operating Cost [$/yr]</t>
  </si>
  <si>
    <t>[$/GJ]</t>
  </si>
  <si>
    <t>total condensation</t>
  </si>
  <si>
    <t>BFW</t>
  </si>
  <si>
    <t>no (heating vapor)</t>
  </si>
  <si>
    <t>no (cooling vapor)</t>
  </si>
  <si>
    <t>E-705  in capcost, and is based on the Heat duty in T-701 condenser.</t>
  </si>
  <si>
    <t>E-704 in capcost sheet. may be backwards in capcost</t>
  </si>
  <si>
    <t>Total</t>
  </si>
  <si>
    <t>Calculating BFW $/GJ</t>
  </si>
  <si>
    <t>$/1000 kg</t>
  </si>
  <si>
    <t>Enthalpy of vaporization</t>
  </si>
  <si>
    <t>kJ/mol</t>
  </si>
  <si>
    <t>g/mol</t>
  </si>
  <si>
    <t>kJ/g</t>
  </si>
  <si>
    <t>kJ/kg</t>
  </si>
  <si>
    <t>kJ/tonne</t>
  </si>
  <si>
    <t>GJ/tonne</t>
  </si>
  <si>
    <t>$/GJ cooling</t>
  </si>
  <si>
    <t>From Turton</t>
  </si>
  <si>
    <t>Water at 115 C</t>
  </si>
  <si>
    <t>Finished and checked against Aspen</t>
  </si>
  <si>
    <t>cooling combustion reactions</t>
  </si>
  <si>
    <t>Calculations Regarding the use of HiTec molten salt for cooling the reactor</t>
  </si>
  <si>
    <t>Source</t>
  </si>
  <si>
    <t>http://stoppingclimatechange.com/MSR%20-%20HITEC%20Heat%20Transfer%20Salt.pdf</t>
  </si>
  <si>
    <t>Freezing Point</t>
  </si>
  <si>
    <t>C</t>
  </si>
  <si>
    <t>Process Temperature</t>
  </si>
  <si>
    <t>F</t>
  </si>
  <si>
    <t>Cooled Temperature</t>
  </si>
  <si>
    <t>Total Heat</t>
  </si>
  <si>
    <t>Btu/lb</t>
  </si>
  <si>
    <t xml:space="preserve">btu/lb </t>
  </si>
  <si>
    <t>Cooling ability of 1 lb of Molten Salt at 160 C absorbing heat from a process stream of 400 C and heating to 400 C</t>
  </si>
  <si>
    <t>GJ/kg</t>
  </si>
  <si>
    <t>Price</t>
  </si>
  <si>
    <t>$/kg</t>
  </si>
  <si>
    <t>https://www.nrel.gov/docs/fy03osti/40028.pdf</t>
  </si>
  <si>
    <t>2003 Price</t>
  </si>
  <si>
    <t>2003 CEPCI</t>
  </si>
  <si>
    <t>2018 CEPCI</t>
  </si>
  <si>
    <t>2018 Scaled price</t>
  </si>
  <si>
    <t>Price per GJ of cooling if buying new salt constantly</t>
  </si>
  <si>
    <t>GJ/hr</t>
  </si>
  <si>
    <t>kJ/hr</t>
  </si>
  <si>
    <t>Cooling duty required by reactor</t>
  </si>
  <si>
    <t>kg/hr</t>
  </si>
  <si>
    <t>Lets assume it takes 15 minutes for a kg of HiTec salt to circulate through the cooling loop</t>
  </si>
  <si>
    <t>Flowrate of HiTec Required - if 1 kg of HiTec could make it through the cooling loop once per hour.</t>
  </si>
  <si>
    <t>Mass HiTec Required in loop at 4 circulations per hour</t>
  </si>
  <si>
    <t>kg</t>
  </si>
  <si>
    <t>$</t>
  </si>
  <si>
    <t>Cost of HiTec in cooling loop</t>
  </si>
  <si>
    <t>If we assume that you have to replace the salt twice per operating year (fouling, contamination, etc...)</t>
  </si>
  <si>
    <t>Material Cost of HiTec/yr</t>
  </si>
  <si>
    <t>$/yr</t>
  </si>
  <si>
    <t>GJ/yr</t>
  </si>
  <si>
    <t>Cost of HiTec Cooling normalized to $/GJ cooling provided</t>
  </si>
  <si>
    <t>HiTEC</t>
  </si>
  <si>
    <t>Circulations per hour</t>
  </si>
  <si>
    <t>See HiTec Calc for details in coming up with the $/GJ</t>
  </si>
  <si>
    <t>Needs to be double checked (against Aspen)</t>
  </si>
  <si>
    <t>Natural Gas</t>
  </si>
  <si>
    <t>Including an 80% efficiency, duty expressed as actual duty</t>
  </si>
  <si>
    <t>Calculating the SS duty for the triple heat exchanger unit</t>
  </si>
  <si>
    <t>Assume that the heat required is to condense o-xylene, ma, and pa.</t>
  </si>
  <si>
    <t>Heat of Sublimations from nist</t>
  </si>
  <si>
    <t>MA</t>
  </si>
  <si>
    <t>Heat of Fusion</t>
  </si>
  <si>
    <t>PA</t>
  </si>
  <si>
    <t>Oxy</t>
  </si>
  <si>
    <t>Component Flowrate through Condensers (stream 6 on PFD)</t>
  </si>
  <si>
    <t>kmol/hr</t>
  </si>
  <si>
    <t>Cooling Duty required for Desublimation</t>
  </si>
  <si>
    <t>kj</t>
  </si>
  <si>
    <t>mol</t>
  </si>
  <si>
    <t>1000 mol</t>
  </si>
  <si>
    <t>1 kmol</t>
  </si>
  <si>
    <t>1E-6 GJ</t>
  </si>
  <si>
    <t>1 KJ</t>
  </si>
  <si>
    <t>GJ/kmol</t>
  </si>
  <si>
    <t>OXY</t>
  </si>
  <si>
    <t>Heating Duty required for Melting the condensed solids</t>
  </si>
  <si>
    <t>Net Heating Duty</t>
  </si>
  <si>
    <t>Net Cooling Duty</t>
  </si>
  <si>
    <t>Net Duty</t>
  </si>
  <si>
    <t>Melting and desublimation in this step</t>
  </si>
  <si>
    <t xml:space="preserve">Let us assume that we can facilitate transfer between the two working heat exchangers (desublimating and melting) with a working fluid, then we can recycle the energy. Therefore, the only cost of utility is going to be that to desublimate the gas. Then the heated process fluid can be passed to melting the condensed organics. </t>
  </si>
  <si>
    <t>Duty to input into cost calculation</t>
  </si>
  <si>
    <t xml:space="preserve"> </t>
  </si>
  <si>
    <t>V low temperature refrigerant</t>
  </si>
  <si>
    <t>Things to double check with group</t>
  </si>
  <si>
    <t>Hitec calculation</t>
  </si>
  <si>
    <t>BFW calculation</t>
  </si>
  <si>
    <t>Looking at overall energy usage</t>
  </si>
  <si>
    <t>Total Heating</t>
  </si>
  <si>
    <t>Total Cooling</t>
  </si>
  <si>
    <t>Effective Recycle Assumption</t>
  </si>
  <si>
    <t>Burn the o-xylene purge stream fired heater</t>
  </si>
  <si>
    <t>3 condenser duty calculation, cooling non-organics, fix to change for 3x the cooling water cost as per project description</t>
  </si>
  <si>
    <t>Heat exchangers, check if default efficiency on aspen</t>
  </si>
  <si>
    <t>No defualt efficiency I could find.</t>
  </si>
  <si>
    <t>O2</t>
  </si>
  <si>
    <t>N2</t>
  </si>
  <si>
    <t>H2O</t>
  </si>
  <si>
    <t>CO2</t>
  </si>
  <si>
    <t>Cooling duty for Noncondensibles</t>
  </si>
  <si>
    <t>Delta T</t>
  </si>
  <si>
    <t>Specific Heats</t>
  </si>
  <si>
    <t>kJ/(kmol*K)</t>
  </si>
  <si>
    <t>kJ(kmol*K)</t>
  </si>
  <si>
    <t>Assumed to cost 3*the cost per GJ of cooling water</t>
  </si>
  <si>
    <t>Of cooling can be re-used for heating</t>
  </si>
  <si>
    <t>Heating from cooling process streams</t>
  </si>
  <si>
    <t>&lt;- this is without any energy-recycling</t>
  </si>
  <si>
    <t>Includes 90% efficiency</t>
  </si>
  <si>
    <t>Includes 90% efficiency. Assumed to cost 3*the cost per GJ of cooling water</t>
  </si>
  <si>
    <t>Includes 90% efficiency. E-705  in capcost, and is based on the Heat duty in T-701 condenser.</t>
  </si>
  <si>
    <t>Includes 90% efficiency. E-704 in capcost sheet. may be backwards in capcost</t>
  </si>
  <si>
    <t>Includes 90% efficiency. See HiTec Calc for details in coming up with the $/GJ</t>
  </si>
  <si>
    <t>O-xylene Enthalpy of combustion</t>
  </si>
  <si>
    <t>In stream 16, we are losing 9.337 kmol/hr (as a purge). We can burn this to produce some of the steam required elsewhere</t>
  </si>
  <si>
    <t>kmol/hr purged</t>
  </si>
  <si>
    <t>kJ/hr energy we can use</t>
  </si>
  <si>
    <t>Calculating the amount of energy we can get from combusting the oxylene we lose in the purge stream</t>
  </si>
  <si>
    <t>Itemized Utilities Including Recycling Processes Streams</t>
  </si>
  <si>
    <t>We will use this process stream for the feed air heater. H-701.</t>
  </si>
  <si>
    <t>Assumptions</t>
  </si>
  <si>
    <t>Heat Exchangers operate at 90% efficiency</t>
  </si>
  <si>
    <t>Fired heaters operate at 80% efficiency</t>
  </si>
  <si>
    <t>Used O-xylene purge as fuel</t>
  </si>
  <si>
    <t>All steam utilities are created in cooling the reactor unit AS PER PROJECT DESCRIPTION</t>
  </si>
  <si>
    <t>O-xylene purge stream (stream 6)</t>
  </si>
  <si>
    <t>Efficiency</t>
  </si>
  <si>
    <t>Actual Duty</t>
  </si>
  <si>
    <t>H-701 is fueled by combustino of the o-xylene leaving the system in Purge Stream 6</t>
  </si>
  <si>
    <t>E-702a/b/c utility cost is 3 times that of the cooling water required to satisfy cooling duty</t>
  </si>
  <si>
    <t>C-701</t>
  </si>
  <si>
    <t>Compressor for Reactor Prep Stream</t>
  </si>
  <si>
    <t>Includes 72% Compressor Efficiency</t>
  </si>
  <si>
    <t>N/A</t>
  </si>
  <si>
    <t>Compression</t>
  </si>
  <si>
    <t>Electricity</t>
  </si>
  <si>
    <t>s</t>
  </si>
  <si>
    <t>Made up for entirely by High Pressure Steam created in reactor cooling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</si>
</sst>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b/>
      <sz val="11"/>
      <color theme="1"/>
      <name val="Calibri"/>
      <family val="2"/>
      <scheme val="minor"/>
    </font>
    <font>
      <i/>
      <sz val="11"/>
      <color theme="1"/>
      <name val="Calibri"/>
      <family val="2"/>
      <scheme val="minor"/>
    </font>
    <font>
      <sz val="12"/>
      <name val="Calibri"/>
      <family val="2"/>
      <scheme val="minor"/>
    </font>
    <font>
      <b/>
      <sz val="12"/>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1"/>
        <bgColor theme="1"/>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diagonal/>
    </border>
    <border>
      <left/>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4" fontId="0" fillId="0" borderId="0" xfId="1" applyFont="1"/>
    <xf numFmtId="44" fontId="0" fillId="0" borderId="0" xfId="1" applyFont="1" applyFill="1"/>
    <xf numFmtId="0" fontId="3" fillId="0" borderId="0" xfId="0" applyFont="1"/>
    <xf numFmtId="0" fontId="4" fillId="0" borderId="0" xfId="0" applyFont="1"/>
    <xf numFmtId="0" fontId="3" fillId="0" borderId="1" xfId="0" applyFont="1" applyBorder="1"/>
    <xf numFmtId="44" fontId="3" fillId="0" borderId="2" xfId="0" applyNumberFormat="1" applyFont="1" applyBorder="1"/>
    <xf numFmtId="0" fontId="5" fillId="0" borderId="0" xfId="0" applyFont="1"/>
    <xf numFmtId="0" fontId="6" fillId="2" borderId="0" xfId="0" applyFont="1" applyFill="1"/>
    <xf numFmtId="0" fontId="0" fillId="0" borderId="0" xfId="0" applyFont="1"/>
    <xf numFmtId="0" fontId="4" fillId="2" borderId="0" xfId="0" applyFont="1" applyFill="1"/>
    <xf numFmtId="0" fontId="7" fillId="0" borderId="0" xfId="0" applyFont="1" applyFill="1"/>
    <xf numFmtId="0" fontId="6" fillId="0" borderId="0" xfId="0" applyFont="1"/>
    <xf numFmtId="0" fontId="0" fillId="0" borderId="3" xfId="0" applyFont="1" applyBorder="1"/>
    <xf numFmtId="0" fontId="0" fillId="0" borderId="4" xfId="0" applyFont="1" applyBorder="1"/>
    <xf numFmtId="44" fontId="0" fillId="0" borderId="2" xfId="0" applyNumberFormat="1" applyFont="1" applyBorder="1"/>
    <xf numFmtId="0" fontId="8" fillId="6" borderId="3" xfId="0" applyFont="1" applyFill="1" applyBorder="1"/>
    <xf numFmtId="0" fontId="7" fillId="0" borderId="3" xfId="0" applyFont="1" applyBorder="1"/>
    <xf numFmtId="44" fontId="0" fillId="0" borderId="0" xfId="0" applyNumberFormat="1"/>
  </cellXfs>
  <cellStyles count="2">
    <cellStyle name="Currency" xfId="1" builtinId="4"/>
    <cellStyle name="Normal" xfId="0" builtinId="0"/>
  </cellStyles>
  <dxfs count="18">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border outline="0">
        <left style="thin">
          <color theme="1"/>
        </left>
        <right style="thin">
          <color theme="1"/>
        </right>
      </border>
    </dxf>
    <dxf>
      <font>
        <color rgb="FF9C0006"/>
      </font>
    </dxf>
    <dxf>
      <font>
        <color rgb="FF9C0006"/>
      </font>
    </dxf>
    <dxf>
      <font>
        <color rgb="FF9C0006"/>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A1D37-99D4-5D4C-8E94-4450F0F097F6}" name="Table1" displayName="Table1" ref="A14:L25" totalsRowShown="0" headerRowDxfId="17">
  <autoFilter ref="A14:L25" xr:uid="{C620D222-9445-634C-9B88-E6DB5C133506}"/>
  <tableColumns count="12">
    <tableColumn id="1" xr3:uid="{47FF60EE-39E9-DE40-8AB0-583247682353}" name="Unit" dataDxfId="16"/>
    <tableColumn id="2" xr3:uid="{EAE6EC09-C6EE-C042-B3B9-A4B3C16CABEF}" name="Description"/>
    <tableColumn id="3" xr3:uid="{FD44AB6D-E276-594C-B210-1476CF420AEE}" name="Duty [GJ/hr]"/>
    <tableColumn id="4" xr3:uid="{CA56D727-12FE-F042-B03E-067CF9578D30}" name="Efficiency" dataDxfId="15"/>
    <tableColumn id="5" xr3:uid="{52E021D8-F9AE-3144-883B-2041D8666924}" name="Actual Duty" dataDxfId="14">
      <calculatedColumnFormula>C15/D15</calculatedColumnFormula>
    </tableColumn>
    <tableColumn id="6" xr3:uid="{8062DA37-DE02-4248-9D92-2A419E69FD6E}" name="Process Temperature in [C]"/>
    <tableColumn id="7" xr3:uid="{3E261B9D-4A5F-F044-8885-CEE7D2A71687}" name="Process Temperature Out [C]"/>
    <tableColumn id="8" xr3:uid="{1FF64FFE-8ABA-7940-8CD0-0C2831798307}" name="Phase Change?"/>
    <tableColumn id="9" xr3:uid="{4EF38D67-9BD2-184C-885E-568A3578B21E}" name="Utility" dataDxfId="13"/>
    <tableColumn id="10" xr3:uid="{7AA753DF-F1C4-8243-B4EB-737558947333}" name="[$/GJ]" dataDxfId="12" dataCellStyle="Currency"/>
    <tableColumn id="11" xr3:uid="{60745DE7-697A-1242-B1B5-AABAAC7003F5}" name="Annual Operating Cost [$/yr]" dataDxfId="11" dataCellStyle="Currency">
      <calculatedColumnFormula>J15*ABS(E15)*$B$2</calculatedColumnFormula>
    </tableColumn>
    <tableColumn id="12" xr3:uid="{3F27B81D-0FD9-4C40-903C-36375257545E}" name="Note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6786C7-EDB5-034F-AD46-813634CEC92C}" name="Table2" displayName="Table2" ref="A30:H41" totalsRowShown="0" tableBorderDxfId="7">
  <autoFilter ref="A30:H41" xr:uid="{EB54904C-73F9-D64A-AFF0-FEFED57ADA13}"/>
  <tableColumns count="8">
    <tableColumn id="1" xr3:uid="{D40BF7B6-8206-4D4E-AB23-5A7255E1FE1E}" name="Unit" dataDxfId="6"/>
    <tableColumn id="2" xr3:uid="{3FA1CDA1-9E4D-9744-9B7F-07A78711E41C}" name="Duty [GJ/hr]" dataDxfId="5"/>
    <tableColumn id="3" xr3:uid="{92B24C28-650B-5C4B-9C11-F638D10F4265}" name="Efficiency" dataDxfId="4"/>
    <tableColumn id="4" xr3:uid="{B8720AC5-2FBA-F540-B115-11B2751384CB}" name="Actual Duty" dataDxfId="3">
      <calculatedColumnFormula>B31/C31</calculatedColumnFormula>
    </tableColumn>
    <tableColumn id="5" xr3:uid="{CFD5A446-668F-C04A-AB64-764D0C5E8B31}" name="Utility"/>
    <tableColumn id="6" xr3:uid="{2482E829-8EDF-1140-816D-04D51C4CD838}" name="[$/GJ]" dataDxfId="2"/>
    <tableColumn id="7" xr3:uid="{FFC6946F-A31B-F04D-AD89-68DADC550ECA}" name="Annual Operating Cost [$/yr]" dataDxfId="1"/>
    <tableColumn id="8" xr3:uid="{710E7799-E9EA-2844-9787-FFFE63A2EEBC}"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844B-0980-6740-9A88-6402238C6121}">
  <dimension ref="A1:L42"/>
  <sheetViews>
    <sheetView tabSelected="1" zoomScale="69" workbookViewId="0">
      <selection activeCell="H49" sqref="H49"/>
    </sheetView>
  </sheetViews>
  <sheetFormatPr baseColWidth="10" defaultRowHeight="16" x14ac:dyDescent="0.2"/>
  <cols>
    <col min="1" max="1" width="19" customWidth="1"/>
    <col min="2" max="2" width="36.6640625" bestFit="1" customWidth="1"/>
    <col min="3" max="3" width="13.83203125" customWidth="1"/>
    <col min="4" max="5" width="13" customWidth="1"/>
    <col min="6" max="6" width="25.33203125" customWidth="1"/>
    <col min="7" max="7" width="26.83203125" customWidth="1"/>
    <col min="8" max="8" width="33.33203125" bestFit="1" customWidth="1"/>
    <col min="9" max="9" width="28.6640625" customWidth="1"/>
    <col min="10" max="10" width="12.5" customWidth="1"/>
    <col min="11" max="11" width="26.83203125" customWidth="1"/>
    <col min="12" max="12" width="78.83203125" bestFit="1" customWidth="1"/>
  </cols>
  <sheetData>
    <row r="1" spans="1:12" x14ac:dyDescent="0.2">
      <c r="A1" s="1" t="s">
        <v>161</v>
      </c>
    </row>
    <row r="2" spans="1:12" x14ac:dyDescent="0.2">
      <c r="A2" s="1" t="s">
        <v>34</v>
      </c>
      <c r="B2">
        <v>8000</v>
      </c>
    </row>
    <row r="4" spans="1:12" x14ac:dyDescent="0.2">
      <c r="A4" s="1" t="s">
        <v>163</v>
      </c>
    </row>
    <row r="5" spans="1:12" x14ac:dyDescent="0.2">
      <c r="A5" s="15" t="s">
        <v>165</v>
      </c>
    </row>
    <row r="6" spans="1:12" x14ac:dyDescent="0.2">
      <c r="A6" s="15" t="s">
        <v>164</v>
      </c>
    </row>
    <row r="7" spans="1:12" x14ac:dyDescent="0.2">
      <c r="A7" s="15" t="s">
        <v>167</v>
      </c>
      <c r="B7" s="1"/>
      <c r="C7" s="1"/>
      <c r="D7" s="1"/>
      <c r="E7" s="1"/>
      <c r="F7" s="1"/>
      <c r="G7" s="1"/>
      <c r="H7" s="1"/>
      <c r="I7" s="1"/>
      <c r="J7" s="1"/>
      <c r="K7" s="1"/>
      <c r="L7" s="1"/>
    </row>
    <row r="8" spans="1:12" x14ac:dyDescent="0.2">
      <c r="A8" s="15" t="s">
        <v>171</v>
      </c>
    </row>
    <row r="9" spans="1:12" x14ac:dyDescent="0.2">
      <c r="A9" s="15" t="s">
        <v>172</v>
      </c>
    </row>
    <row r="14" spans="1:12" x14ac:dyDescent="0.2">
      <c r="A14" s="1" t="s">
        <v>0</v>
      </c>
      <c r="B14" s="1" t="s">
        <v>8</v>
      </c>
      <c r="C14" s="1" t="s">
        <v>28</v>
      </c>
      <c r="D14" s="1" t="s">
        <v>169</v>
      </c>
      <c r="E14" s="1" t="s">
        <v>170</v>
      </c>
      <c r="F14" s="1" t="s">
        <v>29</v>
      </c>
      <c r="G14" s="1" t="s">
        <v>30</v>
      </c>
      <c r="H14" s="1" t="s">
        <v>1</v>
      </c>
      <c r="I14" s="1" t="s">
        <v>2</v>
      </c>
      <c r="J14" s="1" t="s">
        <v>36</v>
      </c>
      <c r="K14" s="1" t="s">
        <v>35</v>
      </c>
      <c r="L14" s="1" t="s">
        <v>6</v>
      </c>
    </row>
    <row r="15" spans="1:12" x14ac:dyDescent="0.2">
      <c r="A15" s="6" t="s">
        <v>7</v>
      </c>
      <c r="B15" t="s">
        <v>9</v>
      </c>
      <c r="C15" s="6">
        <f>30.4</f>
        <v>30.4</v>
      </c>
      <c r="D15" s="6">
        <v>0.8</v>
      </c>
      <c r="E15" s="6">
        <f>C15/D15</f>
        <v>37.999999999999993</v>
      </c>
      <c r="F15">
        <v>25</v>
      </c>
      <c r="G15">
        <v>292</v>
      </c>
      <c r="H15" t="s">
        <v>39</v>
      </c>
      <c r="I15" s="6" t="s">
        <v>168</v>
      </c>
      <c r="J15" s="7">
        <v>0</v>
      </c>
      <c r="K15" s="7">
        <f>J15*ABS(E15)*$B$2</f>
        <v>0</v>
      </c>
      <c r="L15" t="s">
        <v>166</v>
      </c>
    </row>
    <row r="16" spans="1:12" x14ac:dyDescent="0.2">
      <c r="A16" s="6" t="s">
        <v>10</v>
      </c>
      <c r="B16" t="s">
        <v>18</v>
      </c>
      <c r="C16" s="6">
        <f>8.37</f>
        <v>8.3699999999999992</v>
      </c>
      <c r="D16" s="6">
        <v>0.8</v>
      </c>
      <c r="E16" s="6">
        <f>C16/D16</f>
        <v>10.462499999999999</v>
      </c>
      <c r="F16">
        <v>264</v>
      </c>
      <c r="G16">
        <v>264</v>
      </c>
      <c r="H16" t="s">
        <v>31</v>
      </c>
      <c r="I16" s="6" t="s">
        <v>98</v>
      </c>
      <c r="J16" s="7">
        <v>11.1</v>
      </c>
      <c r="K16" s="7">
        <f t="shared" ref="K16:K24" si="0">J16*ABS(E16)*$B$2</f>
        <v>929069.99999999977</v>
      </c>
    </row>
    <row r="17" spans="1:12" x14ac:dyDescent="0.2">
      <c r="A17" s="6" t="s">
        <v>11</v>
      </c>
      <c r="B17" t="s">
        <v>19</v>
      </c>
      <c r="C17" s="6">
        <f>4.08</f>
        <v>4.08</v>
      </c>
      <c r="D17" s="6">
        <v>0.8</v>
      </c>
      <c r="E17" s="6">
        <f t="shared" ref="E17:E24" si="1">C17/D17</f>
        <v>5.0999999999999996</v>
      </c>
      <c r="F17">
        <v>294.2</v>
      </c>
      <c r="G17">
        <v>294.2</v>
      </c>
      <c r="H17" t="s">
        <v>31</v>
      </c>
      <c r="I17" s="6" t="s">
        <v>98</v>
      </c>
      <c r="J17" s="7">
        <v>11.1</v>
      </c>
      <c r="K17" s="7">
        <f t="shared" si="0"/>
        <v>452879.99999999994</v>
      </c>
    </row>
    <row r="18" spans="1:12" x14ac:dyDescent="0.2">
      <c r="A18" s="6" t="s">
        <v>12</v>
      </c>
      <c r="B18" t="s">
        <v>15</v>
      </c>
      <c r="C18">
        <f>16</f>
        <v>16</v>
      </c>
      <c r="D18" s="6">
        <v>0.9</v>
      </c>
      <c r="E18" s="6">
        <f t="shared" si="1"/>
        <v>17.777777777777779</v>
      </c>
      <c r="F18">
        <v>134.19999999999999</v>
      </c>
      <c r="G18">
        <v>154.69999999999999</v>
      </c>
      <c r="H18" t="s">
        <v>32</v>
      </c>
      <c r="I18" s="6" t="s">
        <v>33</v>
      </c>
      <c r="J18" s="8">
        <v>0</v>
      </c>
      <c r="K18" s="7">
        <f t="shared" si="0"/>
        <v>0</v>
      </c>
      <c r="L18" t="s">
        <v>180</v>
      </c>
    </row>
    <row r="19" spans="1:12" x14ac:dyDescent="0.2">
      <c r="A19" s="6" t="s">
        <v>13</v>
      </c>
      <c r="B19" t="s">
        <v>16</v>
      </c>
      <c r="C19" s="17">
        <f>-37</f>
        <v>-37</v>
      </c>
      <c r="D19" s="6">
        <v>0.9</v>
      </c>
      <c r="E19" s="6">
        <f t="shared" si="1"/>
        <v>-41.111111111111107</v>
      </c>
      <c r="F19">
        <v>400</v>
      </c>
      <c r="G19">
        <v>110</v>
      </c>
      <c r="H19" t="s">
        <v>122</v>
      </c>
      <c r="I19" s="6" t="s">
        <v>126</v>
      </c>
      <c r="J19" s="7">
        <f>3*0.354</f>
        <v>1.0619999999999998</v>
      </c>
      <c r="K19" s="7">
        <f t="shared" si="0"/>
        <v>349279.99999999994</v>
      </c>
      <c r="L19" t="s">
        <v>147</v>
      </c>
    </row>
    <row r="20" spans="1:12" x14ac:dyDescent="0.2">
      <c r="A20" s="6" t="s">
        <v>14</v>
      </c>
      <c r="B20" t="s">
        <v>20</v>
      </c>
      <c r="C20">
        <f>10.1</f>
        <v>10.1</v>
      </c>
      <c r="D20" s="6">
        <v>0.9</v>
      </c>
      <c r="E20" s="6">
        <f t="shared" si="1"/>
        <v>11.222222222222221</v>
      </c>
      <c r="F20">
        <v>110</v>
      </c>
      <c r="G20">
        <v>180</v>
      </c>
      <c r="H20" t="s">
        <v>31</v>
      </c>
      <c r="I20" s="6" t="s">
        <v>33</v>
      </c>
      <c r="J20" s="8">
        <v>0</v>
      </c>
      <c r="K20" s="7">
        <f t="shared" si="0"/>
        <v>0</v>
      </c>
      <c r="L20" t="s">
        <v>180</v>
      </c>
    </row>
    <row r="21" spans="1:12" x14ac:dyDescent="0.2">
      <c r="A21" s="6" t="s">
        <v>17</v>
      </c>
      <c r="B21" t="s">
        <v>21</v>
      </c>
      <c r="C21">
        <f>-12.1</f>
        <v>-12.1</v>
      </c>
      <c r="D21" s="6">
        <v>0.9</v>
      </c>
      <c r="E21" s="6">
        <f t="shared" si="1"/>
        <v>-13.444444444444443</v>
      </c>
      <c r="F21">
        <v>159</v>
      </c>
      <c r="G21">
        <v>159</v>
      </c>
      <c r="H21" t="s">
        <v>37</v>
      </c>
      <c r="I21" s="6" t="s">
        <v>38</v>
      </c>
      <c r="J21" s="7">
        <v>1.08</v>
      </c>
      <c r="K21" s="7">
        <f t="shared" si="0"/>
        <v>116160</v>
      </c>
      <c r="L21" t="s">
        <v>41</v>
      </c>
    </row>
    <row r="22" spans="1:12" x14ac:dyDescent="0.2">
      <c r="A22" s="6" t="s">
        <v>22</v>
      </c>
      <c r="B22" t="s">
        <v>26</v>
      </c>
      <c r="C22">
        <f>-1.58</f>
        <v>-1.58</v>
      </c>
      <c r="D22" s="6">
        <v>0.9</v>
      </c>
      <c r="E22" s="6">
        <f t="shared" si="1"/>
        <v>-1.7555555555555555</v>
      </c>
      <c r="F22">
        <v>264</v>
      </c>
      <c r="G22">
        <v>210</v>
      </c>
      <c r="H22" t="s">
        <v>40</v>
      </c>
      <c r="I22" s="6" t="s">
        <v>38</v>
      </c>
      <c r="J22" s="7">
        <v>1.08</v>
      </c>
      <c r="K22" s="7">
        <f t="shared" si="0"/>
        <v>15168.000000000002</v>
      </c>
      <c r="L22" t="s">
        <v>42</v>
      </c>
    </row>
    <row r="23" spans="1:12" x14ac:dyDescent="0.2">
      <c r="A23" s="6" t="s">
        <v>23</v>
      </c>
      <c r="B23" t="s">
        <v>27</v>
      </c>
      <c r="C23">
        <f>-1.99</f>
        <v>-1.99</v>
      </c>
      <c r="D23" s="6">
        <v>0.9</v>
      </c>
      <c r="E23" s="6">
        <f t="shared" si="1"/>
        <v>-2.2111111111111112</v>
      </c>
      <c r="F23">
        <v>215.3</v>
      </c>
      <c r="G23">
        <v>215.3</v>
      </c>
      <c r="H23" t="s">
        <v>37</v>
      </c>
      <c r="I23" s="6" t="s">
        <v>38</v>
      </c>
      <c r="J23" s="7">
        <v>1.08</v>
      </c>
      <c r="K23" s="7">
        <f t="shared" si="0"/>
        <v>19104.000000000004</v>
      </c>
    </row>
    <row r="24" spans="1:12" x14ac:dyDescent="0.2">
      <c r="A24" s="6" t="s">
        <v>24</v>
      </c>
      <c r="B24" t="s">
        <v>25</v>
      </c>
      <c r="C24" s="6">
        <f>-311</f>
        <v>-311</v>
      </c>
      <c r="D24" s="6">
        <v>0.9</v>
      </c>
      <c r="E24" s="6">
        <f t="shared" si="1"/>
        <v>-345.55555555555554</v>
      </c>
      <c r="F24">
        <v>400</v>
      </c>
      <c r="G24">
        <v>400</v>
      </c>
      <c r="H24" t="s">
        <v>57</v>
      </c>
      <c r="I24" s="6" t="s">
        <v>94</v>
      </c>
      <c r="J24" s="7">
        <v>0.24</v>
      </c>
      <c r="K24" s="7">
        <f t="shared" si="0"/>
        <v>663466.66666666663</v>
      </c>
      <c r="L24" t="s">
        <v>96</v>
      </c>
    </row>
    <row r="25" spans="1:12" x14ac:dyDescent="0.2">
      <c r="A25" s="6" t="s">
        <v>173</v>
      </c>
      <c r="B25" t="s">
        <v>174</v>
      </c>
      <c r="C25" s="6">
        <f>7116.17*0.0036</f>
        <v>25.618212</v>
      </c>
      <c r="D25" s="6">
        <v>1</v>
      </c>
      <c r="E25" s="6">
        <f>C25/D25</f>
        <v>25.618212</v>
      </c>
      <c r="F25" t="s">
        <v>176</v>
      </c>
      <c r="G25" t="s">
        <v>176</v>
      </c>
      <c r="H25" t="s">
        <v>177</v>
      </c>
      <c r="I25" s="6" t="s">
        <v>178</v>
      </c>
      <c r="J25" s="7">
        <v>16.8</v>
      </c>
      <c r="K25" s="7">
        <f>J25*ABS(E25)*$B$2</f>
        <v>3443087.6928000003</v>
      </c>
      <c r="L25" t="s">
        <v>175</v>
      </c>
    </row>
    <row r="26" spans="1:12" x14ac:dyDescent="0.2">
      <c r="J26" s="11" t="s">
        <v>43</v>
      </c>
      <c r="K26" s="21">
        <f>SUM(K15:K25)</f>
        <v>5988216.3594666664</v>
      </c>
    </row>
    <row r="30" spans="1:12" x14ac:dyDescent="0.2">
      <c r="A30" s="22" t="s">
        <v>0</v>
      </c>
      <c r="B30" s="22" t="s">
        <v>28</v>
      </c>
      <c r="C30" s="22" t="s">
        <v>169</v>
      </c>
      <c r="D30" s="22" t="s">
        <v>170</v>
      </c>
      <c r="E30" t="s">
        <v>2</v>
      </c>
      <c r="F30" t="s">
        <v>36</v>
      </c>
      <c r="G30" t="s">
        <v>35</v>
      </c>
      <c r="H30" s="22" t="s">
        <v>6</v>
      </c>
    </row>
    <row r="31" spans="1:12" x14ac:dyDescent="0.2">
      <c r="A31" s="19" t="s">
        <v>7</v>
      </c>
      <c r="B31" s="19">
        <f>30.4</f>
        <v>30.4</v>
      </c>
      <c r="C31" s="19">
        <v>0.8</v>
      </c>
      <c r="D31" s="19">
        <f>B31/C31</f>
        <v>37.999999999999993</v>
      </c>
      <c r="E31" t="s">
        <v>168</v>
      </c>
      <c r="F31" s="24">
        <v>0</v>
      </c>
      <c r="G31" s="24">
        <v>0</v>
      </c>
      <c r="H31" s="19" t="s">
        <v>166</v>
      </c>
    </row>
    <row r="32" spans="1:12" x14ac:dyDescent="0.2">
      <c r="A32" s="19" t="s">
        <v>10</v>
      </c>
      <c r="B32" s="19">
        <f>8.37</f>
        <v>8.3699999999999992</v>
      </c>
      <c r="C32" s="19">
        <v>0.8</v>
      </c>
      <c r="D32" s="19">
        <f>B32/C32</f>
        <v>10.462499999999999</v>
      </c>
      <c r="E32" t="s">
        <v>98</v>
      </c>
      <c r="F32" s="24">
        <v>11.1</v>
      </c>
      <c r="G32" s="24">
        <v>929069.99999999977</v>
      </c>
      <c r="H32" s="19"/>
    </row>
    <row r="33" spans="1:11" x14ac:dyDescent="0.2">
      <c r="A33" s="19" t="s">
        <v>11</v>
      </c>
      <c r="B33" s="19">
        <f>4.08</f>
        <v>4.08</v>
      </c>
      <c r="C33" s="19">
        <v>0.8</v>
      </c>
      <c r="D33" s="19">
        <f t="shared" ref="D33:D40" si="2">B33/C33</f>
        <v>5.0999999999999996</v>
      </c>
      <c r="E33" t="s">
        <v>98</v>
      </c>
      <c r="F33" s="24">
        <v>11.1</v>
      </c>
      <c r="G33" s="24">
        <v>452879.99999999994</v>
      </c>
      <c r="H33" s="19"/>
    </row>
    <row r="34" spans="1:11" x14ac:dyDescent="0.2">
      <c r="A34" s="19" t="s">
        <v>12</v>
      </c>
      <c r="B34" s="19">
        <f>16</f>
        <v>16</v>
      </c>
      <c r="C34" s="19">
        <v>0.9</v>
      </c>
      <c r="D34" s="19">
        <f t="shared" si="2"/>
        <v>17.777777777777779</v>
      </c>
      <c r="E34" t="s">
        <v>33</v>
      </c>
      <c r="F34" s="24">
        <v>0</v>
      </c>
      <c r="G34" s="24">
        <v>0</v>
      </c>
      <c r="H34" s="19" t="s">
        <v>180</v>
      </c>
    </row>
    <row r="35" spans="1:11" x14ac:dyDescent="0.2">
      <c r="A35" s="19" t="s">
        <v>13</v>
      </c>
      <c r="B35" s="23">
        <f>-37</f>
        <v>-37</v>
      </c>
      <c r="C35" s="19">
        <v>0.9</v>
      </c>
      <c r="D35" s="19">
        <f t="shared" si="2"/>
        <v>-41.111111111111107</v>
      </c>
      <c r="E35" t="s">
        <v>126</v>
      </c>
      <c r="F35" s="24">
        <v>1.0619999999999998</v>
      </c>
      <c r="G35" s="24">
        <v>349279.99999999994</v>
      </c>
      <c r="H35" s="19" t="s">
        <v>147</v>
      </c>
      <c r="K35" t="s">
        <v>179</v>
      </c>
    </row>
    <row r="36" spans="1:11" x14ac:dyDescent="0.2">
      <c r="A36" s="19" t="s">
        <v>14</v>
      </c>
      <c r="B36" s="19">
        <f>10.1</f>
        <v>10.1</v>
      </c>
      <c r="C36" s="19">
        <v>0.9</v>
      </c>
      <c r="D36" s="19">
        <f t="shared" si="2"/>
        <v>11.222222222222221</v>
      </c>
      <c r="E36" t="s">
        <v>33</v>
      </c>
      <c r="F36" s="24">
        <v>0</v>
      </c>
      <c r="G36" s="24">
        <v>0</v>
      </c>
      <c r="H36" s="19" t="s">
        <v>180</v>
      </c>
    </row>
    <row r="37" spans="1:11" x14ac:dyDescent="0.2">
      <c r="A37" s="19" t="s">
        <v>17</v>
      </c>
      <c r="B37" s="19">
        <f>-12.1</f>
        <v>-12.1</v>
      </c>
      <c r="C37" s="19">
        <v>0.9</v>
      </c>
      <c r="D37" s="19">
        <f t="shared" si="2"/>
        <v>-13.444444444444443</v>
      </c>
      <c r="E37" t="s">
        <v>38</v>
      </c>
      <c r="F37" s="24">
        <v>1.08</v>
      </c>
      <c r="G37" s="24">
        <v>116160</v>
      </c>
      <c r="H37" s="19"/>
    </row>
    <row r="38" spans="1:11" x14ac:dyDescent="0.2">
      <c r="A38" s="19" t="s">
        <v>22</v>
      </c>
      <c r="B38" s="19">
        <f>-1.58</f>
        <v>-1.58</v>
      </c>
      <c r="C38" s="19">
        <v>0.9</v>
      </c>
      <c r="D38" s="19">
        <f t="shared" si="2"/>
        <v>-1.7555555555555555</v>
      </c>
      <c r="E38" t="s">
        <v>38</v>
      </c>
      <c r="F38" s="24">
        <v>1.08</v>
      </c>
      <c r="G38" s="24">
        <v>15168.000000000002</v>
      </c>
      <c r="H38" s="19"/>
    </row>
    <row r="39" spans="1:11" x14ac:dyDescent="0.2">
      <c r="A39" s="19" t="s">
        <v>23</v>
      </c>
      <c r="B39" s="19">
        <f>-1.99</f>
        <v>-1.99</v>
      </c>
      <c r="C39" s="19">
        <v>0.9</v>
      </c>
      <c r="D39" s="19">
        <f t="shared" si="2"/>
        <v>-2.2111111111111112</v>
      </c>
      <c r="E39" t="s">
        <v>38</v>
      </c>
      <c r="F39" s="24">
        <v>1.08</v>
      </c>
      <c r="G39" s="24">
        <v>19104.000000000004</v>
      </c>
      <c r="H39" s="19"/>
    </row>
    <row r="40" spans="1:11" x14ac:dyDescent="0.2">
      <c r="A40" s="19" t="s">
        <v>24</v>
      </c>
      <c r="B40" s="19">
        <f>-311</f>
        <v>-311</v>
      </c>
      <c r="C40" s="19">
        <v>0.9</v>
      </c>
      <c r="D40" s="19">
        <f t="shared" si="2"/>
        <v>-345.55555555555554</v>
      </c>
      <c r="E40" t="s">
        <v>94</v>
      </c>
      <c r="F40" s="24">
        <v>0.24</v>
      </c>
      <c r="G40" s="24">
        <v>663466.66666666663</v>
      </c>
      <c r="H40" s="19" t="s">
        <v>96</v>
      </c>
    </row>
    <row r="41" spans="1:11" x14ac:dyDescent="0.2">
      <c r="A41" s="20" t="s">
        <v>173</v>
      </c>
      <c r="B41" s="20">
        <f>7116.17*0.0036</f>
        <v>25.618212</v>
      </c>
      <c r="C41" s="20">
        <v>1</v>
      </c>
      <c r="D41" s="20">
        <f>B41/C41</f>
        <v>25.618212</v>
      </c>
      <c r="E41" t="s">
        <v>178</v>
      </c>
      <c r="F41" s="24">
        <v>16.8</v>
      </c>
      <c r="G41" s="24">
        <v>3443087.6928000003</v>
      </c>
      <c r="H41" s="20" t="s">
        <v>175</v>
      </c>
    </row>
    <row r="42" spans="1:11" x14ac:dyDescent="0.2">
      <c r="F42" s="11" t="s">
        <v>43</v>
      </c>
      <c r="G42" s="12">
        <v>5988216.3594666664</v>
      </c>
    </row>
  </sheetData>
  <conditionalFormatting sqref="C15:E25">
    <cfRule type="cellIs" dxfId="10" priority="2" operator="lessThan">
      <formula>0</formula>
    </cfRule>
  </conditionalFormatting>
  <conditionalFormatting sqref="B31:D41">
    <cfRule type="cellIs" dxfId="9" priority="1" operator="lessThan">
      <formula>0</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78AA1-ABAE-8149-9943-713F8EAA6E3C}">
  <dimension ref="A1:J37"/>
  <sheetViews>
    <sheetView zoomScale="76" zoomScaleNormal="76" workbookViewId="0">
      <selection activeCell="E32" sqref="E32"/>
    </sheetView>
  </sheetViews>
  <sheetFormatPr baseColWidth="10" defaultRowHeight="16" x14ac:dyDescent="0.2"/>
  <cols>
    <col min="1" max="1" width="37.5" customWidth="1"/>
    <col min="2" max="2" width="36.5" customWidth="1"/>
    <col min="3" max="3" width="15.1640625" customWidth="1"/>
    <col min="4" max="4" width="24.33203125" customWidth="1"/>
    <col min="5" max="5" width="26.5" customWidth="1"/>
    <col min="6" max="6" width="33.1640625" customWidth="1"/>
    <col min="7" max="7" width="26.1640625" customWidth="1"/>
    <col min="9" max="9" width="26.33203125" customWidth="1"/>
  </cols>
  <sheetData>
    <row r="1" spans="1:10" x14ac:dyDescent="0.2">
      <c r="A1" s="2" t="s">
        <v>56</v>
      </c>
      <c r="B1" s="3" t="s">
        <v>97</v>
      </c>
      <c r="C1" s="4" t="s">
        <v>4</v>
      </c>
      <c r="D1" s="5" t="s">
        <v>5</v>
      </c>
    </row>
    <row r="2" spans="1:10" x14ac:dyDescent="0.2">
      <c r="A2" s="1" t="s">
        <v>34</v>
      </c>
      <c r="B2">
        <v>8000</v>
      </c>
    </row>
    <row r="3" spans="1:10" x14ac:dyDescent="0.2">
      <c r="A3" s="1"/>
    </row>
    <row r="4" spans="1:10" x14ac:dyDescent="0.2">
      <c r="A4" s="1" t="s">
        <v>0</v>
      </c>
      <c r="B4" s="1" t="s">
        <v>8</v>
      </c>
      <c r="C4" s="1" t="s">
        <v>28</v>
      </c>
      <c r="D4" s="1" t="s">
        <v>29</v>
      </c>
      <c r="E4" s="1" t="s">
        <v>30</v>
      </c>
      <c r="F4" s="1" t="s">
        <v>1</v>
      </c>
      <c r="G4" s="1" t="s">
        <v>2</v>
      </c>
      <c r="H4" s="1" t="s">
        <v>36</v>
      </c>
      <c r="I4" s="1" t="s">
        <v>35</v>
      </c>
      <c r="J4" s="1" t="s">
        <v>6</v>
      </c>
    </row>
    <row r="5" spans="1:10" x14ac:dyDescent="0.2">
      <c r="A5" s="2" t="s">
        <v>7</v>
      </c>
      <c r="B5" t="s">
        <v>9</v>
      </c>
      <c r="C5" s="6">
        <f>30.4/0.8</f>
        <v>37.999999999999993</v>
      </c>
      <c r="D5">
        <v>25</v>
      </c>
      <c r="E5">
        <v>292</v>
      </c>
      <c r="F5" t="s">
        <v>39</v>
      </c>
      <c r="G5" s="6" t="s">
        <v>98</v>
      </c>
      <c r="H5" s="7">
        <v>11.1</v>
      </c>
      <c r="I5" s="7">
        <f>H5*ABS(C5)*$B$2</f>
        <v>3374399.9999999991</v>
      </c>
      <c r="J5" t="s">
        <v>99</v>
      </c>
    </row>
    <row r="6" spans="1:10" x14ac:dyDescent="0.2">
      <c r="A6" s="2" t="s">
        <v>10</v>
      </c>
      <c r="B6" t="s">
        <v>18</v>
      </c>
      <c r="C6" s="6">
        <f>8.37/0.8</f>
        <v>10.462499999999999</v>
      </c>
      <c r="D6">
        <v>264</v>
      </c>
      <c r="E6">
        <v>264</v>
      </c>
      <c r="F6" t="s">
        <v>31</v>
      </c>
      <c r="G6" s="6" t="s">
        <v>98</v>
      </c>
      <c r="H6" s="7">
        <v>11.1</v>
      </c>
      <c r="I6" s="7">
        <f t="shared" ref="I6:I14" si="0">H6*ABS(C6)*$B$2</f>
        <v>929069.99999999977</v>
      </c>
      <c r="J6" t="s">
        <v>99</v>
      </c>
    </row>
    <row r="7" spans="1:10" x14ac:dyDescent="0.2">
      <c r="A7" s="2" t="s">
        <v>11</v>
      </c>
      <c r="B7" t="s">
        <v>19</v>
      </c>
      <c r="C7" s="6">
        <f>4.08/0.8</f>
        <v>5.0999999999999996</v>
      </c>
      <c r="D7">
        <v>294.2</v>
      </c>
      <c r="E7">
        <v>294.2</v>
      </c>
      <c r="F7" t="s">
        <v>31</v>
      </c>
      <c r="G7" s="6" t="s">
        <v>98</v>
      </c>
      <c r="H7" s="7">
        <v>11.1</v>
      </c>
      <c r="I7" s="7">
        <f t="shared" si="0"/>
        <v>452879.99999999994</v>
      </c>
      <c r="J7" t="s">
        <v>99</v>
      </c>
    </row>
    <row r="8" spans="1:10" x14ac:dyDescent="0.2">
      <c r="A8" s="2" t="s">
        <v>12</v>
      </c>
      <c r="B8" t="s">
        <v>15</v>
      </c>
      <c r="C8">
        <f>16/0.9</f>
        <v>17.777777777777779</v>
      </c>
      <c r="D8">
        <v>134.19999999999999</v>
      </c>
      <c r="E8">
        <v>154.69999999999999</v>
      </c>
      <c r="F8" t="s">
        <v>32</v>
      </c>
      <c r="G8" s="6" t="s">
        <v>33</v>
      </c>
      <c r="H8" s="8">
        <v>14.19</v>
      </c>
      <c r="I8" s="7">
        <f t="shared" si="0"/>
        <v>2018133.3333333335</v>
      </c>
      <c r="J8" t="s">
        <v>151</v>
      </c>
    </row>
    <row r="9" spans="1:10" x14ac:dyDescent="0.2">
      <c r="A9" s="2" t="s">
        <v>13</v>
      </c>
      <c r="B9" t="s">
        <v>16</v>
      </c>
      <c r="C9" s="17">
        <f>-37/0.9</f>
        <v>-41.111111111111107</v>
      </c>
      <c r="D9">
        <v>400</v>
      </c>
      <c r="E9">
        <v>110</v>
      </c>
      <c r="F9" t="s">
        <v>122</v>
      </c>
      <c r="G9" s="6" t="s">
        <v>126</v>
      </c>
      <c r="H9" s="7">
        <f>3*0.354</f>
        <v>1.0619999999999998</v>
      </c>
      <c r="I9" s="7">
        <f t="shared" si="0"/>
        <v>349279.99999999994</v>
      </c>
      <c r="J9" t="s">
        <v>152</v>
      </c>
    </row>
    <row r="10" spans="1:10" x14ac:dyDescent="0.2">
      <c r="A10" s="2" t="s">
        <v>14</v>
      </c>
      <c r="B10" t="s">
        <v>20</v>
      </c>
      <c r="C10">
        <f>10.1/0.9</f>
        <v>11.222222222222221</v>
      </c>
      <c r="D10">
        <v>110</v>
      </c>
      <c r="E10">
        <v>180</v>
      </c>
      <c r="F10" t="s">
        <v>31</v>
      </c>
      <c r="G10" s="6" t="s">
        <v>33</v>
      </c>
      <c r="H10" s="8">
        <v>14.19</v>
      </c>
      <c r="I10" s="7">
        <f t="shared" si="0"/>
        <v>1273946.6666666665</v>
      </c>
      <c r="J10" t="s">
        <v>151</v>
      </c>
    </row>
    <row r="11" spans="1:10" x14ac:dyDescent="0.2">
      <c r="A11" s="2" t="s">
        <v>17</v>
      </c>
      <c r="B11" t="s">
        <v>21</v>
      </c>
      <c r="C11">
        <f>-12.1/0.9</f>
        <v>-13.444444444444443</v>
      </c>
      <c r="D11">
        <v>159</v>
      </c>
      <c r="E11">
        <v>159</v>
      </c>
      <c r="F11" t="s">
        <v>37</v>
      </c>
      <c r="G11" s="6" t="s">
        <v>38</v>
      </c>
      <c r="H11" s="7">
        <v>1.08</v>
      </c>
      <c r="I11" s="7">
        <f t="shared" si="0"/>
        <v>116160</v>
      </c>
      <c r="J11" t="s">
        <v>153</v>
      </c>
    </row>
    <row r="12" spans="1:10" x14ac:dyDescent="0.2">
      <c r="A12" s="2" t="s">
        <v>22</v>
      </c>
      <c r="B12" t="s">
        <v>26</v>
      </c>
      <c r="C12">
        <f>-1.58/0.9</f>
        <v>-1.7555555555555555</v>
      </c>
      <c r="D12">
        <v>264</v>
      </c>
      <c r="E12">
        <v>210</v>
      </c>
      <c r="F12" t="s">
        <v>40</v>
      </c>
      <c r="G12" s="6" t="s">
        <v>38</v>
      </c>
      <c r="H12" s="7">
        <v>1.08</v>
      </c>
      <c r="I12" s="7">
        <f t="shared" si="0"/>
        <v>15168.000000000002</v>
      </c>
      <c r="J12" t="s">
        <v>154</v>
      </c>
    </row>
    <row r="13" spans="1:10" x14ac:dyDescent="0.2">
      <c r="A13" s="2" t="s">
        <v>23</v>
      </c>
      <c r="B13" t="s">
        <v>27</v>
      </c>
      <c r="C13">
        <f>-1.99/0.9</f>
        <v>-2.2111111111111112</v>
      </c>
      <c r="D13">
        <v>215.3</v>
      </c>
      <c r="E13">
        <v>215.3</v>
      </c>
      <c r="F13" t="s">
        <v>37</v>
      </c>
      <c r="G13" s="6" t="s">
        <v>38</v>
      </c>
      <c r="H13" s="7">
        <v>1.08</v>
      </c>
      <c r="I13" s="7">
        <f t="shared" si="0"/>
        <v>19104.000000000004</v>
      </c>
      <c r="J13" t="s">
        <v>151</v>
      </c>
    </row>
    <row r="14" spans="1:10" x14ac:dyDescent="0.2">
      <c r="A14" s="2" t="s">
        <v>24</v>
      </c>
      <c r="B14" t="s">
        <v>25</v>
      </c>
      <c r="C14" s="6">
        <f>-311/0.9</f>
        <v>-345.55555555555554</v>
      </c>
      <c r="D14">
        <v>400</v>
      </c>
      <c r="E14">
        <v>400</v>
      </c>
      <c r="F14" t="s">
        <v>57</v>
      </c>
      <c r="G14" s="6" t="s">
        <v>94</v>
      </c>
      <c r="H14" s="7">
        <v>0.24</v>
      </c>
      <c r="I14" s="7">
        <f t="shared" si="0"/>
        <v>663466.66666666663</v>
      </c>
      <c r="J14" t="s">
        <v>155</v>
      </c>
    </row>
    <row r="15" spans="1:10" x14ac:dyDescent="0.2">
      <c r="H15" s="11" t="s">
        <v>43</v>
      </c>
      <c r="I15" s="12">
        <f>SUM(I5:I14)</f>
        <v>9211608.6666666642</v>
      </c>
      <c r="J15" t="s">
        <v>150</v>
      </c>
    </row>
    <row r="17" spans="1:4" x14ac:dyDescent="0.2">
      <c r="A17" s="1" t="s">
        <v>127</v>
      </c>
    </row>
    <row r="18" spans="1:4" x14ac:dyDescent="0.2">
      <c r="A18" s="16" t="s">
        <v>135</v>
      </c>
      <c r="B18" s="2"/>
      <c r="C18" s="2"/>
      <c r="D18" s="2"/>
    </row>
    <row r="19" spans="1:4" x14ac:dyDescent="0.2">
      <c r="A19" s="16" t="s">
        <v>128</v>
      </c>
    </row>
    <row r="20" spans="1:4" x14ac:dyDescent="0.2">
      <c r="A20" s="16" t="s">
        <v>129</v>
      </c>
    </row>
    <row r="21" spans="1:4" x14ac:dyDescent="0.2">
      <c r="A21" s="16" t="s">
        <v>136</v>
      </c>
      <c r="B21" s="16" t="s">
        <v>137</v>
      </c>
    </row>
    <row r="22" spans="1:4" x14ac:dyDescent="0.2">
      <c r="A22" s="16" t="s">
        <v>134</v>
      </c>
    </row>
    <row r="37" spans="5:5" x14ac:dyDescent="0.2">
      <c r="E37" t="s">
        <v>125</v>
      </c>
    </row>
  </sheetData>
  <conditionalFormatting sqref="C5:C14">
    <cfRule type="cellIs" dxfId="8"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ACDAD-19DE-664F-A8DC-82AE8909FEAD}">
  <dimension ref="A1:B13"/>
  <sheetViews>
    <sheetView workbookViewId="0">
      <selection activeCell="B27" sqref="B27"/>
    </sheetView>
  </sheetViews>
  <sheetFormatPr baseColWidth="10" defaultRowHeight="16" x14ac:dyDescent="0.2"/>
  <cols>
    <col min="1" max="1" width="18.1640625" customWidth="1"/>
  </cols>
  <sheetData>
    <row r="1" spans="1:2" x14ac:dyDescent="0.2">
      <c r="A1" s="1" t="s">
        <v>130</v>
      </c>
    </row>
    <row r="3" spans="1:2" x14ac:dyDescent="0.2">
      <c r="A3" s="1" t="s">
        <v>133</v>
      </c>
    </row>
    <row r="4" spans="1:2" x14ac:dyDescent="0.2">
      <c r="A4">
        <v>0.3</v>
      </c>
      <c r="B4" t="s">
        <v>148</v>
      </c>
    </row>
    <row r="6" spans="1:2" x14ac:dyDescent="0.2">
      <c r="A6" s="1" t="s">
        <v>132</v>
      </c>
    </row>
    <row r="7" spans="1:2" x14ac:dyDescent="0.2">
      <c r="A7">
        <f>'Itemized List_Messy'!C9+SUM('Itemized List_Messy'!C11:C14)</f>
        <v>-404.07777777777773</v>
      </c>
      <c r="B7" t="s">
        <v>79</v>
      </c>
    </row>
    <row r="10" spans="1:2" x14ac:dyDescent="0.2">
      <c r="A10" s="1" t="s">
        <v>131</v>
      </c>
    </row>
    <row r="11" spans="1:2" x14ac:dyDescent="0.2">
      <c r="A11">
        <f>SUM('Itemized List_Messy'!C5:C8)+'Itemized List_Messy'!C10</f>
        <v>82.5625</v>
      </c>
      <c r="B11" t="s">
        <v>79</v>
      </c>
    </row>
    <row r="12" spans="1:2" x14ac:dyDescent="0.2">
      <c r="A12" s="10" t="s">
        <v>149</v>
      </c>
    </row>
    <row r="13" spans="1:2" x14ac:dyDescent="0.2">
      <c r="A13">
        <f>A4*ABS(A7)</f>
        <v>121.22333333333331</v>
      </c>
      <c r="B13"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23A7-38C5-2A42-B457-17BF0B4DA18B}">
  <dimension ref="A1:C11"/>
  <sheetViews>
    <sheetView workbookViewId="0">
      <selection activeCell="C17" sqref="C17"/>
    </sheetView>
  </sheetViews>
  <sheetFormatPr baseColWidth="10" defaultRowHeight="16" x14ac:dyDescent="0.2"/>
  <cols>
    <col min="3" max="3" width="14.5" customWidth="1"/>
  </cols>
  <sheetData>
    <row r="1" spans="1:3" x14ac:dyDescent="0.2">
      <c r="A1" s="1" t="s">
        <v>44</v>
      </c>
    </row>
    <row r="3" spans="1:3" x14ac:dyDescent="0.2">
      <c r="A3">
        <v>2.4500000000000002</v>
      </c>
      <c r="B3" t="s">
        <v>45</v>
      </c>
      <c r="C3" s="10" t="s">
        <v>54</v>
      </c>
    </row>
    <row r="4" spans="1:3" x14ac:dyDescent="0.2">
      <c r="A4" s="13" t="s">
        <v>46</v>
      </c>
    </row>
    <row r="5" spans="1:3" x14ac:dyDescent="0.2">
      <c r="A5">
        <v>40.65</v>
      </c>
      <c r="B5" t="s">
        <v>47</v>
      </c>
      <c r="C5" s="10" t="s">
        <v>55</v>
      </c>
    </row>
    <row r="6" spans="1:3" x14ac:dyDescent="0.2">
      <c r="A6">
        <v>18</v>
      </c>
      <c r="B6" t="s">
        <v>48</v>
      </c>
    </row>
    <row r="7" spans="1:3" x14ac:dyDescent="0.2">
      <c r="A7">
        <f>A5/A6</f>
        <v>2.2583333333333333</v>
      </c>
      <c r="B7" t="s">
        <v>49</v>
      </c>
    </row>
    <row r="8" spans="1:3" x14ac:dyDescent="0.2">
      <c r="A8">
        <f>A7*1000</f>
        <v>2258.3333333333335</v>
      </c>
      <c r="B8" t="s">
        <v>50</v>
      </c>
    </row>
    <row r="9" spans="1:3" x14ac:dyDescent="0.2">
      <c r="A9">
        <f>A8*1000</f>
        <v>2258333.3333333335</v>
      </c>
      <c r="B9" t="s">
        <v>51</v>
      </c>
    </row>
    <row r="10" spans="1:3" x14ac:dyDescent="0.2">
      <c r="A10">
        <f>A9/1000000</f>
        <v>2.2583333333333333</v>
      </c>
      <c r="B10" t="s">
        <v>52</v>
      </c>
    </row>
    <row r="11" spans="1:3" x14ac:dyDescent="0.2">
      <c r="A11" s="14">
        <f>A3/A10</f>
        <v>1.0848708487084873</v>
      </c>
      <c r="B11" s="14"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E6EC-C399-EF4B-A417-233B9F3B2292}">
  <dimension ref="A1:C53"/>
  <sheetViews>
    <sheetView workbookViewId="0">
      <selection activeCell="L23" sqref="L23"/>
    </sheetView>
  </sheetViews>
  <sheetFormatPr baseColWidth="10" defaultRowHeight="16" x14ac:dyDescent="0.2"/>
  <cols>
    <col min="1" max="1" width="24" customWidth="1"/>
  </cols>
  <sheetData>
    <row r="1" spans="1:3" x14ac:dyDescent="0.2">
      <c r="A1" s="1" t="s">
        <v>58</v>
      </c>
    </row>
    <row r="3" spans="1:3" x14ac:dyDescent="0.2">
      <c r="A3" s="1" t="s">
        <v>59</v>
      </c>
      <c r="B3" t="s">
        <v>60</v>
      </c>
    </row>
    <row r="5" spans="1:3" x14ac:dyDescent="0.2">
      <c r="A5" s="1" t="s">
        <v>61</v>
      </c>
      <c r="B5">
        <v>142</v>
      </c>
      <c r="C5" t="s">
        <v>62</v>
      </c>
    </row>
    <row r="6" spans="1:3" x14ac:dyDescent="0.2">
      <c r="A6" s="1"/>
      <c r="B6">
        <f>CONVERT(B5, "C", "F")</f>
        <v>287.60000000000002</v>
      </c>
      <c r="C6" t="s">
        <v>64</v>
      </c>
    </row>
    <row r="7" spans="1:3" x14ac:dyDescent="0.2">
      <c r="A7" s="1"/>
    </row>
    <row r="8" spans="1:3" x14ac:dyDescent="0.2">
      <c r="A8" s="1"/>
    </row>
    <row r="9" spans="1:3" x14ac:dyDescent="0.2">
      <c r="A9" s="1" t="s">
        <v>63</v>
      </c>
      <c r="B9">
        <v>400</v>
      </c>
      <c r="C9" t="s">
        <v>62</v>
      </c>
    </row>
    <row r="10" spans="1:3" x14ac:dyDescent="0.2">
      <c r="B10">
        <f>CONVERT(B9, "C", "F")</f>
        <v>752</v>
      </c>
      <c r="C10" t="s">
        <v>64</v>
      </c>
    </row>
    <row r="11" spans="1:3" x14ac:dyDescent="0.2">
      <c r="A11" t="s">
        <v>66</v>
      </c>
      <c r="B11">
        <v>280</v>
      </c>
      <c r="C11" t="s">
        <v>67</v>
      </c>
    </row>
    <row r="12" spans="1:3" x14ac:dyDescent="0.2">
      <c r="B12">
        <v>651.28</v>
      </c>
      <c r="C12" t="s">
        <v>50</v>
      </c>
    </row>
    <row r="13" spans="1:3" x14ac:dyDescent="0.2">
      <c r="A13" s="1" t="s">
        <v>65</v>
      </c>
      <c r="B13">
        <v>160</v>
      </c>
      <c r="C13" t="s">
        <v>62</v>
      </c>
    </row>
    <row r="14" spans="1:3" x14ac:dyDescent="0.2">
      <c r="B14">
        <f>CONVERT(B13, "C", "F")</f>
        <v>320</v>
      </c>
      <c r="C14" t="s">
        <v>64</v>
      </c>
    </row>
    <row r="15" spans="1:3" x14ac:dyDescent="0.2">
      <c r="A15" t="s">
        <v>66</v>
      </c>
      <c r="B15">
        <v>120</v>
      </c>
      <c r="C15" t="s">
        <v>68</v>
      </c>
    </row>
    <row r="16" spans="1:3" x14ac:dyDescent="0.2">
      <c r="B16">
        <v>279.12</v>
      </c>
      <c r="C16" t="s">
        <v>50</v>
      </c>
    </row>
    <row r="18" spans="1:3" x14ac:dyDescent="0.2">
      <c r="A18" s="1" t="s">
        <v>69</v>
      </c>
    </row>
    <row r="19" spans="1:3" x14ac:dyDescent="0.2">
      <c r="A19">
        <f>B12-B16</f>
        <v>372.15999999999997</v>
      </c>
      <c r="B19" t="s">
        <v>50</v>
      </c>
    </row>
    <row r="20" spans="1:3" x14ac:dyDescent="0.2">
      <c r="A20">
        <f>A19/1000000</f>
        <v>3.7215999999999996E-4</v>
      </c>
      <c r="B20" t="s">
        <v>70</v>
      </c>
    </row>
    <row r="22" spans="1:3" x14ac:dyDescent="0.2">
      <c r="A22" s="1" t="s">
        <v>71</v>
      </c>
      <c r="B22" t="s">
        <v>59</v>
      </c>
      <c r="C22" t="s">
        <v>73</v>
      </c>
    </row>
    <row r="23" spans="1:3" x14ac:dyDescent="0.2">
      <c r="A23">
        <v>0.93</v>
      </c>
      <c r="B23" t="s">
        <v>72</v>
      </c>
      <c r="C23" t="s">
        <v>74</v>
      </c>
    </row>
    <row r="24" spans="1:3" x14ac:dyDescent="0.2">
      <c r="A24">
        <v>402</v>
      </c>
      <c r="B24" t="s">
        <v>75</v>
      </c>
    </row>
    <row r="25" spans="1:3" x14ac:dyDescent="0.2">
      <c r="A25">
        <v>603.1</v>
      </c>
      <c r="B25" t="s">
        <v>76</v>
      </c>
    </row>
    <row r="26" spans="1:3" x14ac:dyDescent="0.2">
      <c r="A26">
        <f>A23*(A25/A24)</f>
        <v>1.3952313432835821</v>
      </c>
      <c r="B26" t="s">
        <v>72</v>
      </c>
      <c r="C26" t="s">
        <v>77</v>
      </c>
    </row>
    <row r="28" spans="1:3" x14ac:dyDescent="0.2">
      <c r="A28" s="1" t="s">
        <v>78</v>
      </c>
    </row>
    <row r="29" spans="1:3" x14ac:dyDescent="0.2">
      <c r="A29">
        <f>A26/A20</f>
        <v>3749.009413380219</v>
      </c>
      <c r="B29" t="s">
        <v>3</v>
      </c>
    </row>
    <row r="31" spans="1:3" x14ac:dyDescent="0.2">
      <c r="A31" s="1" t="s">
        <v>81</v>
      </c>
    </row>
    <row r="32" spans="1:3" x14ac:dyDescent="0.2">
      <c r="A32">
        <f>ABS('Itemized List_Messy'!C14)</f>
        <v>345.55555555555554</v>
      </c>
      <c r="B32" t="s">
        <v>79</v>
      </c>
    </row>
    <row r="33" spans="1:2" x14ac:dyDescent="0.2">
      <c r="A33">
        <f>A32*1000000</f>
        <v>345555555.55555552</v>
      </c>
      <c r="B33" t="s">
        <v>80</v>
      </c>
    </row>
    <row r="34" spans="1:2" x14ac:dyDescent="0.2">
      <c r="A34">
        <f>A32*8000</f>
        <v>2764444.4444444445</v>
      </c>
      <c r="B34" t="s">
        <v>92</v>
      </c>
    </row>
    <row r="36" spans="1:2" x14ac:dyDescent="0.2">
      <c r="A36" s="1" t="s">
        <v>84</v>
      </c>
    </row>
    <row r="37" spans="1:2" x14ac:dyDescent="0.2">
      <c r="A37">
        <f>A33/A19</f>
        <v>928513.42313939042</v>
      </c>
      <c r="B37" t="s">
        <v>82</v>
      </c>
    </row>
    <row r="39" spans="1:2" x14ac:dyDescent="0.2">
      <c r="A39" s="10" t="s">
        <v>83</v>
      </c>
    </row>
    <row r="40" spans="1:2" x14ac:dyDescent="0.2">
      <c r="A40" s="1" t="s">
        <v>95</v>
      </c>
    </row>
    <row r="41" spans="1:2" x14ac:dyDescent="0.2">
      <c r="A41" s="15">
        <v>4</v>
      </c>
    </row>
    <row r="42" spans="1:2" x14ac:dyDescent="0.2">
      <c r="A42" s="1" t="s">
        <v>85</v>
      </c>
    </row>
    <row r="43" spans="1:2" x14ac:dyDescent="0.2">
      <c r="A43">
        <f>A37/A41</f>
        <v>232128.3557848476</v>
      </c>
      <c r="B43" t="s">
        <v>86</v>
      </c>
    </row>
    <row r="45" spans="1:2" x14ac:dyDescent="0.2">
      <c r="A45" s="1" t="s">
        <v>88</v>
      </c>
    </row>
    <row r="46" spans="1:2" x14ac:dyDescent="0.2">
      <c r="A46">
        <f>A43*A26</f>
        <v>323872.75765590218</v>
      </c>
      <c r="B46" t="s">
        <v>87</v>
      </c>
    </row>
    <row r="48" spans="1:2" x14ac:dyDescent="0.2">
      <c r="A48" s="10" t="s">
        <v>89</v>
      </c>
    </row>
    <row r="49" spans="1:3" x14ac:dyDescent="0.2">
      <c r="A49" s="1" t="s">
        <v>90</v>
      </c>
    </row>
    <row r="50" spans="1:3" x14ac:dyDescent="0.2">
      <c r="A50">
        <f>A46*2</f>
        <v>647745.51531180437</v>
      </c>
      <c r="B50" t="s">
        <v>91</v>
      </c>
    </row>
    <row r="52" spans="1:3" x14ac:dyDescent="0.2">
      <c r="A52" s="1" t="s">
        <v>93</v>
      </c>
      <c r="B52" s="1"/>
      <c r="C52" s="1"/>
    </row>
    <row r="53" spans="1:3" x14ac:dyDescent="0.2">
      <c r="A53" s="2">
        <f>A50/A34</f>
        <v>0.23431308833626363</v>
      </c>
      <c r="B53" s="2"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8B18-C254-D142-BE6D-8B07E4317112}">
  <dimension ref="A1:J63"/>
  <sheetViews>
    <sheetView zoomScale="90" zoomScaleNormal="90" workbookViewId="0">
      <selection activeCell="F38" sqref="F38"/>
    </sheetView>
  </sheetViews>
  <sheetFormatPr baseColWidth="10" defaultRowHeight="16" x14ac:dyDescent="0.2"/>
  <cols>
    <col min="1" max="1" width="16.5" customWidth="1"/>
  </cols>
  <sheetData>
    <row r="1" spans="1:10" x14ac:dyDescent="0.2">
      <c r="A1" s="1" t="s">
        <v>100</v>
      </c>
    </row>
    <row r="3" spans="1:10" x14ac:dyDescent="0.2">
      <c r="A3" s="10" t="s">
        <v>101</v>
      </c>
    </row>
    <row r="5" spans="1:10" x14ac:dyDescent="0.2">
      <c r="A5" s="1" t="s">
        <v>102</v>
      </c>
    </row>
    <row r="6" spans="1:10" x14ac:dyDescent="0.2">
      <c r="A6" t="s">
        <v>105</v>
      </c>
      <c r="B6">
        <v>90</v>
      </c>
      <c r="C6" t="s">
        <v>47</v>
      </c>
      <c r="G6" t="s">
        <v>110</v>
      </c>
      <c r="H6" t="s">
        <v>112</v>
      </c>
      <c r="I6" t="s">
        <v>114</v>
      </c>
      <c r="J6">
        <f>1000*0.000001</f>
        <v>1E-3</v>
      </c>
    </row>
    <row r="7" spans="1:10" x14ac:dyDescent="0.2">
      <c r="B7">
        <f>B6*0.001</f>
        <v>0.09</v>
      </c>
      <c r="C7" t="s">
        <v>116</v>
      </c>
      <c r="G7" t="s">
        <v>111</v>
      </c>
      <c r="H7" t="s">
        <v>113</v>
      </c>
      <c r="I7" t="s">
        <v>115</v>
      </c>
    </row>
    <row r="8" spans="1:10" x14ac:dyDescent="0.2">
      <c r="A8" t="s">
        <v>103</v>
      </c>
      <c r="B8">
        <v>80</v>
      </c>
      <c r="C8" t="s">
        <v>47</v>
      </c>
    </row>
    <row r="9" spans="1:10" x14ac:dyDescent="0.2">
      <c r="B9">
        <f>B8*0.001</f>
        <v>0.08</v>
      </c>
      <c r="C9" t="s">
        <v>116</v>
      </c>
    </row>
    <row r="10" spans="1:10" x14ac:dyDescent="0.2">
      <c r="A10" t="s">
        <v>106</v>
      </c>
      <c r="B10">
        <v>60</v>
      </c>
      <c r="C10" t="s">
        <v>47</v>
      </c>
    </row>
    <row r="11" spans="1:10" x14ac:dyDescent="0.2">
      <c r="B11">
        <f>B10*0.001</f>
        <v>0.06</v>
      </c>
      <c r="C11" t="s">
        <v>116</v>
      </c>
    </row>
    <row r="13" spans="1:10" x14ac:dyDescent="0.2">
      <c r="A13" s="1" t="s">
        <v>104</v>
      </c>
    </row>
    <row r="14" spans="1:10" x14ac:dyDescent="0.2">
      <c r="A14" t="s">
        <v>105</v>
      </c>
      <c r="B14">
        <v>23</v>
      </c>
      <c r="C14" t="s">
        <v>47</v>
      </c>
    </row>
    <row r="15" spans="1:10" x14ac:dyDescent="0.2">
      <c r="B15">
        <f>B14*0.001</f>
        <v>2.3E-2</v>
      </c>
      <c r="C15" t="s">
        <v>116</v>
      </c>
    </row>
    <row r="16" spans="1:10" x14ac:dyDescent="0.2">
      <c r="A16" t="s">
        <v>103</v>
      </c>
      <c r="B16">
        <v>13.5</v>
      </c>
      <c r="C16" t="s">
        <v>47</v>
      </c>
    </row>
    <row r="17" spans="1:3" x14ac:dyDescent="0.2">
      <c r="B17">
        <f>B16*0.001</f>
        <v>1.35E-2</v>
      </c>
      <c r="C17" t="s">
        <v>116</v>
      </c>
    </row>
    <row r="18" spans="1:3" x14ac:dyDescent="0.2">
      <c r="A18" t="s">
        <v>106</v>
      </c>
      <c r="B18">
        <v>13.6</v>
      </c>
      <c r="C18" t="s">
        <v>47</v>
      </c>
    </row>
    <row r="19" spans="1:3" x14ac:dyDescent="0.2">
      <c r="B19">
        <f>B18*0.001</f>
        <v>1.3599999999999999E-2</v>
      </c>
      <c r="C19" t="s">
        <v>116</v>
      </c>
    </row>
    <row r="20" spans="1:3" x14ac:dyDescent="0.2">
      <c r="A20" s="1" t="s">
        <v>144</v>
      </c>
    </row>
    <row r="21" spans="1:3" x14ac:dyDescent="0.2">
      <c r="A21" s="15" t="s">
        <v>140</v>
      </c>
      <c r="B21">
        <v>74.5</v>
      </c>
      <c r="C21" t="s">
        <v>145</v>
      </c>
    </row>
    <row r="22" spans="1:3" x14ac:dyDescent="0.2">
      <c r="A22" s="15" t="s">
        <v>139</v>
      </c>
      <c r="B22">
        <v>1</v>
      </c>
      <c r="C22" t="s">
        <v>145</v>
      </c>
    </row>
    <row r="23" spans="1:3" x14ac:dyDescent="0.2">
      <c r="A23" s="15" t="s">
        <v>141</v>
      </c>
      <c r="B23">
        <v>1</v>
      </c>
      <c r="C23" t="s">
        <v>145</v>
      </c>
    </row>
    <row r="24" spans="1:3" x14ac:dyDescent="0.2">
      <c r="A24" s="15" t="s">
        <v>138</v>
      </c>
      <c r="B24">
        <v>1</v>
      </c>
      <c r="C24" t="s">
        <v>146</v>
      </c>
    </row>
    <row r="26" spans="1:3" x14ac:dyDescent="0.2">
      <c r="A26" s="1" t="s">
        <v>107</v>
      </c>
    </row>
    <row r="27" spans="1:3" x14ac:dyDescent="0.2">
      <c r="A27" t="s">
        <v>105</v>
      </c>
      <c r="B27">
        <v>91.68</v>
      </c>
      <c r="C27" t="s">
        <v>108</v>
      </c>
    </row>
    <row r="28" spans="1:3" x14ac:dyDescent="0.2">
      <c r="A28" t="s">
        <v>103</v>
      </c>
      <c r="B28">
        <v>61.8</v>
      </c>
      <c r="C28" t="s">
        <v>108</v>
      </c>
    </row>
    <row r="29" spans="1:3" x14ac:dyDescent="0.2">
      <c r="A29" t="s">
        <v>106</v>
      </c>
      <c r="B29">
        <v>188.63</v>
      </c>
      <c r="C29" t="s">
        <v>108</v>
      </c>
    </row>
    <row r="30" spans="1:3" x14ac:dyDescent="0.2">
      <c r="A30" t="s">
        <v>138</v>
      </c>
      <c r="B30">
        <v>0</v>
      </c>
      <c r="C30" t="s">
        <v>108</v>
      </c>
    </row>
    <row r="31" spans="1:3" x14ac:dyDescent="0.2">
      <c r="A31" t="s">
        <v>139</v>
      </c>
      <c r="B31">
        <v>2979.6</v>
      </c>
      <c r="C31" t="s">
        <v>108</v>
      </c>
    </row>
    <row r="32" spans="1:3" x14ac:dyDescent="0.2">
      <c r="A32" t="s">
        <v>140</v>
      </c>
      <c r="B32">
        <v>536.404</v>
      </c>
      <c r="C32" t="s">
        <v>108</v>
      </c>
    </row>
    <row r="33" spans="1:3" x14ac:dyDescent="0.2">
      <c r="A33" t="s">
        <v>141</v>
      </c>
      <c r="B33">
        <v>398.48899999999998</v>
      </c>
      <c r="C33" t="s">
        <v>108</v>
      </c>
    </row>
    <row r="35" spans="1:3" ht="15" customHeight="1" x14ac:dyDescent="0.2"/>
    <row r="36" spans="1:3" x14ac:dyDescent="0.2">
      <c r="A36" s="1" t="s">
        <v>109</v>
      </c>
    </row>
    <row r="37" spans="1:3" x14ac:dyDescent="0.2">
      <c r="A37" t="s">
        <v>105</v>
      </c>
      <c r="B37">
        <f>-B27*B7</f>
        <v>-8.2512000000000008</v>
      </c>
      <c r="C37" t="s">
        <v>79</v>
      </c>
    </row>
    <row r="38" spans="1:3" x14ac:dyDescent="0.2">
      <c r="A38" t="s">
        <v>103</v>
      </c>
      <c r="B38">
        <f>-B28*B9</f>
        <v>-4.944</v>
      </c>
      <c r="C38" t="s">
        <v>79</v>
      </c>
    </row>
    <row r="39" spans="1:3" x14ac:dyDescent="0.2">
      <c r="A39" t="s">
        <v>117</v>
      </c>
      <c r="B39">
        <f>-B29*B11</f>
        <v>-11.3178</v>
      </c>
      <c r="C39" t="s">
        <v>79</v>
      </c>
    </row>
    <row r="41" spans="1:3" x14ac:dyDescent="0.2">
      <c r="A41" s="1" t="s">
        <v>142</v>
      </c>
    </row>
    <row r="42" spans="1:3" x14ac:dyDescent="0.2">
      <c r="A42" t="s">
        <v>143</v>
      </c>
      <c r="B42">
        <f>110-400</f>
        <v>-290</v>
      </c>
      <c r="C42" t="s">
        <v>62</v>
      </c>
    </row>
    <row r="43" spans="1:3" x14ac:dyDescent="0.2">
      <c r="A43" t="s">
        <v>138</v>
      </c>
      <c r="B43">
        <f>B42*B24*B30</f>
        <v>0</v>
      </c>
      <c r="C43" t="s">
        <v>79</v>
      </c>
    </row>
    <row r="44" spans="1:3" x14ac:dyDescent="0.2">
      <c r="A44" t="s">
        <v>139</v>
      </c>
      <c r="B44">
        <f>B42*B31*B22/1000000</f>
        <v>-0.86408399999999996</v>
      </c>
      <c r="C44" t="s">
        <v>79</v>
      </c>
    </row>
    <row r="45" spans="1:3" x14ac:dyDescent="0.2">
      <c r="A45" t="s">
        <v>140</v>
      </c>
      <c r="B45">
        <f>B42*B32*B21/1000000</f>
        <v>-11.589008420000001</v>
      </c>
      <c r="C45" t="s">
        <v>79</v>
      </c>
    </row>
    <row r="46" spans="1:3" x14ac:dyDescent="0.2">
      <c r="A46" t="s">
        <v>141</v>
      </c>
      <c r="B46">
        <f>B42*B33*B23/1000000</f>
        <v>-0.11556181</v>
      </c>
      <c r="C46" t="s">
        <v>79</v>
      </c>
    </row>
    <row r="48" spans="1:3" x14ac:dyDescent="0.2">
      <c r="A48" s="1" t="s">
        <v>118</v>
      </c>
    </row>
    <row r="49" spans="1:3" x14ac:dyDescent="0.2">
      <c r="A49" t="s">
        <v>105</v>
      </c>
      <c r="B49">
        <f>B27*B15</f>
        <v>2.1086400000000003</v>
      </c>
      <c r="C49" t="s">
        <v>79</v>
      </c>
    </row>
    <row r="50" spans="1:3" x14ac:dyDescent="0.2">
      <c r="A50" t="s">
        <v>103</v>
      </c>
      <c r="B50">
        <f>B28*B17</f>
        <v>0.83429999999999993</v>
      </c>
      <c r="C50" t="s">
        <v>79</v>
      </c>
    </row>
    <row r="51" spans="1:3" x14ac:dyDescent="0.2">
      <c r="A51" t="s">
        <v>117</v>
      </c>
      <c r="B51">
        <f>B29*B19</f>
        <v>2.5653679999999999</v>
      </c>
      <c r="C51" t="s">
        <v>79</v>
      </c>
    </row>
    <row r="53" spans="1:3" x14ac:dyDescent="0.2">
      <c r="A53" s="1" t="s">
        <v>120</v>
      </c>
    </row>
    <row r="54" spans="1:3" x14ac:dyDescent="0.2">
      <c r="A54">
        <f>SUM(B37:B39)+SUM(B43:B46)</f>
        <v>-37.081654229999998</v>
      </c>
      <c r="B54" t="s">
        <v>79</v>
      </c>
    </row>
    <row r="56" spans="1:3" x14ac:dyDescent="0.2">
      <c r="A56" s="1" t="s">
        <v>119</v>
      </c>
    </row>
    <row r="57" spans="1:3" x14ac:dyDescent="0.2">
      <c r="A57">
        <f>SUM(B49:B51)</f>
        <v>5.5083079999999995</v>
      </c>
      <c r="B57" t="s">
        <v>79</v>
      </c>
    </row>
    <row r="59" spans="1:3" x14ac:dyDescent="0.2">
      <c r="A59" s="9" t="s">
        <v>121</v>
      </c>
      <c r="B59" s="10" t="s">
        <v>123</v>
      </c>
    </row>
    <row r="60" spans="1:3" x14ac:dyDescent="0.2">
      <c r="A60">
        <f>A54+A57</f>
        <v>-31.573346229999999</v>
      </c>
      <c r="B60" t="s">
        <v>79</v>
      </c>
    </row>
    <row r="62" spans="1:3" x14ac:dyDescent="0.2">
      <c r="A62" s="9" t="s">
        <v>124</v>
      </c>
    </row>
    <row r="63" spans="1:3" x14ac:dyDescent="0.2">
      <c r="A63">
        <f>A54</f>
        <v>-37.081654229999998</v>
      </c>
      <c r="B63" t="s">
        <v>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CB37F-6A63-2542-9143-7038DCA3D2EE}">
  <dimension ref="A1:B15"/>
  <sheetViews>
    <sheetView workbookViewId="0">
      <selection activeCell="D24" sqref="D24"/>
    </sheetView>
  </sheetViews>
  <sheetFormatPr baseColWidth="10" defaultRowHeight="16" x14ac:dyDescent="0.2"/>
  <sheetData>
    <row r="1" spans="1:2" x14ac:dyDescent="0.2">
      <c r="A1" s="1" t="s">
        <v>160</v>
      </c>
    </row>
    <row r="4" spans="1:2" x14ac:dyDescent="0.2">
      <c r="A4" s="13" t="s">
        <v>156</v>
      </c>
    </row>
    <row r="5" spans="1:2" x14ac:dyDescent="0.2">
      <c r="A5" t="s">
        <v>157</v>
      </c>
    </row>
    <row r="6" spans="1:2" x14ac:dyDescent="0.2">
      <c r="A6">
        <v>-4552</v>
      </c>
      <c r="B6" t="s">
        <v>47</v>
      </c>
    </row>
    <row r="7" spans="1:2" x14ac:dyDescent="0.2">
      <c r="A7">
        <v>106.16</v>
      </c>
      <c r="B7" t="s">
        <v>48</v>
      </c>
    </row>
    <row r="8" spans="1:2" x14ac:dyDescent="0.2">
      <c r="A8">
        <f>A6/A7</f>
        <v>-42.87867370007536</v>
      </c>
      <c r="B8" t="s">
        <v>49</v>
      </c>
    </row>
    <row r="9" spans="1:2" x14ac:dyDescent="0.2">
      <c r="A9">
        <f>A8*1000</f>
        <v>-42878.673700075364</v>
      </c>
      <c r="B9" t="s">
        <v>50</v>
      </c>
    </row>
    <row r="10" spans="1:2" x14ac:dyDescent="0.2">
      <c r="A10">
        <f>A9*1000</f>
        <v>-42878673.700075366</v>
      </c>
      <c r="B10" t="s">
        <v>51</v>
      </c>
    </row>
    <row r="11" spans="1:2" x14ac:dyDescent="0.2">
      <c r="A11">
        <v>9.3369999999999997</v>
      </c>
      <c r="B11" t="s">
        <v>158</v>
      </c>
    </row>
    <row r="12" spans="1:2" x14ac:dyDescent="0.2">
      <c r="A12" s="18">
        <f>A11*A6*1000</f>
        <v>-42502024</v>
      </c>
      <c r="B12" s="18" t="s">
        <v>159</v>
      </c>
    </row>
    <row r="13" spans="1:2" x14ac:dyDescent="0.2">
      <c r="A13" s="10">
        <f>A12/1000000</f>
        <v>-42.502023999999999</v>
      </c>
      <c r="B13" s="10" t="s">
        <v>79</v>
      </c>
    </row>
    <row r="15" spans="1:2" x14ac:dyDescent="0.2">
      <c r="A15" s="10"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Itemized Utilities</vt:lpstr>
      <vt:lpstr>Itemized List_Messy</vt:lpstr>
      <vt:lpstr>Recycle </vt:lpstr>
      <vt:lpstr>BFW  $perGJ  Calc</vt:lpstr>
      <vt:lpstr>HiTec Calc</vt:lpstr>
      <vt:lpstr>Condenser unit calc</vt:lpstr>
      <vt:lpstr>O-xylene Fuel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Wylie</dc:creator>
  <cp:lastModifiedBy>Wylie</cp:lastModifiedBy>
  <dcterms:created xsi:type="dcterms:W3CDTF">2020-03-07T19:45:26Z</dcterms:created>
  <dcterms:modified xsi:type="dcterms:W3CDTF">2020-03-10T04:08:06Z</dcterms:modified>
</cp:coreProperties>
</file>