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eyphillips/Library/Containers/com.microsoft.Excel/Data/Desktop/"/>
    </mc:Choice>
  </mc:AlternateContent>
  <xr:revisionPtr revIDLastSave="0" documentId="13_ncr:1_{9D350B87-6A5C-B841-881C-523650FE69FC}" xr6:coauthVersionLast="45" xr6:coauthVersionMax="45" xr10:uidLastSave="{00000000-0000-0000-0000-000000000000}"/>
  <bookViews>
    <workbookView xWindow="14400" yWindow="460" windowWidth="14400" windowHeight="17540" activeTab="3" xr2:uid="{D290E5DF-D88E-204F-9D12-600D13B71401}"/>
  </bookViews>
  <sheets>
    <sheet name="C_OL" sheetId="1" r:id="rId1"/>
    <sheet name="C_RM" sheetId="2" r:id="rId2"/>
    <sheet name="C_WT" sheetId="3" r:id="rId3"/>
    <sheet name="Grassro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4" l="1"/>
  <c r="C6" i="4"/>
  <c r="C20" i="4"/>
  <c r="C16" i="4"/>
  <c r="C2" i="3" l="1"/>
  <c r="G9" i="3"/>
  <c r="G10" i="3"/>
  <c r="I10" i="3" s="1"/>
  <c r="G11" i="3"/>
  <c r="G12" i="3"/>
  <c r="G13" i="3"/>
  <c r="G14" i="3"/>
  <c r="I14" i="3" s="1"/>
  <c r="G8" i="3"/>
  <c r="H10" i="3"/>
  <c r="H14" i="3"/>
  <c r="E18" i="3"/>
  <c r="H12" i="3" s="1"/>
  <c r="H4" i="3"/>
  <c r="H9" i="3" s="1"/>
  <c r="D4" i="2"/>
  <c r="F4" i="2" s="1"/>
  <c r="G4" i="2" s="1"/>
  <c r="H4" i="2" s="1"/>
  <c r="C20" i="1"/>
  <c r="F13" i="1"/>
  <c r="F9" i="1"/>
  <c r="F5" i="1"/>
  <c r="D7" i="2"/>
  <c r="F7" i="2" s="1"/>
  <c r="G7" i="2" s="1"/>
  <c r="H7" i="2" s="1"/>
  <c r="D6" i="2"/>
  <c r="F6" i="2" s="1"/>
  <c r="G6" i="2" s="1"/>
  <c r="H6" i="2" s="1"/>
  <c r="C9" i="1"/>
  <c r="C13" i="1" s="1"/>
  <c r="C15" i="1" s="1"/>
  <c r="C22" i="1" s="1"/>
  <c r="I9" i="3" l="1"/>
  <c r="H9" i="2"/>
  <c r="I12" i="3"/>
  <c r="H8" i="3"/>
  <c r="I8" i="3" s="1"/>
  <c r="I15" i="3" s="1"/>
  <c r="C3" i="3" s="1"/>
  <c r="C4" i="3" s="1"/>
  <c r="C5" i="3" s="1"/>
  <c r="H11" i="3"/>
  <c r="I11" i="3" s="1"/>
  <c r="H13" i="3"/>
  <c r="I13" i="3" s="1"/>
</calcChain>
</file>

<file path=xl/sharedStrings.xml><?xml version="1.0" encoding="utf-8"?>
<sst xmlns="http://schemas.openxmlformats.org/spreadsheetml/2006/main" count="100" uniqueCount="92">
  <si>
    <t>Calculating Nnp</t>
  </si>
  <si>
    <t>Equipment Type</t>
  </si>
  <si>
    <t>Number</t>
  </si>
  <si>
    <t>Compressors</t>
  </si>
  <si>
    <t>Towers</t>
  </si>
  <si>
    <t>Reactors</t>
  </si>
  <si>
    <t>Heaters</t>
  </si>
  <si>
    <t>Exchangers</t>
  </si>
  <si>
    <t>Calculating N_OL</t>
  </si>
  <si>
    <t>P</t>
  </si>
  <si>
    <t>Nnp</t>
  </si>
  <si>
    <t>N_OL</t>
  </si>
  <si>
    <t>Salary (2010)</t>
  </si>
  <si>
    <t>CEPCI (2010)</t>
  </si>
  <si>
    <t>Total C_OL</t>
  </si>
  <si>
    <t>Feed</t>
  </si>
  <si>
    <t>o-xylene</t>
  </si>
  <si>
    <t>Product</t>
  </si>
  <si>
    <t>Phthalic anhydride</t>
  </si>
  <si>
    <t>Maleic anhydride</t>
  </si>
  <si>
    <t>weeks/operator*year</t>
  </si>
  <si>
    <t>shifts/week</t>
  </si>
  <si>
    <t>shifts/operator*year</t>
  </si>
  <si>
    <t>hours(operating)/year</t>
  </si>
  <si>
    <t>hours/shift</t>
  </si>
  <si>
    <t>shifts/year</t>
  </si>
  <si>
    <t>multiply</t>
  </si>
  <si>
    <t>divide</t>
  </si>
  <si>
    <t>operators (multiplier)</t>
  </si>
  <si>
    <t>Multiply by 4.08</t>
  </si>
  <si>
    <t>CEPCI (2018)</t>
  </si>
  <si>
    <t>Salary (2018)</t>
  </si>
  <si>
    <t>Assumptions:</t>
  </si>
  <si>
    <t>- 8000 operating hours</t>
  </si>
  <si>
    <t>- 3 weeks vacation/year</t>
  </si>
  <si>
    <t>- Five 8-hour shifts/week</t>
  </si>
  <si>
    <t>- Operator salary has increased linearly with CEPCI</t>
  </si>
  <si>
    <t>Molar Flow (kmol/hr)</t>
  </si>
  <si>
    <r>
      <t xml:space="preserve">Cost ($/kg) </t>
    </r>
    <r>
      <rPr>
        <b/>
        <sz val="12"/>
        <color theme="1"/>
        <rFont val="Calibri"/>
        <family val="2"/>
        <scheme val="minor"/>
      </rPr>
      <t>(Intratec, May 2007)</t>
    </r>
  </si>
  <si>
    <t>Molar Mass (kg/kmol)</t>
  </si>
  <si>
    <t>Cost/hr (2007)</t>
  </si>
  <si>
    <t>CEPCI (2007)</t>
  </si>
  <si>
    <t>Net Annual Profit</t>
  </si>
  <si>
    <t>Annual Profit (2007)</t>
  </si>
  <si>
    <t>Annual Profit (2018)</t>
  </si>
  <si>
    <t>C_RM</t>
  </si>
  <si>
    <t>Mole fraction organics</t>
  </si>
  <si>
    <t>Mole Flow (kmol/hr)</t>
  </si>
  <si>
    <t>Mass Flow (kg/hr)</t>
  </si>
  <si>
    <t>Density (kg/m^3)</t>
  </si>
  <si>
    <t>Volumetric Flow (m^3/hr)</t>
  </si>
  <si>
    <t>Total volume of dirty air to be treated (m^3/hr)</t>
  </si>
  <si>
    <t>Hourly Cost</t>
  </si>
  <si>
    <t>Annual Cost</t>
  </si>
  <si>
    <t>Component</t>
  </si>
  <si>
    <t>O-xylene</t>
  </si>
  <si>
    <t>Oxygen</t>
  </si>
  <si>
    <t>Water</t>
  </si>
  <si>
    <t>Nitrogen</t>
  </si>
  <si>
    <t>Carbon dioxide</t>
  </si>
  <si>
    <t>Temperature</t>
  </si>
  <si>
    <t>C</t>
  </si>
  <si>
    <t>Pressure</t>
  </si>
  <si>
    <t>atm</t>
  </si>
  <si>
    <t>- Ideal gas law applies</t>
  </si>
  <si>
    <t>Constants</t>
  </si>
  <si>
    <t>R</t>
  </si>
  <si>
    <t>K</t>
  </si>
  <si>
    <t xml:space="preserve">  n/V = P/RT</t>
  </si>
  <si>
    <t xml:space="preserve">  m/V = (P*MM)/(RT)</t>
  </si>
  <si>
    <t>m^3*atm/kmol*K</t>
  </si>
  <si>
    <t>Name</t>
  </si>
  <si>
    <t>Total Module Cost</t>
  </si>
  <si>
    <t>Grass Roots Cost</t>
  </si>
  <si>
    <t xml:space="preserve"> </t>
  </si>
  <si>
    <t>C-701</t>
  </si>
  <si>
    <t>D-701</t>
  </si>
  <si>
    <t>E-701</t>
  </si>
  <si>
    <t>E-702</t>
  </si>
  <si>
    <t>E-703</t>
  </si>
  <si>
    <t>E-704</t>
  </si>
  <si>
    <t>E-705</t>
  </si>
  <si>
    <t>E-706</t>
  </si>
  <si>
    <t>H-701</t>
  </si>
  <si>
    <t>H-702</t>
  </si>
  <si>
    <t>H-703</t>
  </si>
  <si>
    <t>T-701</t>
  </si>
  <si>
    <t>T-702</t>
  </si>
  <si>
    <t>V-701</t>
  </si>
  <si>
    <t>V-702</t>
  </si>
  <si>
    <t>Totals</t>
  </si>
  <si>
    <t>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</si>
</sst>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2" borderId="9" xfId="0" applyFill="1" applyBorder="1"/>
    <xf numFmtId="0" fontId="0" fillId="3" borderId="0" xfId="0" applyFill="1"/>
    <xf numFmtId="0" fontId="0" fillId="3" borderId="9" xfId="0" applyFill="1" applyBorder="1"/>
    <xf numFmtId="0" fontId="0" fillId="4" borderId="2" xfId="0" applyFill="1" applyBorder="1"/>
    <xf numFmtId="0" fontId="0" fillId="4" borderId="12" xfId="0" quotePrefix="1" applyFill="1" applyBorder="1"/>
    <xf numFmtId="0" fontId="0" fillId="4" borderId="13" xfId="0" quotePrefix="1" applyFill="1" applyBorder="1" applyAlignment="1">
      <alignment wrapText="1"/>
    </xf>
    <xf numFmtId="2" fontId="0" fillId="2" borderId="10" xfId="0" applyNumberFormat="1" applyFill="1" applyBorder="1"/>
    <xf numFmtId="0" fontId="0" fillId="0" borderId="0" xfId="0" applyBorder="1"/>
    <xf numFmtId="2" fontId="0" fillId="0" borderId="1" xfId="0" applyNumberFormat="1" applyBorder="1"/>
    <xf numFmtId="0" fontId="0" fillId="4" borderId="5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14" xfId="0" applyFill="1" applyBorder="1"/>
    <xf numFmtId="44" fontId="0" fillId="0" borderId="0" xfId="1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11" xfId="0" applyFill="1" applyBorder="1"/>
    <xf numFmtId="44" fontId="0" fillId="0" borderId="13" xfId="1" applyFont="1" applyBorder="1"/>
    <xf numFmtId="0" fontId="0" fillId="4" borderId="12" xfId="0" applyFill="1" applyBorder="1"/>
    <xf numFmtId="44" fontId="0" fillId="0" borderId="12" xfId="1" applyFont="1" applyBorder="1"/>
    <xf numFmtId="0" fontId="0" fillId="0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44" fontId="0" fillId="2" borderId="10" xfId="1" applyFont="1" applyFill="1" applyBorder="1" applyAlignment="1">
      <alignment vertical="center"/>
    </xf>
    <xf numFmtId="44" fontId="0" fillId="3" borderId="0" xfId="1" applyFont="1" applyFill="1" applyBorder="1"/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2" borderId="7" xfId="0" applyFill="1" applyBorder="1"/>
    <xf numFmtId="0" fontId="0" fillId="0" borderId="2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14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0" borderId="0" xfId="0" applyNumberFormat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3" borderId="2" xfId="0" applyNumberFormat="1" applyFill="1" applyBorder="1"/>
    <xf numFmtId="0" fontId="0" fillId="3" borderId="12" xfId="0" applyFill="1" applyBorder="1" applyAlignment="1">
      <alignment horizontal="center" vertical="center"/>
    </xf>
    <xf numFmtId="2" fontId="0" fillId="2" borderId="13" xfId="0" applyNumberFormat="1" applyFill="1" applyBorder="1"/>
    <xf numFmtId="0" fontId="0" fillId="4" borderId="13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9343-5E1B-704F-962A-D9D50F08E918}">
  <dimension ref="B2:G22"/>
  <sheetViews>
    <sheetView workbookViewId="0">
      <selection activeCell="D9" sqref="D9"/>
    </sheetView>
  </sheetViews>
  <sheetFormatPr baseColWidth="10" defaultRowHeight="16"/>
  <cols>
    <col min="1" max="1" width="2.6640625" customWidth="1"/>
    <col min="2" max="2" width="14.6640625" customWidth="1"/>
    <col min="5" max="5" width="8.33203125" customWidth="1"/>
    <col min="7" max="7" width="25" customWidth="1"/>
  </cols>
  <sheetData>
    <row r="2" spans="2:7">
      <c r="B2" s="61" t="s">
        <v>0</v>
      </c>
      <c r="C2" s="62"/>
    </row>
    <row r="3" spans="2:7">
      <c r="B3" s="9" t="s">
        <v>1</v>
      </c>
      <c r="C3" s="13" t="s">
        <v>2</v>
      </c>
      <c r="F3">
        <v>49</v>
      </c>
      <c r="G3" t="s">
        <v>20</v>
      </c>
    </row>
    <row r="4" spans="2:7">
      <c r="B4" s="5" t="s">
        <v>3</v>
      </c>
      <c r="C4" s="12">
        <v>1</v>
      </c>
      <c r="E4" t="s">
        <v>26</v>
      </c>
      <c r="F4" s="1">
        <v>5</v>
      </c>
      <c r="G4" s="1" t="s">
        <v>21</v>
      </c>
    </row>
    <row r="5" spans="2:7">
      <c r="B5" s="5" t="s">
        <v>4</v>
      </c>
      <c r="C5" s="12">
        <v>2</v>
      </c>
      <c r="F5">
        <f>F3*F4</f>
        <v>245</v>
      </c>
      <c r="G5" t="s">
        <v>22</v>
      </c>
    </row>
    <row r="6" spans="2:7">
      <c r="B6" s="5" t="s">
        <v>5</v>
      </c>
      <c r="C6" s="12">
        <v>1</v>
      </c>
    </row>
    <row r="7" spans="2:7">
      <c r="B7" s="5" t="s">
        <v>6</v>
      </c>
      <c r="C7" s="12">
        <v>1</v>
      </c>
      <c r="F7">
        <v>8000</v>
      </c>
      <c r="G7" t="s">
        <v>23</v>
      </c>
    </row>
    <row r="8" spans="2:7">
      <c r="B8" s="5" t="s">
        <v>7</v>
      </c>
      <c r="C8" s="12">
        <v>4</v>
      </c>
      <c r="E8" t="s">
        <v>27</v>
      </c>
      <c r="F8" s="1">
        <v>8</v>
      </c>
      <c r="G8" s="1" t="s">
        <v>24</v>
      </c>
    </row>
    <row r="9" spans="2:7">
      <c r="B9" s="9" t="s">
        <v>10</v>
      </c>
      <c r="C9" s="13">
        <f>SUM(C4:C8)</f>
        <v>9</v>
      </c>
      <c r="F9">
        <f>F7/F8</f>
        <v>1000</v>
      </c>
      <c r="G9" s="2" t="s">
        <v>25</v>
      </c>
    </row>
    <row r="11" spans="2:7">
      <c r="B11" s="61" t="s">
        <v>8</v>
      </c>
      <c r="C11" s="62"/>
      <c r="F11">
        <v>1000</v>
      </c>
      <c r="G11" t="s">
        <v>25</v>
      </c>
    </row>
    <row r="12" spans="2:7">
      <c r="B12" s="5" t="s">
        <v>9</v>
      </c>
      <c r="C12" s="6">
        <v>0</v>
      </c>
      <c r="E12" t="s">
        <v>27</v>
      </c>
      <c r="F12" s="1">
        <v>245</v>
      </c>
      <c r="G12" s="1" t="s">
        <v>22</v>
      </c>
    </row>
    <row r="13" spans="2:7">
      <c r="B13" s="7" t="s">
        <v>11</v>
      </c>
      <c r="C13" s="8">
        <f>(6.29+(31.7*C12^2)+0.23*C9)^0.5</f>
        <v>2.8913664589601922</v>
      </c>
      <c r="F13" s="16">
        <f>F11/F12</f>
        <v>4.0816326530612246</v>
      </c>
      <c r="G13" s="2" t="s">
        <v>28</v>
      </c>
    </row>
    <row r="15" spans="2:7">
      <c r="B15" s="17" t="s">
        <v>29</v>
      </c>
      <c r="C15" s="10">
        <f>C13*F13</f>
        <v>11.801495750857928</v>
      </c>
    </row>
    <row r="16" spans="2:7">
      <c r="G16" s="18" t="s">
        <v>32</v>
      </c>
    </row>
    <row r="17" spans="2:7">
      <c r="B17" s="3" t="s">
        <v>12</v>
      </c>
      <c r="C17" s="11">
        <v>59580</v>
      </c>
      <c r="G17" s="19" t="s">
        <v>33</v>
      </c>
    </row>
    <row r="18" spans="2:7">
      <c r="B18" s="5" t="s">
        <v>13</v>
      </c>
      <c r="C18" s="12">
        <v>550.79999999999995</v>
      </c>
      <c r="G18" s="19" t="s">
        <v>34</v>
      </c>
    </row>
    <row r="19" spans="2:7">
      <c r="B19" s="5" t="s">
        <v>30</v>
      </c>
      <c r="C19" s="12">
        <v>603.1</v>
      </c>
      <c r="G19" s="19" t="s">
        <v>35</v>
      </c>
    </row>
    <row r="20" spans="2:7" ht="32" customHeight="1">
      <c r="B20" s="7" t="s">
        <v>31</v>
      </c>
      <c r="C20" s="14">
        <f>C17*C19/C18</f>
        <v>65237.287581699355</v>
      </c>
      <c r="G20" s="20" t="s">
        <v>36</v>
      </c>
    </row>
    <row r="22" spans="2:7">
      <c r="B22" s="15" t="s">
        <v>14</v>
      </c>
      <c r="C22" s="21">
        <f>C15*C20</f>
        <v>769897.57219292165</v>
      </c>
    </row>
  </sheetData>
  <mergeCells count="2">
    <mergeCell ref="B2:C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FF49-55B5-1347-AEBA-D56B93C49397}">
  <dimension ref="B2:I11"/>
  <sheetViews>
    <sheetView workbookViewId="0">
      <selection activeCell="H6" sqref="H6:H7"/>
    </sheetView>
  </sheetViews>
  <sheetFormatPr baseColWidth="10" defaultRowHeight="16"/>
  <cols>
    <col min="1" max="1" width="2.6640625" customWidth="1"/>
    <col min="2" max="2" width="16.1640625" customWidth="1"/>
    <col min="3" max="3" width="10.83203125" customWidth="1"/>
    <col min="4" max="4" width="18" customWidth="1"/>
    <col min="5" max="5" width="10.6640625" customWidth="1"/>
    <col min="6" max="6" width="13.83203125" customWidth="1"/>
    <col min="7" max="8" width="16.33203125" customWidth="1"/>
  </cols>
  <sheetData>
    <row r="2" spans="2:9" ht="42" customHeight="1">
      <c r="B2" s="9"/>
      <c r="C2" s="33" t="s">
        <v>37</v>
      </c>
      <c r="D2" s="31" t="s">
        <v>38</v>
      </c>
      <c r="E2" s="33" t="s">
        <v>39</v>
      </c>
      <c r="F2" s="31" t="s">
        <v>40</v>
      </c>
      <c r="G2" s="33" t="s">
        <v>43</v>
      </c>
      <c r="H2" s="38" t="s">
        <v>44</v>
      </c>
    </row>
    <row r="3" spans="2:9">
      <c r="B3" s="26" t="s">
        <v>15</v>
      </c>
      <c r="C3" s="34"/>
      <c r="D3" s="27"/>
      <c r="E3" s="34"/>
      <c r="F3" s="27"/>
      <c r="G3" s="34"/>
      <c r="H3" s="18"/>
    </row>
    <row r="4" spans="2:9">
      <c r="B4" s="7" t="s">
        <v>16</v>
      </c>
      <c r="C4" s="14">
        <v>160</v>
      </c>
      <c r="D4" s="29">
        <f>(-701/1000)</f>
        <v>-0.70099999999999996</v>
      </c>
      <c r="E4" s="14">
        <v>106.16</v>
      </c>
      <c r="F4" s="30">
        <f>C4*D4*E4</f>
        <v>-11906.9056</v>
      </c>
      <c r="G4" s="35">
        <f>F4*24*365</f>
        <v>-104304493.05600001</v>
      </c>
      <c r="H4" s="41">
        <f>G4*C11/C10</f>
        <v>-119729805.40935214</v>
      </c>
      <c r="I4" s="42" t="s">
        <v>45</v>
      </c>
    </row>
    <row r="5" spans="2:9">
      <c r="B5" s="24" t="s">
        <v>17</v>
      </c>
      <c r="C5" s="36"/>
      <c r="D5" s="25"/>
      <c r="E5" s="36"/>
      <c r="F5" s="25"/>
      <c r="G5" s="36"/>
      <c r="H5" s="34"/>
    </row>
    <row r="6" spans="2:9">
      <c r="B6" s="5" t="s">
        <v>18</v>
      </c>
      <c r="C6" s="12">
        <v>90.027000000000001</v>
      </c>
      <c r="D6" s="28">
        <f>1249/1000</f>
        <v>1.2490000000000001</v>
      </c>
      <c r="E6" s="12">
        <v>148.1</v>
      </c>
      <c r="F6" s="28">
        <f>C6*D6*E6</f>
        <v>16652.915376299999</v>
      </c>
      <c r="G6" s="37">
        <f>F6*24*365</f>
        <v>145879538.69638801</v>
      </c>
      <c r="H6" s="37">
        <f>G6*C11/C10</f>
        <v>167453273.29233274</v>
      </c>
    </row>
    <row r="7" spans="2:9">
      <c r="B7" s="7" t="s">
        <v>19</v>
      </c>
      <c r="C7" s="14">
        <v>22.259</v>
      </c>
      <c r="D7" s="30">
        <f>1432/1000</f>
        <v>1.4319999999999999</v>
      </c>
      <c r="E7" s="14">
        <v>98.06</v>
      </c>
      <c r="F7" s="30">
        <f>C7*D7*E7</f>
        <v>3125.65151728</v>
      </c>
      <c r="G7" s="35">
        <f>F7*24*365</f>
        <v>27380707.291372802</v>
      </c>
      <c r="H7" s="35">
        <f>G7*C11/C10</f>
        <v>31429966.820378643</v>
      </c>
    </row>
    <row r="9" spans="2:9" ht="22" customHeight="1">
      <c r="G9" s="39" t="s">
        <v>42</v>
      </c>
      <c r="H9" s="40">
        <f>SUM(H4,H6,H7)</f>
        <v>79153434.703359246</v>
      </c>
    </row>
    <row r="10" spans="2:9">
      <c r="B10" s="3" t="s">
        <v>41</v>
      </c>
      <c r="C10" s="4">
        <v>525.4</v>
      </c>
    </row>
    <row r="11" spans="2:9">
      <c r="B11" s="7" t="s">
        <v>30</v>
      </c>
      <c r="C11" s="8">
        <v>603.1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84EC-5AA2-8C47-B93B-67B3A4A867DA}">
  <dimension ref="B2:I18"/>
  <sheetViews>
    <sheetView workbookViewId="0">
      <selection activeCell="M24" sqref="M24"/>
    </sheetView>
  </sheetViews>
  <sheetFormatPr baseColWidth="10" defaultRowHeight="16"/>
  <cols>
    <col min="1" max="1" width="2.83203125" customWidth="1"/>
    <col min="2" max="2" width="21.83203125" customWidth="1"/>
    <col min="3" max="3" width="10.6640625" customWidth="1"/>
    <col min="4" max="4" width="16.5" customWidth="1"/>
    <col min="5" max="5" width="11.6640625" customWidth="1"/>
    <col min="7" max="7" width="10.6640625" customWidth="1"/>
    <col min="9" max="9" width="13" customWidth="1"/>
  </cols>
  <sheetData>
    <row r="2" spans="2:9">
      <c r="B2" s="3" t="s">
        <v>46</v>
      </c>
      <c r="C2" s="11">
        <f>(E8+E10+E12)/SUM(E8:E14)</f>
        <v>8.7316761780935239E-4</v>
      </c>
    </row>
    <row r="3" spans="2:9" ht="32" customHeight="1">
      <c r="B3" s="43" t="s">
        <v>51</v>
      </c>
      <c r="C3" s="58">
        <f>I15</f>
        <v>94757.248890454604</v>
      </c>
    </row>
    <row r="4" spans="2:9">
      <c r="B4" s="5" t="s">
        <v>52</v>
      </c>
      <c r="C4" s="12">
        <f>(0.001)*$C$3*(0.5+(1000*$C$2))</f>
        <v>130.11758572907345</v>
      </c>
      <c r="E4" s="51" t="s">
        <v>60</v>
      </c>
      <c r="F4" s="47">
        <v>110</v>
      </c>
      <c r="G4" s="48" t="s">
        <v>61</v>
      </c>
      <c r="H4">
        <f>F4+273.15</f>
        <v>383.15</v>
      </c>
      <c r="I4" t="s">
        <v>67</v>
      </c>
    </row>
    <row r="5" spans="2:9">
      <c r="B5" s="44" t="s">
        <v>53</v>
      </c>
      <c r="C5" s="59">
        <f>C4*24*365</f>
        <v>1139830.0509866835</v>
      </c>
      <c r="E5" s="52" t="s">
        <v>62</v>
      </c>
      <c r="F5" s="49">
        <v>1.3</v>
      </c>
      <c r="G5" s="50" t="s">
        <v>63</v>
      </c>
    </row>
    <row r="7" spans="2:9" ht="34" customHeight="1">
      <c r="B7" s="18" t="s">
        <v>32</v>
      </c>
      <c r="D7" s="45" t="s">
        <v>54</v>
      </c>
      <c r="E7" s="31" t="s">
        <v>47</v>
      </c>
      <c r="F7" s="31" t="s">
        <v>39</v>
      </c>
      <c r="G7" s="31" t="s">
        <v>48</v>
      </c>
      <c r="H7" s="46" t="s">
        <v>49</v>
      </c>
      <c r="I7" s="32" t="s">
        <v>50</v>
      </c>
    </row>
    <row r="8" spans="2:9">
      <c r="B8" s="19" t="s">
        <v>64</v>
      </c>
      <c r="D8" s="12" t="s">
        <v>55</v>
      </c>
      <c r="E8" s="22">
        <v>1.8859999999999999</v>
      </c>
      <c r="F8" s="22">
        <v>106.16</v>
      </c>
      <c r="G8" s="22">
        <f>E8*F8</f>
        <v>200.21775999999997</v>
      </c>
      <c r="H8" s="54">
        <f>($F$5*F8)/($E$18*$H$4)</f>
        <v>4.3893874707236087</v>
      </c>
      <c r="I8" s="55">
        <f>G8/H8</f>
        <v>45.614054656923066</v>
      </c>
    </row>
    <row r="9" spans="2:9">
      <c r="B9" s="36" t="s">
        <v>68</v>
      </c>
      <c r="D9" s="12" t="s">
        <v>56</v>
      </c>
      <c r="E9" s="22">
        <v>5.0000000000000001E-3</v>
      </c>
      <c r="F9" s="22">
        <v>32</v>
      </c>
      <c r="G9" s="22">
        <f t="shared" ref="G9:G14" si="0">E9*F9</f>
        <v>0.16</v>
      </c>
      <c r="H9" s="54">
        <f t="shared" ref="H9:H14" si="1">($F$5*F9)/($E$18*$H$4)</f>
        <v>1.323100970828518</v>
      </c>
      <c r="I9" s="55">
        <f t="shared" ref="I9:I13" si="2">G9/H9</f>
        <v>0.12092803461538461</v>
      </c>
    </row>
    <row r="10" spans="2:9">
      <c r="B10" s="60" t="s">
        <v>69</v>
      </c>
      <c r="D10" s="12" t="s">
        <v>18</v>
      </c>
      <c r="E10" s="22">
        <v>0.91700000000000004</v>
      </c>
      <c r="F10" s="2">
        <v>148.1</v>
      </c>
      <c r="G10" s="22">
        <f t="shared" si="0"/>
        <v>135.80770000000001</v>
      </c>
      <c r="H10" s="54">
        <f t="shared" si="1"/>
        <v>6.1234766806157346</v>
      </c>
      <c r="I10" s="55">
        <f t="shared" si="2"/>
        <v>22.178201548461541</v>
      </c>
    </row>
    <row r="11" spans="2:9">
      <c r="D11" s="12" t="s">
        <v>57</v>
      </c>
      <c r="E11" s="22">
        <v>536.404</v>
      </c>
      <c r="F11" s="2">
        <v>18.02</v>
      </c>
      <c r="G11" s="22">
        <f t="shared" si="0"/>
        <v>9666.0000799999998</v>
      </c>
      <c r="H11" s="54">
        <f t="shared" si="1"/>
        <v>0.7450712341978093</v>
      </c>
      <c r="I11" s="55">
        <f t="shared" si="2"/>
        <v>12973.25629596615</v>
      </c>
    </row>
    <row r="12" spans="2:9">
      <c r="D12" s="12" t="s">
        <v>19</v>
      </c>
      <c r="E12" s="22">
        <v>0.61799999999999999</v>
      </c>
      <c r="F12" s="2">
        <v>98.06</v>
      </c>
      <c r="G12" s="22">
        <f t="shared" si="0"/>
        <v>60.601080000000003</v>
      </c>
      <c r="H12" s="54">
        <f t="shared" si="1"/>
        <v>4.0544775374826401</v>
      </c>
      <c r="I12" s="55">
        <f t="shared" si="2"/>
        <v>14.946705078461537</v>
      </c>
    </row>
    <row r="13" spans="2:9">
      <c r="D13" s="12" t="s">
        <v>59</v>
      </c>
      <c r="E13" s="22">
        <v>398.48899999999998</v>
      </c>
      <c r="F13" s="2">
        <v>44.01</v>
      </c>
      <c r="G13" s="22">
        <f t="shared" si="0"/>
        <v>17537.500889999999</v>
      </c>
      <c r="H13" s="54">
        <f t="shared" si="1"/>
        <v>1.8196773039425962</v>
      </c>
      <c r="I13" s="55">
        <f t="shared" si="2"/>
        <v>9637.6983171699994</v>
      </c>
    </row>
    <row r="14" spans="2:9">
      <c r="D14" s="14" t="s">
        <v>58</v>
      </c>
      <c r="E14" s="1">
        <v>2979.6</v>
      </c>
      <c r="F14" s="1">
        <v>28.013999999999999</v>
      </c>
      <c r="G14" s="1">
        <f t="shared" si="0"/>
        <v>83470.5144</v>
      </c>
      <c r="H14" s="23">
        <f t="shared" si="1"/>
        <v>1.1582922061496908</v>
      </c>
      <c r="I14" s="56">
        <f>G14/H14</f>
        <v>72063.434387999994</v>
      </c>
    </row>
    <row r="15" spans="2:9">
      <c r="I15" s="57">
        <f>SUM(I8:I14)</f>
        <v>94757.248890454604</v>
      </c>
    </row>
    <row r="17" spans="4:6">
      <c r="D17" t="s">
        <v>65</v>
      </c>
    </row>
    <row r="18" spans="4:6">
      <c r="D18" t="s">
        <v>66</v>
      </c>
      <c r="E18" s="53">
        <f>0.00008206*1000</f>
        <v>8.2059999999999994E-2</v>
      </c>
      <c r="F1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9CC2-944C-AB4F-84E2-5B8861560752}">
  <dimension ref="A1:E21"/>
  <sheetViews>
    <sheetView tabSelected="1" workbookViewId="0">
      <selection activeCell="E9" sqref="E9"/>
    </sheetView>
  </sheetViews>
  <sheetFormatPr baseColWidth="10" defaultRowHeight="16"/>
  <cols>
    <col min="2" max="2" width="16.33203125" customWidth="1"/>
    <col min="3" max="3" width="16" customWidth="1"/>
  </cols>
  <sheetData>
    <row r="1" spans="1:5">
      <c r="A1" t="s">
        <v>71</v>
      </c>
      <c r="B1" t="s">
        <v>72</v>
      </c>
      <c r="C1" t="s">
        <v>73</v>
      </c>
    </row>
    <row r="2" spans="1:5">
      <c r="A2" t="s">
        <v>74</v>
      </c>
    </row>
    <row r="3" spans="1:5">
      <c r="A3" t="s">
        <v>75</v>
      </c>
      <c r="B3" s="63">
        <v>9970000</v>
      </c>
      <c r="C3" s="63">
        <v>14200000</v>
      </c>
    </row>
    <row r="4" spans="1:5">
      <c r="A4" t="s">
        <v>76</v>
      </c>
      <c r="B4" s="63">
        <v>1690000</v>
      </c>
      <c r="C4" s="63">
        <v>2410000</v>
      </c>
    </row>
    <row r="5" spans="1:5">
      <c r="A5" t="s">
        <v>77</v>
      </c>
      <c r="B5" s="63">
        <v>181286</v>
      </c>
      <c r="C5" s="63">
        <v>257000</v>
      </c>
    </row>
    <row r="6" spans="1:5">
      <c r="A6" t="s">
        <v>78</v>
      </c>
      <c r="B6" s="63">
        <v>162000</v>
      </c>
      <c r="C6" s="63">
        <f>(SUM(C3:C5)+SUM(C7:C17))*0.15</f>
        <v>5226150</v>
      </c>
    </row>
    <row r="7" spans="1:5">
      <c r="A7" t="s">
        <v>79</v>
      </c>
      <c r="B7" s="63">
        <v>183000</v>
      </c>
      <c r="C7" s="63">
        <v>260000</v>
      </c>
    </row>
    <row r="8" spans="1:5">
      <c r="A8" t="s">
        <v>80</v>
      </c>
      <c r="B8" s="63">
        <v>208245</v>
      </c>
      <c r="C8" s="63">
        <v>296000</v>
      </c>
    </row>
    <row r="9" spans="1:5">
      <c r="A9" t="s">
        <v>81</v>
      </c>
      <c r="B9" s="63">
        <v>117000</v>
      </c>
      <c r="C9" s="63">
        <v>167000</v>
      </c>
    </row>
    <row r="10" spans="1:5">
      <c r="A10" t="s">
        <v>82</v>
      </c>
      <c r="B10" s="63">
        <v>73000</v>
      </c>
      <c r="C10" s="63">
        <v>104000</v>
      </c>
    </row>
    <row r="11" spans="1:5">
      <c r="A11" t="s">
        <v>83</v>
      </c>
      <c r="B11" s="63">
        <v>2600000</v>
      </c>
      <c r="C11" s="63">
        <v>3440000</v>
      </c>
    </row>
    <row r="12" spans="1:5">
      <c r="A12" t="s">
        <v>84</v>
      </c>
      <c r="B12" s="63">
        <v>1740000</v>
      </c>
      <c r="C12" s="63">
        <v>2300000</v>
      </c>
    </row>
    <row r="13" spans="1:5">
      <c r="A13" t="s">
        <v>85</v>
      </c>
      <c r="B13" s="63">
        <v>1580000</v>
      </c>
      <c r="C13" s="63">
        <v>2080000</v>
      </c>
    </row>
    <row r="14" spans="1:5">
      <c r="A14" t="s">
        <v>86</v>
      </c>
      <c r="B14" s="63">
        <v>110000</v>
      </c>
      <c r="C14" s="63">
        <v>156000</v>
      </c>
    </row>
    <row r="15" spans="1:5">
      <c r="A15" t="s">
        <v>87</v>
      </c>
      <c r="B15" s="63">
        <v>79100</v>
      </c>
      <c r="C15" s="63">
        <v>113000</v>
      </c>
    </row>
    <row r="16" spans="1:5">
      <c r="A16" t="s">
        <v>88</v>
      </c>
      <c r="B16" s="63">
        <v>1510000</v>
      </c>
      <c r="C16" s="63">
        <f>1680000*5</f>
        <v>8400000</v>
      </c>
      <c r="D16" s="63">
        <v>1680000</v>
      </c>
      <c r="E16" t="s">
        <v>91</v>
      </c>
    </row>
    <row r="17" spans="1:3">
      <c r="A17" t="s">
        <v>89</v>
      </c>
      <c r="B17" s="63">
        <v>491000</v>
      </c>
      <c r="C17" s="63">
        <v>658000</v>
      </c>
    </row>
    <row r="20" spans="1:3">
      <c r="A20" t="s">
        <v>90</v>
      </c>
      <c r="B20" s="63">
        <v>20700000</v>
      </c>
      <c r="C20" s="63">
        <f>SUM(C3:C17)</f>
        <v>40067150</v>
      </c>
    </row>
    <row r="21" spans="1:3">
      <c r="C21" s="63">
        <f>$C$20</f>
        <v>40067150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C_OL</vt:lpstr>
      <vt:lpstr>C_RM</vt:lpstr>
      <vt:lpstr>C_WT</vt:lpstr>
      <vt:lpstr>Grassroots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2020-03-06T20:41:44Z</dcterms:created>
  <dcterms:modified xsi:type="dcterms:W3CDTF">2020-03-11T22:25:08Z</dcterms:modified>
</cp:coreProperties>
</file>