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PR_components/"/>
    </mc:Choice>
  </mc:AlternateContent>
  <xr:revisionPtr revIDLastSave="0" documentId="13_ncr:1_{F5438C68-7C4B-B748-AFD5-1FA0810CD96E}" xr6:coauthVersionLast="45" xr6:coauthVersionMax="45" xr10:uidLastSave="{00000000-0000-0000-0000-000000000000}"/>
  <bookViews>
    <workbookView xWindow="0" yWindow="460" windowWidth="28800" windowHeight="17540" activeTab="1" xr2:uid="{D3024984-B56B-EB48-83B5-18E37269D281}"/>
  </bookViews>
  <sheets>
    <sheet name="Mass Balan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" l="1"/>
  <c r="J14" i="2"/>
  <c r="H43" i="1"/>
  <c r="I45" i="1" l="1"/>
  <c r="I46" i="1"/>
  <c r="I47" i="1"/>
  <c r="I44" i="1"/>
  <c r="F27" i="1"/>
  <c r="E26" i="1"/>
  <c r="C20" i="1"/>
  <c r="C10" i="1" l="1"/>
  <c r="O26" i="1" l="1"/>
  <c r="O27" i="1"/>
  <c r="O28" i="1"/>
  <c r="O29" i="1"/>
  <c r="O32" i="1"/>
  <c r="C12" i="1" l="1"/>
  <c r="C29" i="1"/>
  <c r="B29" i="1"/>
  <c r="D29" i="1"/>
  <c r="B26" i="1"/>
  <c r="D26" i="1" s="1"/>
  <c r="F26" i="1" s="1"/>
  <c r="G26" i="1" s="1"/>
  <c r="H26" i="1" s="1"/>
  <c r="B28" i="1"/>
  <c r="D28" i="1"/>
  <c r="E28" i="1" s="1"/>
  <c r="B27" i="1"/>
  <c r="D27" i="1" s="1"/>
  <c r="E27" i="1" s="1"/>
  <c r="B30" i="1"/>
  <c r="D30" i="1" s="1"/>
  <c r="E30" i="1" s="1"/>
  <c r="D31" i="1"/>
  <c r="E31" i="1" s="1"/>
  <c r="D32" i="1"/>
  <c r="E32" i="1"/>
  <c r="E29" i="1" l="1"/>
  <c r="C36" i="1"/>
  <c r="D36" i="1" s="1"/>
  <c r="F36" i="1" s="1"/>
  <c r="C18" i="1"/>
  <c r="C19" i="1"/>
  <c r="F28" i="1" l="1"/>
  <c r="G28" i="1" s="1"/>
  <c r="H28" i="1" s="1"/>
  <c r="F30" i="1"/>
  <c r="G30" i="1" s="1"/>
  <c r="F31" i="1"/>
  <c r="G31" i="1" s="1"/>
  <c r="F32" i="1"/>
  <c r="G32" i="1" s="1"/>
  <c r="H32" i="1" s="1"/>
  <c r="G27" i="1"/>
  <c r="H27" i="1" s="1"/>
  <c r="F29" i="1"/>
  <c r="G29" i="1" s="1"/>
  <c r="H31" i="1" l="1"/>
  <c r="I31" i="1" s="1"/>
  <c r="K31" i="1" s="1"/>
  <c r="L31" i="1" s="1"/>
  <c r="H29" i="1"/>
  <c r="I29" i="1" s="1"/>
  <c r="J29" i="1" s="1"/>
  <c r="H30" i="1"/>
  <c r="I30" i="1" s="1"/>
  <c r="K30" i="1" s="1"/>
  <c r="L30" i="1" s="1"/>
  <c r="M31" i="1" l="1"/>
  <c r="M30" i="1" s="1"/>
  <c r="N30" i="1" s="1"/>
  <c r="N31" i="1" l="1"/>
  <c r="O31" i="1" s="1"/>
  <c r="O30" i="1"/>
  <c r="D37" i="1"/>
  <c r="F37" i="1" s="1"/>
  <c r="D38" i="1" l="1"/>
  <c r="F38" i="1" s="1"/>
  <c r="H36" i="1" s="1"/>
</calcChain>
</file>

<file path=xl/sharedStrings.xml><?xml version="1.0" encoding="utf-8"?>
<sst xmlns="http://schemas.openxmlformats.org/spreadsheetml/2006/main" count="108" uniqueCount="84">
  <si>
    <t>Assumptions</t>
  </si>
  <si>
    <t>Variables</t>
  </si>
  <si>
    <t>Variable</t>
  </si>
  <si>
    <t>Type</t>
  </si>
  <si>
    <t>Value</t>
  </si>
  <si>
    <t>Unit</t>
  </si>
  <si>
    <t>Note</t>
  </si>
  <si>
    <t>Dependent</t>
  </si>
  <si>
    <t>Manipulated</t>
  </si>
  <si>
    <t>O-xylene Feed</t>
  </si>
  <si>
    <t>Eta 1</t>
  </si>
  <si>
    <t>Eta 2</t>
  </si>
  <si>
    <t>moles</t>
  </si>
  <si>
    <t>Stream Table</t>
  </si>
  <si>
    <t>Components</t>
  </si>
  <si>
    <t>N2</t>
  </si>
  <si>
    <t>O2</t>
  </si>
  <si>
    <t>CO2</t>
  </si>
  <si>
    <t>o-xylene</t>
  </si>
  <si>
    <t>maleic anhydride</t>
  </si>
  <si>
    <t>phthalic anhydride</t>
  </si>
  <si>
    <t>H2O</t>
  </si>
  <si>
    <t>mol/yr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</si>
  <si>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</si>
  <si>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</si>
  <si>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</si>
  <si>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</si>
  <si>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</si>
  <si>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</si>
  <si>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</si>
  <si>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</si>
  <si>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</si>
  <si>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Eta 3</t>
  </si>
  <si>
    <t>Eta 4</t>
  </si>
  <si>
    <t>Eta 5</t>
  </si>
  <si>
    <t>OX -&gt; PA</t>
  </si>
  <si>
    <t>OX -&gt; MA</t>
  </si>
  <si>
    <t>OX -&gt; CO2</t>
  </si>
  <si>
    <t>PA -&gt; CO2</t>
  </si>
  <si>
    <t>MA -&gt; CO2</t>
  </si>
  <si>
    <t>All light gasses do not desublimate or dissolve in liquid organics</t>
  </si>
  <si>
    <t>Complete separation of o-xylene reactant from liquid product stream in 1st sep unit</t>
  </si>
  <si>
    <t>Properties</t>
  </si>
  <si>
    <t>Air</t>
  </si>
  <si>
    <t>MW</t>
  </si>
  <si>
    <t>g/mol</t>
  </si>
  <si>
    <t>OX</t>
  </si>
  <si>
    <t>Species</t>
  </si>
  <si>
    <t>Property</t>
  </si>
  <si>
    <t>Units</t>
  </si>
  <si>
    <t>PA</t>
  </si>
  <si>
    <t>MA</t>
  </si>
  <si>
    <t>10 - mol</t>
  </si>
  <si>
    <t>10 - g</t>
  </si>
  <si>
    <t>11 - g</t>
  </si>
  <si>
    <t>12 - g</t>
  </si>
  <si>
    <t xml:space="preserve">Mass Feed Ratio </t>
  </si>
  <si>
    <t>mol air/mol OX</t>
  </si>
  <si>
    <t>Conversion 1</t>
  </si>
  <si>
    <t>Conversion 2</t>
  </si>
  <si>
    <t>Conversion 3</t>
  </si>
  <si>
    <t>Conversion 4</t>
  </si>
  <si>
    <t>Conversion 5</t>
  </si>
  <si>
    <t>kg/yr</t>
  </si>
  <si>
    <t>Conversions and Etas all user set</t>
  </si>
  <si>
    <t>No recycle</t>
  </si>
  <si>
    <t>12 - kg</t>
  </si>
  <si>
    <t>Preliminary Cost Analysis</t>
  </si>
  <si>
    <t>MW (g/mol)</t>
  </si>
  <si>
    <t>Molar Flow (mol</t>
  </si>
  <si>
    <t>Flowrate (ton/year)</t>
  </si>
  <si>
    <t>Price ($/ton)</t>
  </si>
  <si>
    <t>Cost (mil $)</t>
  </si>
  <si>
    <t>Intratec, May 2007</t>
  </si>
  <si>
    <t>Annual In-Out Estimate</t>
  </si>
  <si>
    <t>million $</t>
  </si>
  <si>
    <t>n2</t>
  </si>
  <si>
    <t>Co2</t>
  </si>
  <si>
    <t>Ox</t>
  </si>
  <si>
    <t>PA Purity</t>
  </si>
  <si>
    <t>MA Purity</t>
  </si>
  <si>
    <t>OXY</t>
  </si>
  <si>
    <t>PA Prod</t>
  </si>
  <si>
    <t>MA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</si>
</sst>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0" fontId="2" fillId="0" borderId="1" xfId="0" applyFont="1" applyBorder="1"/>
    <xf numFmtId="164" fontId="0" fillId="0" borderId="0" xfId="0" applyNumberFormat="1"/>
    <xf numFmtId="164" fontId="0" fillId="2" borderId="0" xfId="0" applyNumberFormat="1" applyFont="1" applyFill="1"/>
  </cellXfs>
  <cellStyles count="2">
    <cellStyle name="Currency" xfId="1" builtinId="4"/>
    <cellStyle name="Normal" xfId="0" builtinId="0"/>
  </cellStyles>
  <dxfs count="9">
    <dxf>
      <numFmt numFmtId="1" formatCode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02C9-A0AF-574C-A1A6-EA5F187381FF}" name="Table1" displayName="Table1" ref="A9:E22" totalsRowShown="0" headerRowDxfId="8">
  <autoFilter ref="A9:E22" xr:uid="{A7DD0F94-9125-8B43-B142-A6E307B43FE7}"/>
  <tableColumns count="5">
    <tableColumn id="1" xr3:uid="{C95DAD9F-9D62-DA42-96A5-FDAFC7DDADBF}" name="Type"/>
    <tableColumn id="2" xr3:uid="{ECA4F4E9-C085-7640-82B6-F30AD1B06BC4}" name="Variable"/>
    <tableColumn id="3" xr3:uid="{2C322D1E-4A07-4245-B5A1-9A9CA88515E7}" name="Value"/>
    <tableColumn id="4" xr3:uid="{AEEFD753-51BF-4743-99E3-697BD3C83304}" name="Unit"/>
    <tableColumn id="5" xr3:uid="{479CEE10-E1D4-2547-AEB0-5E493DD40F0C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7B7B7-52D7-2146-BF3C-37BCFCE55006}" name="Table2" displayName="Table2" ref="A25:O32" totalsRowShown="0" headerRowDxfId="7">
  <autoFilter ref="A25:O32" xr:uid="{0F758C04-AAF9-CA4C-93B8-83054D68DD35}"/>
  <tableColumns count="15">
    <tableColumn id="1" xr3:uid="{78705F38-D8A6-6C4A-B060-7D18603E2F3F}" name="Components" dataDxfId="6"/>
    <tableColumn id="2" xr3:uid="{B92D258C-C62E-ED49-A04B-4B05DB6A0544}" name="1"/>
    <tableColumn id="3" xr3:uid="{EF715E3C-D341-D44C-BEF7-20F1EB1F51C7}" name="2"/>
    <tableColumn id="4" xr3:uid="{2984E2FB-CBB0-2F49-9466-E71E03D1615C}" name="3">
      <calculatedColumnFormula>Table2[[#This Row],[1]]+Table2[[#This Row],[2]]</calculatedColumnFormula>
    </tableColumn>
    <tableColumn id="5" xr3:uid="{1E25BCD2-CE3A-0343-8385-28641005223E}" name="4">
      <calculatedColumnFormula>Table2[[#This Row],[3]]</calculatedColumnFormula>
    </tableColumn>
    <tableColumn id="6" xr3:uid="{D2F43D1F-CE4C-214D-B7AF-D0A88A4CA3E0}" name="5"/>
    <tableColumn id="7" xr3:uid="{F2BB54B3-0476-3241-A92A-059CC7974919}" name="6">
      <calculatedColumnFormula>Table2[[#This Row],[5]]</calculatedColumnFormula>
    </tableColumn>
    <tableColumn id="8" xr3:uid="{1EB13E05-2EA2-6E49-B228-793789B33BAD}" name="7"/>
    <tableColumn id="9" xr3:uid="{95802FC9-BE1C-DE42-8C45-6188BB92F493}" name="8"/>
    <tableColumn id="10" xr3:uid="{285740C2-254C-7B42-9E64-4A3F1F4F1033}" name="9"/>
    <tableColumn id="11" xr3:uid="{92C29CE5-8318-5D48-BE8F-589A8E8DC466}" name="10 - mol"/>
    <tableColumn id="14" xr3:uid="{F5FD682B-397F-4A45-9B3B-CE2CCF13203A}" name="10 - g"/>
    <tableColumn id="12" xr3:uid="{F6746A49-92E8-6348-98CE-B63E3F4D369D}" name="11 - g"/>
    <tableColumn id="13" xr3:uid="{795745FF-80D3-3C4E-BEA3-8C1D4AEBBBF5}" name="12 - g"/>
    <tableColumn id="15" xr3:uid="{4BA2BA1F-EAD3-468B-92E5-42EE7BFEADD0}" name="12 - kg" dataDxfId="5">
      <calculatedColumnFormula>Table2[[#This Row],[12 - g]]/1000000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CE5DA-D8E2-844A-A7B3-3FDA691942DD}" name="Table3" displayName="Table3" ref="G9:J13" totalsRowShown="0" headerRowDxfId="4">
  <autoFilter ref="G9:J13" xr:uid="{69EA015C-F368-AC4C-BF5B-49D7A5D8C214}"/>
  <tableColumns count="4">
    <tableColumn id="1" xr3:uid="{27866C21-9878-1840-86B0-F473DB7F465B}" name="Species"/>
    <tableColumn id="2" xr3:uid="{6AE8B7EC-6122-294B-9E8E-116A991F4443}" name="Property"/>
    <tableColumn id="3" xr3:uid="{112ACDC3-4916-D149-A524-3C87984CC1B9}" name="Value"/>
    <tableColumn id="4" xr3:uid="{5554A68B-003A-2F45-A098-6F62897DB683}" name="Uni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99246E-8815-4DF0-BC90-6C76702B4DF4}" name="Table14" displayName="Table14" ref="A35:F38" totalsRowShown="0" headerRowDxfId="3">
  <autoFilter ref="A35:F38" xr:uid="{F4FFC18F-BA09-444F-8336-1FCBE5EECCE9}"/>
  <tableColumns count="6">
    <tableColumn id="1" xr3:uid="{0677A384-1FCC-4BBA-B820-5958FB10E855}" name="Components"/>
    <tableColumn id="2" xr3:uid="{0C9DFF9B-7E20-471C-A636-9342216E87F6}" name="MW (g/mol)"/>
    <tableColumn id="3" xr3:uid="{A9A021C3-1CAB-45F1-9632-AF34BDE6E422}" name="Molar Flow (mol" dataDxfId="2">
      <calculatedColumnFormula>Table14[[#This Row],[Flowrate (ton/year)]]/Table14[[#This Row],[MW (g/mol)]]*1000000</calculatedColumnFormula>
    </tableColumn>
    <tableColumn id="4" xr3:uid="{2445DA69-7187-4359-BFC0-8E07D6278C5D}" name="Flowrate (ton/year)" dataDxfId="1">
      <calculatedColumnFormula>N29/1000000</calculatedColumnFormula>
    </tableColumn>
    <tableColumn id="5" xr3:uid="{9581D998-A209-43B8-9844-3F6EE50A0E0E}" name="Price ($/ton)"/>
    <tableColumn id="6" xr3:uid="{AC6B61D1-FE74-4601-A6AF-452236A43C28}" name="Cost (mil $)" dataDxfId="0">
      <calculatedColumnFormula>Table14[[#This Row],[Price ($/ton)]]*Table14[[#This Row],[Flowrate (ton/year)]]/1000000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5C35-D5EC-AA4A-B23B-2850BA63C6DA}">
  <dimension ref="A1:O47"/>
  <sheetViews>
    <sheetView workbookViewId="0">
      <selection activeCell="I29" sqref="I29:I31"/>
    </sheetView>
  </sheetViews>
  <sheetFormatPr baseColWidth="10" defaultColWidth="10.6640625" defaultRowHeight="16"/>
  <cols>
    <col min="1" max="1" width="19.6640625" customWidth="1"/>
    <col min="2" max="2" width="18" customWidth="1"/>
    <col min="3" max="3" width="14.1640625" customWidth="1"/>
    <col min="4" max="4" width="13.83203125" customWidth="1"/>
    <col min="5" max="5" width="21.1640625" customWidth="1"/>
    <col min="6" max="6" width="14" customWidth="1"/>
    <col min="7" max="7" width="13.5" customWidth="1"/>
    <col min="8" max="8" width="20.1640625" customWidth="1"/>
    <col min="13" max="13" width="12.1640625" bestFit="1" customWidth="1"/>
  </cols>
  <sheetData>
    <row r="1" spans="1:10">
      <c r="A1" s="3" t="s">
        <v>0</v>
      </c>
    </row>
    <row r="2" spans="1:10">
      <c r="A2" t="s">
        <v>40</v>
      </c>
    </row>
    <row r="3" spans="1:10">
      <c r="A3" t="s">
        <v>41</v>
      </c>
    </row>
    <row r="4" spans="1:10">
      <c r="A4" t="s">
        <v>64</v>
      </c>
    </row>
    <row r="5" spans="1:10">
      <c r="A5" t="s">
        <v>65</v>
      </c>
    </row>
    <row r="8" spans="1:10">
      <c r="A8" s="3" t="s">
        <v>1</v>
      </c>
      <c r="G8" s="3" t="s">
        <v>42</v>
      </c>
    </row>
    <row r="9" spans="1:10">
      <c r="A9" s="1" t="s">
        <v>3</v>
      </c>
      <c r="B9" s="1" t="s">
        <v>2</v>
      </c>
      <c r="C9" s="1" t="s">
        <v>4</v>
      </c>
      <c r="D9" s="1" t="s">
        <v>5</v>
      </c>
      <c r="E9" s="1" t="s">
        <v>6</v>
      </c>
      <c r="G9" s="1" t="s">
        <v>47</v>
      </c>
      <c r="H9" s="1" t="s">
        <v>48</v>
      </c>
      <c r="I9" s="1" t="s">
        <v>4</v>
      </c>
      <c r="J9" s="1" t="s">
        <v>49</v>
      </c>
    </row>
    <row r="10" spans="1:10">
      <c r="A10" s="2" t="s">
        <v>8</v>
      </c>
      <c r="B10" t="s">
        <v>56</v>
      </c>
      <c r="C10">
        <f>15</f>
        <v>15</v>
      </c>
      <c r="D10" t="s">
        <v>57</v>
      </c>
      <c r="G10" t="s">
        <v>43</v>
      </c>
      <c r="H10" t="s">
        <v>44</v>
      </c>
      <c r="I10">
        <v>29</v>
      </c>
      <c r="J10" t="s">
        <v>45</v>
      </c>
    </row>
    <row r="11" spans="1:10">
      <c r="B11" t="s">
        <v>9</v>
      </c>
      <c r="C11">
        <v>1156959450.7237637</v>
      </c>
      <c r="D11" t="s">
        <v>22</v>
      </c>
      <c r="G11" t="s">
        <v>46</v>
      </c>
      <c r="H11" t="s">
        <v>44</v>
      </c>
      <c r="I11">
        <v>106.2</v>
      </c>
      <c r="J11" t="s">
        <v>45</v>
      </c>
    </row>
    <row r="12" spans="1:10">
      <c r="C12">
        <f>C11*I11/1000</f>
        <v>122869093.66686371</v>
      </c>
      <c r="D12" t="s">
        <v>63</v>
      </c>
      <c r="G12" t="s">
        <v>50</v>
      </c>
      <c r="H12" t="s">
        <v>44</v>
      </c>
      <c r="I12">
        <v>148.1</v>
      </c>
      <c r="J12" t="s">
        <v>45</v>
      </c>
    </row>
    <row r="13" spans="1:10">
      <c r="B13" t="s">
        <v>58</v>
      </c>
      <c r="C13">
        <v>0.6</v>
      </c>
      <c r="E13" t="s">
        <v>35</v>
      </c>
      <c r="G13" t="s">
        <v>51</v>
      </c>
      <c r="H13" t="s">
        <v>44</v>
      </c>
      <c r="I13">
        <v>98.6</v>
      </c>
      <c r="J13" t="s">
        <v>45</v>
      </c>
    </row>
    <row r="14" spans="1:10">
      <c r="B14" t="s">
        <v>59</v>
      </c>
      <c r="C14">
        <v>0.3</v>
      </c>
      <c r="E14" t="s">
        <v>36</v>
      </c>
    </row>
    <row r="15" spans="1:10">
      <c r="B15" t="s">
        <v>60</v>
      </c>
      <c r="C15">
        <v>1E-3</v>
      </c>
      <c r="E15" t="s">
        <v>37</v>
      </c>
    </row>
    <row r="16" spans="1:10">
      <c r="B16" t="s">
        <v>61</v>
      </c>
      <c r="C16">
        <v>1E-3</v>
      </c>
      <c r="E16" t="s">
        <v>38</v>
      </c>
    </row>
    <row r="17" spans="1:15">
      <c r="B17" t="s">
        <v>62</v>
      </c>
      <c r="C17">
        <v>1E-3</v>
      </c>
      <c r="E17" t="s">
        <v>39</v>
      </c>
    </row>
    <row r="18" spans="1:15">
      <c r="A18" s="2" t="s">
        <v>7</v>
      </c>
      <c r="B18" t="s">
        <v>10</v>
      </c>
      <c r="C18">
        <f>C13*E29</f>
        <v>694175670.43425822</v>
      </c>
      <c r="D18" t="s">
        <v>12</v>
      </c>
      <c r="E18" t="s">
        <v>35</v>
      </c>
    </row>
    <row r="19" spans="1:15">
      <c r="B19" t="s">
        <v>11</v>
      </c>
      <c r="C19">
        <f>C14*E29</f>
        <v>347087835.21712911</v>
      </c>
      <c r="D19" t="s">
        <v>12</v>
      </c>
      <c r="E19" t="s">
        <v>36</v>
      </c>
      <c r="H19" s="4"/>
    </row>
    <row r="20" spans="1:15" s="1" customFormat="1">
      <c r="B20" t="s">
        <v>32</v>
      </c>
      <c r="C20">
        <f>C15*E29</f>
        <v>1156959.4507237638</v>
      </c>
      <c r="D20" t="s">
        <v>12</v>
      </c>
      <c r="E20" t="s">
        <v>37</v>
      </c>
    </row>
    <row r="21" spans="1:15">
      <c r="B21" t="s">
        <v>33</v>
      </c>
      <c r="C21">
        <v>5</v>
      </c>
      <c r="D21" t="s">
        <v>12</v>
      </c>
      <c r="E21" t="s">
        <v>38</v>
      </c>
    </row>
    <row r="22" spans="1:15">
      <c r="B22" t="s">
        <v>34</v>
      </c>
      <c r="C22">
        <v>5</v>
      </c>
      <c r="D22" t="s">
        <v>12</v>
      </c>
      <c r="E22" t="s">
        <v>39</v>
      </c>
    </row>
    <row r="24" spans="1:15">
      <c r="A24" s="3" t="s">
        <v>13</v>
      </c>
      <c r="B24" s="1"/>
    </row>
    <row r="25" spans="1:15">
      <c r="A25" s="1" t="s">
        <v>14</v>
      </c>
      <c r="B25" s="1" t="s">
        <v>23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66</v>
      </c>
    </row>
    <row r="26" spans="1:15">
      <c r="A26" s="1" t="s">
        <v>15</v>
      </c>
      <c r="B26">
        <f>0.78*C10*C11</f>
        <v>13536425573.468037</v>
      </c>
      <c r="C26">
        <v>0</v>
      </c>
      <c r="D26">
        <f>Table2[[#This Row],[1]]+Table2[[#This Row],[2]]</f>
        <v>13536425573.468037</v>
      </c>
      <c r="E26">
        <f>Table2[[#This Row],[3]]</f>
        <v>13536425573.468037</v>
      </c>
      <c r="F26">
        <f>Table2[[#This Row],[4]]</f>
        <v>13536425573.468037</v>
      </c>
      <c r="G26">
        <f>Table2[[#This Row],[5]]</f>
        <v>13536425573.468037</v>
      </c>
      <c r="H26">
        <f>Table2[[#This Row],[6]]</f>
        <v>13536425573.468037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Table2[[#This Row],[12 - g]]/1000000</f>
        <v>0</v>
      </c>
    </row>
    <row r="27" spans="1:15">
      <c r="A27" s="1" t="s">
        <v>16</v>
      </c>
      <c r="B27">
        <f>0.21*C10*C11</f>
        <v>3644422269.7798557</v>
      </c>
      <c r="C27">
        <v>0</v>
      </c>
      <c r="D27">
        <f>Table2[[#This Row],[1]]+Table2[[#This Row],[2]]</f>
        <v>3644422269.7798557</v>
      </c>
      <c r="E27">
        <f>Table2[[#This Row],[3]]</f>
        <v>3644422269.7798557</v>
      </c>
      <c r="F27">
        <f>Table2[[#This Row],[4]]-3*$C$18-(15/2)*$C$19-(21/2)*$C$20-(15/2)*$C$21-3*$C$22</f>
        <v>-1053411632.3839869</v>
      </c>
      <c r="G27">
        <f>Table2[[#This Row],[5]]</f>
        <v>-1053411632.3839869</v>
      </c>
      <c r="H27">
        <f>Table2[[#This Row],[6]]</f>
        <v>-1053411632.3839869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Table2[[#This Row],[12 - g]]/1000000</f>
        <v>0</v>
      </c>
    </row>
    <row r="28" spans="1:15">
      <c r="A28" s="1" t="s">
        <v>17</v>
      </c>
      <c r="B28">
        <f>0.01*C10*C11</f>
        <v>173543917.60856456</v>
      </c>
      <c r="C28">
        <v>0</v>
      </c>
      <c r="D28">
        <f>Table2[[#This Row],[1]]+Table2[[#This Row],[2]]</f>
        <v>173543917.60856456</v>
      </c>
      <c r="E28">
        <f>Table2[[#This Row],[3]]</f>
        <v>173543917.60856456</v>
      </c>
      <c r="F28">
        <f>Table2[[#This Row],[4]]+4*$C$19+C20+C21+C22</f>
        <v>1563052227.9278047</v>
      </c>
      <c r="G28">
        <f>Table2[[#This Row],[5]]</f>
        <v>1563052227.9278047</v>
      </c>
      <c r="H28">
        <f>Table2[[#This Row],[6]]</f>
        <v>1563052227.9278047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Table2[[#This Row],[12 - g]]/1000000</f>
        <v>0</v>
      </c>
    </row>
    <row r="29" spans="1:15">
      <c r="A29" s="1" t="s">
        <v>18</v>
      </c>
      <c r="B29">
        <f>0</f>
        <v>0</v>
      </c>
      <c r="C29">
        <f>C11</f>
        <v>1156959450.7237637</v>
      </c>
      <c r="D29">
        <f>Table2[[#This Row],[1]]+Table2[[#This Row],[2]]</f>
        <v>1156959450.7237637</v>
      </c>
      <c r="E29">
        <f>Table2[[#This Row],[3]]</f>
        <v>1156959450.7237637</v>
      </c>
      <c r="F29">
        <f>Table2[[#This Row],[4]]-$C$18-$C$19-$C$20</f>
        <v>114538985.6216526</v>
      </c>
      <c r="G29">
        <f>Table2[[#This Row],[5]]</f>
        <v>114538985.6216526</v>
      </c>
      <c r="H29">
        <f>0.01*Table2[[#This Row],[6]]</f>
        <v>1145389.8562165261</v>
      </c>
      <c r="I29">
        <f>Table2[[#This Row],[6]]-Table2[[#This Row],[7]]</f>
        <v>113393595.76543608</v>
      </c>
      <c r="J29">
        <f>Table2[[#This Row],[8]]</f>
        <v>113393595.76543608</v>
      </c>
      <c r="K29">
        <v>0</v>
      </c>
      <c r="L29">
        <v>0</v>
      </c>
      <c r="M29">
        <v>0</v>
      </c>
      <c r="N29">
        <v>0</v>
      </c>
      <c r="O29">
        <f>Table2[[#This Row],[12 - g]]/1000000</f>
        <v>0</v>
      </c>
    </row>
    <row r="30" spans="1:15">
      <c r="A30" s="1" t="s">
        <v>19</v>
      </c>
      <c r="B30">
        <f>0</f>
        <v>0</v>
      </c>
      <c r="C30">
        <v>0</v>
      </c>
      <c r="D30">
        <f>Table2[[#This Row],[1]]+Table2[[#This Row],[2]]</f>
        <v>0</v>
      </c>
      <c r="E30">
        <f>Table2[[#This Row],[3]]</f>
        <v>0</v>
      </c>
      <c r="F30">
        <f>$C$19-$C$22</f>
        <v>347087830.21712911</v>
      </c>
      <c r="G30">
        <f>Table2[[#This Row],[5]]</f>
        <v>347087830.21712911</v>
      </c>
      <c r="H30">
        <f>0.01*Table2[[#This Row],[6]]</f>
        <v>3470878.3021712913</v>
      </c>
      <c r="I30">
        <f>Table2[[#This Row],[6]]-Table2[[#This Row],[7]]</f>
        <v>343616951.91495782</v>
      </c>
      <c r="J30">
        <v>0</v>
      </c>
      <c r="K30">
        <f>Table2[[#This Row],[8]]</f>
        <v>343616951.91495782</v>
      </c>
      <c r="L30">
        <f>Table2[[#This Row],[10 - mol]]*I13</f>
        <v>33880631458.814838</v>
      </c>
      <c r="M30">
        <f>19*M31</f>
        <v>33780626472.332352</v>
      </c>
      <c r="N30">
        <f>L30-Table2[[#This Row],[11 - g]]</f>
        <v>100004986.48248672</v>
      </c>
      <c r="O30">
        <f>Table2[[#This Row],[12 - g]]/1000000</f>
        <v>100.00498648248673</v>
      </c>
    </row>
    <row r="31" spans="1:15">
      <c r="A31" s="1" t="s">
        <v>20</v>
      </c>
      <c r="B31">
        <v>0</v>
      </c>
      <c r="C31">
        <v>0</v>
      </c>
      <c r="D31">
        <f>Table2[[#This Row],[1]]+Table2[[#This Row],[2]]</f>
        <v>0</v>
      </c>
      <c r="E31">
        <f>Table2[[#This Row],[3]]</f>
        <v>0</v>
      </c>
      <c r="F31">
        <f>$C$18-$C$22</f>
        <v>694175665.43425822</v>
      </c>
      <c r="G31">
        <f>Table2[[#This Row],[5]]</f>
        <v>694175665.43425822</v>
      </c>
      <c r="H31">
        <f>0.01*Table2[[#This Row],[6]]</f>
        <v>6941756.6543425824</v>
      </c>
      <c r="I31">
        <f>Table2[[#This Row],[6]]-Table2[[#This Row],[7]]</f>
        <v>687233908.77991569</v>
      </c>
      <c r="J31">
        <v>0</v>
      </c>
      <c r="K31">
        <f>Table2[[#This Row],[8]]</f>
        <v>687233908.77991569</v>
      </c>
      <c r="L31">
        <f>Table2[[#This Row],[10 - mol]]*I12</f>
        <v>101779341890.30551</v>
      </c>
      <c r="M31">
        <f>(0.999/18.98)*L30-(0.001/18.998)*L31</f>
        <v>1777927709.0701237</v>
      </c>
      <c r="N31">
        <f>L31-Table2[[#This Row],[11 - g]]</f>
        <v>100001414181.23538</v>
      </c>
      <c r="O31">
        <f>Table2[[#This Row],[12 - g]]/1000000</f>
        <v>100001.41418123538</v>
      </c>
    </row>
    <row r="32" spans="1:15">
      <c r="A32" s="1" t="s">
        <v>21</v>
      </c>
      <c r="B32">
        <v>0</v>
      </c>
      <c r="C32">
        <v>0</v>
      </c>
      <c r="D32">
        <f>Table2[[#This Row],[1]]+Table2[[#This Row],[2]]</f>
        <v>0</v>
      </c>
      <c r="E32">
        <f>Table2[[#This Row],[3]]</f>
        <v>0</v>
      </c>
      <c r="F32">
        <f>3*$C$18+4*$C$19+5*$C$20+2*$C$21+$C$22</f>
        <v>3476663164.4249101</v>
      </c>
      <c r="G32">
        <f>Table2[[#This Row],[5]]</f>
        <v>3476663164.4249101</v>
      </c>
      <c r="H32">
        <f>Table2[[#This Row],[6]]</f>
        <v>3476663164.4249101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Table2[[#This Row],[12 - g]]/1000000</f>
        <v>0</v>
      </c>
    </row>
    <row r="34" spans="1:9">
      <c r="A34" s="3" t="s">
        <v>67</v>
      </c>
    </row>
    <row r="35" spans="1:9">
      <c r="A35" s="1" t="s">
        <v>14</v>
      </c>
      <c r="B35" s="1" t="s">
        <v>68</v>
      </c>
      <c r="C35" s="1" t="s">
        <v>69</v>
      </c>
      <c r="D35" s="1" t="s">
        <v>70</v>
      </c>
      <c r="E35" s="1" t="s">
        <v>71</v>
      </c>
      <c r="F35" s="1" t="s">
        <v>72</v>
      </c>
      <c r="H35" s="5" t="s">
        <v>74</v>
      </c>
      <c r="I35" s="5" t="s">
        <v>5</v>
      </c>
    </row>
    <row r="36" spans="1:9">
      <c r="A36" s="1" t="s">
        <v>18</v>
      </c>
      <c r="B36">
        <v>106.16</v>
      </c>
      <c r="C36">
        <f>D29</f>
        <v>1156959450.7237637</v>
      </c>
      <c r="D36">
        <f>Table14[[#This Row],[Molar Flow (mol]]*Table14[[#This Row],[MW (g/mol)]]/1000000</f>
        <v>122822.81528883475</v>
      </c>
      <c r="E36">
        <v>701</v>
      </c>
      <c r="F36" s="6">
        <f>Table14[[#This Row],[Price ($/ton)]]*Table14[[#This Row],[Flowrate (ton/year)]]/1000000</f>
        <v>86.098793517473155</v>
      </c>
      <c r="H36" s="7">
        <f>F38+F37-Table14[[#This Row],[Cost (mil $)]]</f>
        <v>38.94617993553274</v>
      </c>
      <c r="I36" s="7" t="s">
        <v>75</v>
      </c>
    </row>
    <row r="37" spans="1:9">
      <c r="A37" s="1" t="s">
        <v>19</v>
      </c>
      <c r="B37">
        <v>98.06</v>
      </c>
      <c r="D37">
        <f t="shared" ref="D37" si="0">N30/1000000</f>
        <v>100.00498648248673</v>
      </c>
      <c r="E37">
        <v>1432</v>
      </c>
      <c r="F37" s="6">
        <f>Table14[[#This Row],[Price ($/ton)]]*Table14[[#This Row],[Flowrate (ton/year)]]/1000000</f>
        <v>0.143207140642921</v>
      </c>
    </row>
    <row r="38" spans="1:9">
      <c r="A38" s="1" t="s">
        <v>20</v>
      </c>
      <c r="B38">
        <v>148.1</v>
      </c>
      <c r="D38">
        <f>N31/1000000</f>
        <v>100001.41418123538</v>
      </c>
      <c r="E38">
        <v>1249</v>
      </c>
      <c r="F38" s="6">
        <f>Table14[[#This Row],[Price ($/ton)]]*Table14[[#This Row],[Flowrate (ton/year)]]/1000000</f>
        <v>124.90176631236298</v>
      </c>
    </row>
    <row r="39" spans="1:9">
      <c r="E39" t="s">
        <v>73</v>
      </c>
    </row>
    <row r="41" spans="1:9">
      <c r="A41" s="3"/>
    </row>
    <row r="43" spans="1:9">
      <c r="H43">
        <f>B26+B27+B28+C29</f>
        <v>18511351211.580223</v>
      </c>
    </row>
    <row r="44" spans="1:9">
      <c r="H44" t="s">
        <v>76</v>
      </c>
      <c r="I44">
        <f>E26/$H$43</f>
        <v>0.73124999999999996</v>
      </c>
    </row>
    <row r="45" spans="1:9">
      <c r="H45" t="s">
        <v>16</v>
      </c>
      <c r="I45">
        <f t="shared" ref="I45:I47" si="1">E27/$H$43</f>
        <v>0.19687499999999997</v>
      </c>
    </row>
    <row r="46" spans="1:9">
      <c r="H46" t="s">
        <v>77</v>
      </c>
      <c r="I46">
        <f t="shared" si="1"/>
        <v>9.3749999999999979E-3</v>
      </c>
    </row>
    <row r="47" spans="1:9">
      <c r="H47" t="s">
        <v>78</v>
      </c>
      <c r="I47">
        <f t="shared" si="1"/>
        <v>6.2499999999999986E-2</v>
      </c>
    </row>
  </sheetData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10B-5A8F-2948-8A99-9F5C2C012C91}">
  <dimension ref="F13:K17"/>
  <sheetViews>
    <sheetView tabSelected="1" workbookViewId="0">
      <selection activeCell="K20" sqref="K20"/>
    </sheetView>
  </sheetViews>
  <sheetFormatPr baseColWidth="10" defaultRowHeight="16"/>
  <sheetData>
    <row r="13" spans="6:11">
      <c r="G13" t="s">
        <v>50</v>
      </c>
      <c r="H13" t="s">
        <v>51</v>
      </c>
      <c r="I13" t="s">
        <v>81</v>
      </c>
      <c r="J13" t="s">
        <v>79</v>
      </c>
      <c r="K13" t="s">
        <v>80</v>
      </c>
    </row>
    <row r="14" spans="6:11">
      <c r="F14" t="s">
        <v>82</v>
      </c>
      <c r="G14">
        <v>12182.3</v>
      </c>
      <c r="H14">
        <v>52.378999999999998</v>
      </c>
      <c r="I14">
        <v>0</v>
      </c>
      <c r="J14">
        <f>G14/SUM(G14:I14)</f>
        <v>0.99571880880569075</v>
      </c>
    </row>
    <row r="17" spans="6:11">
      <c r="F17" t="s">
        <v>83</v>
      </c>
      <c r="G17">
        <v>147.69999999999999</v>
      </c>
      <c r="H17">
        <v>2158.5</v>
      </c>
      <c r="I17">
        <v>13.986000000000001</v>
      </c>
      <c r="K17">
        <f>H17/SUM(G17:I17)</f>
        <v>0.93031334556798473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Balance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</dc:creator>
  <cp:lastModifiedBy>Wylie</cp:lastModifiedBy>
  <dcterms:created xsi:type="dcterms:W3CDTF">2020-02-25T03:15:43Z</dcterms:created>
  <dcterms:modified xsi:type="dcterms:W3CDTF">2020-03-04T02:26:07Z</dcterms:modified>
</cp:coreProperties>
</file>