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0" documentId="8_{20EE5749-D36C-4C2C-ABEE-BC7A82A9D066}" xr6:coauthVersionLast="47" xr6:coauthVersionMax="47" xr10:uidLastSave="{00000000-0000-0000-0000-000000000000}"/>
  <bookViews>
    <workbookView xWindow="-120" yWindow="-120" windowWidth="29040" windowHeight="15720" tabRatio="732" activeTab="1" xr2:uid="{00000000-000D-0000-FFFF-FFFF00000000}"/>
  </bookViews>
  <sheets>
    <sheet name="BUDGET SYLV CLASSIQUE" sheetId="5" r:id="rId1"/>
    <sheet name="BUDGET SYLV CRTE ROTATION" sheetId="1" r:id="rId2"/>
    <sheet name="Cash flow" sheetId="7" r:id="rId3"/>
    <sheet name="Budget annuel" sheetId="3" r:id="rId4"/>
    <sheet name="Table" sheetId="2" r:id="rId5"/>
    <sheet name="Emprunt" sheetId="6" r:id="rId6"/>
    <sheet name="classe d'age ARGEFO" sheetId="4" r:id="rId7"/>
  </sheets>
  <definedNames>
    <definedName name="_xlnm._FilterDatabase" localSheetId="0" hidden="1">'BUDGET SYLV CLASSIQUE'!$A$4:$E$37</definedName>
    <definedName name="_xlnm._FilterDatabase" localSheetId="1" hidden="1">'BUDGET SYLV CRTE ROTATION'!$A$4:$E$37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7" l="1"/>
  <c r="B11" i="2"/>
  <c r="U5" i="5"/>
  <c r="B9" i="2"/>
  <c r="B10" i="2"/>
  <c r="D21" i="3"/>
  <c r="J21" i="3"/>
  <c r="AK5" i="1"/>
  <c r="AG5" i="1"/>
  <c r="AE5" i="1"/>
  <c r="AC5" i="1"/>
  <c r="AA5" i="1"/>
  <c r="Y5" i="1"/>
  <c r="W5" i="1"/>
  <c r="U5" i="1"/>
  <c r="S5" i="1"/>
  <c r="G5" i="1"/>
  <c r="O5" i="1"/>
  <c r="AK5" i="5"/>
  <c r="AG5" i="5"/>
  <c r="AE5" i="5"/>
  <c r="AC5" i="5"/>
  <c r="AA5" i="5"/>
  <c r="Y5" i="5"/>
  <c r="W5" i="5"/>
  <c r="S5" i="5"/>
  <c r="O5" i="5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B19" i="7"/>
  <c r="A19" i="7"/>
  <c r="E34" i="1"/>
  <c r="AE7" i="4"/>
  <c r="B2" i="6"/>
  <c r="C2" i="6"/>
  <c r="D2" i="6"/>
  <c r="J11" i="2"/>
  <c r="H13" i="2"/>
  <c r="J13" i="2"/>
  <c r="M6" i="2"/>
  <c r="M11" i="2"/>
  <c r="K10" i="2"/>
  <c r="K11" i="2"/>
  <c r="K9" i="2"/>
  <c r="L7" i="2"/>
  <c r="L8" i="2"/>
  <c r="L6" i="2"/>
  <c r="G10" i="2"/>
  <c r="I7" i="2"/>
  <c r="J7" i="2"/>
  <c r="I8" i="2"/>
  <c r="J8" i="2"/>
  <c r="I9" i="2"/>
  <c r="J9" i="2"/>
  <c r="I10" i="2"/>
  <c r="J10" i="2"/>
  <c r="I11" i="2"/>
  <c r="J6" i="2"/>
  <c r="I6" i="2"/>
  <c r="H10" i="2"/>
  <c r="H7" i="2"/>
  <c r="H8" i="2"/>
  <c r="H9" i="2"/>
  <c r="H6" i="2"/>
  <c r="G7" i="2"/>
  <c r="G8" i="2"/>
  <c r="G9" i="2"/>
  <c r="G6" i="2"/>
  <c r="F13" i="2"/>
  <c r="G11" i="2"/>
  <c r="Q26" i="1"/>
  <c r="Y26" i="1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AK35" i="5"/>
  <c r="AI35" i="5"/>
  <c r="AG35" i="5"/>
  <c r="AE35" i="5"/>
  <c r="AC35" i="5"/>
  <c r="AA35" i="5"/>
  <c r="Y35" i="5"/>
  <c r="W35" i="5"/>
  <c r="U35" i="5"/>
  <c r="Q35" i="5"/>
  <c r="I35" i="5"/>
  <c r="E35" i="5"/>
  <c r="O35" i="5"/>
  <c r="C35" i="5"/>
  <c r="AK34" i="5"/>
  <c r="AI34" i="5"/>
  <c r="AG34" i="5"/>
  <c r="AE34" i="5"/>
  <c r="AC34" i="5"/>
  <c r="AA34" i="5"/>
  <c r="Y34" i="5"/>
  <c r="W34" i="5"/>
  <c r="S34" i="5"/>
  <c r="K34" i="5"/>
  <c r="G34" i="5"/>
  <c r="E34" i="5"/>
  <c r="U34" i="5"/>
  <c r="C34" i="5"/>
  <c r="AK33" i="5"/>
  <c r="AI33" i="5"/>
  <c r="AG33" i="5"/>
  <c r="AE33" i="5"/>
  <c r="AC33" i="5"/>
  <c r="AA33" i="5"/>
  <c r="Y33" i="5"/>
  <c r="U33" i="5"/>
  <c r="M33" i="5"/>
  <c r="I33" i="5"/>
  <c r="G33" i="5"/>
  <c r="E33" i="5"/>
  <c r="Q33" i="5"/>
  <c r="C33" i="5"/>
  <c r="AK32" i="5"/>
  <c r="AI32" i="5"/>
  <c r="AG32" i="5"/>
  <c r="AE32" i="5"/>
  <c r="AC32" i="5"/>
  <c r="Y32" i="5"/>
  <c r="Q32" i="5"/>
  <c r="M32" i="5"/>
  <c r="K32" i="5"/>
  <c r="I32" i="5"/>
  <c r="G32" i="5"/>
  <c r="E32" i="5"/>
  <c r="U32" i="5"/>
  <c r="C32" i="5"/>
  <c r="AK31" i="5"/>
  <c r="AI31" i="5"/>
  <c r="AE31" i="5"/>
  <c r="W31" i="5"/>
  <c r="S31" i="5"/>
  <c r="Q31" i="5"/>
  <c r="O31" i="5"/>
  <c r="M31" i="5"/>
  <c r="K31" i="5"/>
  <c r="I31" i="5"/>
  <c r="E31" i="5"/>
  <c r="AC31" i="5"/>
  <c r="C31" i="5"/>
  <c r="AI30" i="5"/>
  <c r="AA30" i="5"/>
  <c r="W30" i="5"/>
  <c r="U30" i="5"/>
  <c r="S30" i="5"/>
  <c r="Q30" i="5"/>
  <c r="O30" i="5"/>
  <c r="M30" i="5"/>
  <c r="I30" i="5"/>
  <c r="G30" i="5"/>
  <c r="E30" i="5"/>
  <c r="AK30" i="5"/>
  <c r="C30" i="5"/>
  <c r="AE29" i="5"/>
  <c r="AA29" i="5"/>
  <c r="Y29" i="5"/>
  <c r="W29" i="5"/>
  <c r="U29" i="5"/>
  <c r="S29" i="5"/>
  <c r="Q29" i="5"/>
  <c r="M29" i="5"/>
  <c r="K29" i="5"/>
  <c r="I29" i="5"/>
  <c r="G29" i="5"/>
  <c r="E29" i="5"/>
  <c r="AG29" i="5"/>
  <c r="C29" i="5"/>
  <c r="AG28" i="5"/>
  <c r="AC28" i="5"/>
  <c r="AA28" i="5"/>
  <c r="Y28" i="5"/>
  <c r="W28" i="5"/>
  <c r="U28" i="5"/>
  <c r="S28" i="5"/>
  <c r="O28" i="5"/>
  <c r="M28" i="5"/>
  <c r="K28" i="5"/>
  <c r="I28" i="5"/>
  <c r="E28" i="5"/>
  <c r="AK28" i="5"/>
  <c r="C28" i="5"/>
  <c r="AI27" i="5"/>
  <c r="AE27" i="5"/>
  <c r="AC27" i="5"/>
  <c r="AA27" i="5"/>
  <c r="Y27" i="5"/>
  <c r="W27" i="5"/>
  <c r="U27" i="5"/>
  <c r="Q27" i="5"/>
  <c r="O27" i="5"/>
  <c r="M27" i="5"/>
  <c r="K27" i="5"/>
  <c r="G27" i="5"/>
  <c r="E27" i="5"/>
  <c r="C27" i="5"/>
  <c r="AK26" i="5"/>
  <c r="AG26" i="5"/>
  <c r="AE26" i="5"/>
  <c r="AC26" i="5"/>
  <c r="AA26" i="5"/>
  <c r="Y26" i="5"/>
  <c r="W26" i="5"/>
  <c r="S26" i="5"/>
  <c r="Q26" i="5"/>
  <c r="O26" i="5"/>
  <c r="M26" i="5"/>
  <c r="I26" i="5"/>
  <c r="G26" i="5"/>
  <c r="E26" i="5"/>
  <c r="C26" i="5"/>
  <c r="AK25" i="5"/>
  <c r="AI25" i="5"/>
  <c r="AG25" i="5"/>
  <c r="AE25" i="5"/>
  <c r="AC25" i="5"/>
  <c r="AA25" i="5"/>
  <c r="W25" i="5"/>
  <c r="U25" i="5"/>
  <c r="S25" i="5"/>
  <c r="Q25" i="5"/>
  <c r="M25" i="5"/>
  <c r="K25" i="5"/>
  <c r="I25" i="5"/>
  <c r="G25" i="5"/>
  <c r="E25" i="5"/>
  <c r="C25" i="5"/>
  <c r="AK24" i="5"/>
  <c r="AI24" i="5"/>
  <c r="AG24" i="5"/>
  <c r="AE24" i="5"/>
  <c r="AC24" i="5"/>
  <c r="Y24" i="5"/>
  <c r="W24" i="5"/>
  <c r="U24" i="5"/>
  <c r="S24" i="5"/>
  <c r="O24" i="5"/>
  <c r="M24" i="5"/>
  <c r="K24" i="5"/>
  <c r="I24" i="5"/>
  <c r="E24" i="5"/>
  <c r="C24" i="5"/>
  <c r="AK23" i="5"/>
  <c r="AI23" i="5"/>
  <c r="AG23" i="5"/>
  <c r="AE23" i="5"/>
  <c r="AA23" i="5"/>
  <c r="Y23" i="5"/>
  <c r="W23" i="5"/>
  <c r="U23" i="5"/>
  <c r="Q23" i="5"/>
  <c r="O23" i="5"/>
  <c r="M23" i="5"/>
  <c r="K23" i="5"/>
  <c r="G23" i="5"/>
  <c r="E23" i="5"/>
  <c r="C23" i="5"/>
  <c r="AK22" i="5"/>
  <c r="AI22" i="5"/>
  <c r="AG22" i="5"/>
  <c r="AC22" i="5"/>
  <c r="AA22" i="5"/>
  <c r="Y22" i="5"/>
  <c r="W22" i="5"/>
  <c r="S22" i="5"/>
  <c r="Q22" i="5"/>
  <c r="O22" i="5"/>
  <c r="M22" i="5"/>
  <c r="I22" i="5"/>
  <c r="G22" i="5"/>
  <c r="E22" i="5"/>
  <c r="C22" i="5"/>
  <c r="AK21" i="5"/>
  <c r="AI21" i="5"/>
  <c r="AE21" i="5"/>
  <c r="AC21" i="5"/>
  <c r="AA21" i="5"/>
  <c r="Y21" i="5"/>
  <c r="U21" i="5"/>
  <c r="S21" i="5"/>
  <c r="Q21" i="5"/>
  <c r="O21" i="5"/>
  <c r="K21" i="5"/>
  <c r="I21" i="5"/>
  <c r="G21" i="5"/>
  <c r="E21" i="5"/>
  <c r="C21" i="5"/>
  <c r="AI20" i="5"/>
  <c r="AG20" i="5"/>
  <c r="AE20" i="5"/>
  <c r="AC20" i="5"/>
  <c r="Y20" i="5"/>
  <c r="W20" i="5"/>
  <c r="U20" i="5"/>
  <c r="S20" i="5"/>
  <c r="O20" i="5"/>
  <c r="M20" i="5"/>
  <c r="K20" i="5"/>
  <c r="I20" i="5"/>
  <c r="E20" i="5"/>
  <c r="C20" i="5"/>
  <c r="AI19" i="5"/>
  <c r="AG19" i="5"/>
  <c r="AE19" i="5"/>
  <c r="AC19" i="5"/>
  <c r="Y19" i="5"/>
  <c r="W19" i="5"/>
  <c r="U19" i="5"/>
  <c r="S19" i="5"/>
  <c r="O19" i="5"/>
  <c r="M19" i="5"/>
  <c r="K19" i="5"/>
  <c r="I19" i="5"/>
  <c r="E19" i="5"/>
  <c r="C19" i="5"/>
  <c r="AK18" i="5"/>
  <c r="AI18" i="5"/>
  <c r="AG18" i="5"/>
  <c r="AE18" i="5"/>
  <c r="AA18" i="5"/>
  <c r="Y18" i="5"/>
  <c r="W18" i="5"/>
  <c r="U18" i="5"/>
  <c r="Q18" i="5"/>
  <c r="O18" i="5"/>
  <c r="M18" i="5"/>
  <c r="K18" i="5"/>
  <c r="G18" i="5"/>
  <c r="E18" i="5"/>
  <c r="C18" i="5"/>
  <c r="AK17" i="5"/>
  <c r="AI17" i="5"/>
  <c r="AG17" i="5"/>
  <c r="AC17" i="5"/>
  <c r="AA17" i="5"/>
  <c r="Y17" i="5"/>
  <c r="W17" i="5"/>
  <c r="S17" i="5"/>
  <c r="Q17" i="5"/>
  <c r="O17" i="5"/>
  <c r="M17" i="5"/>
  <c r="I17" i="5"/>
  <c r="G17" i="5"/>
  <c r="E17" i="5"/>
  <c r="C17" i="5"/>
  <c r="AK16" i="5"/>
  <c r="AI16" i="5"/>
  <c r="AG16" i="5"/>
  <c r="AC16" i="5"/>
  <c r="AA16" i="5"/>
  <c r="Y16" i="5"/>
  <c r="W16" i="5"/>
  <c r="S16" i="5"/>
  <c r="Q16" i="5"/>
  <c r="O16" i="5"/>
  <c r="M16" i="5"/>
  <c r="I16" i="5"/>
  <c r="G16" i="5"/>
  <c r="E16" i="5"/>
  <c r="C16" i="5"/>
  <c r="AK15" i="5"/>
  <c r="AG15" i="5"/>
  <c r="AE15" i="5"/>
  <c r="AC15" i="5"/>
  <c r="AA15" i="5"/>
  <c r="W15" i="5"/>
  <c r="U15" i="5"/>
  <c r="S15" i="5"/>
  <c r="Q15" i="5"/>
  <c r="M15" i="5"/>
  <c r="K15" i="5"/>
  <c r="I15" i="5"/>
  <c r="G15" i="5"/>
  <c r="E15" i="5"/>
  <c r="C15" i="5"/>
  <c r="AI14" i="5"/>
  <c r="AG14" i="5"/>
  <c r="AE14" i="5"/>
  <c r="AC14" i="5"/>
  <c r="Y14" i="5"/>
  <c r="W14" i="5"/>
  <c r="U14" i="5"/>
  <c r="S14" i="5"/>
  <c r="O14" i="5"/>
  <c r="M14" i="5"/>
  <c r="K14" i="5"/>
  <c r="I14" i="5"/>
  <c r="G14" i="5"/>
  <c r="E14" i="5"/>
  <c r="C14" i="5"/>
  <c r="AK13" i="5"/>
  <c r="AI13" i="5"/>
  <c r="AG13" i="5"/>
  <c r="AE13" i="5"/>
  <c r="AA13" i="5"/>
  <c r="Y13" i="5"/>
  <c r="W13" i="5"/>
  <c r="U13" i="5"/>
  <c r="Q13" i="5"/>
  <c r="O13" i="5"/>
  <c r="M13" i="5"/>
  <c r="K13" i="5"/>
  <c r="I13" i="5"/>
  <c r="G13" i="5"/>
  <c r="E13" i="5"/>
  <c r="C13" i="5"/>
  <c r="AK12" i="5"/>
  <c r="AI12" i="5"/>
  <c r="AG12" i="5"/>
  <c r="AC12" i="5"/>
  <c r="AA12" i="5"/>
  <c r="Y12" i="5"/>
  <c r="W12" i="5"/>
  <c r="S12" i="5"/>
  <c r="Q12" i="5"/>
  <c r="O12" i="5"/>
  <c r="M12" i="5"/>
  <c r="K12" i="5"/>
  <c r="I12" i="5"/>
  <c r="G12" i="5"/>
  <c r="E12" i="5"/>
  <c r="C12" i="5"/>
  <c r="AK11" i="5"/>
  <c r="AI11" i="5"/>
  <c r="AG11" i="5"/>
  <c r="AC11" i="5"/>
  <c r="AA11" i="5"/>
  <c r="Y11" i="5"/>
  <c r="W11" i="5"/>
  <c r="S11" i="5"/>
  <c r="Q11" i="5"/>
  <c r="O11" i="5"/>
  <c r="M11" i="5"/>
  <c r="K11" i="5"/>
  <c r="I11" i="5"/>
  <c r="G11" i="5"/>
  <c r="E11" i="5"/>
  <c r="C11" i="5"/>
  <c r="AK10" i="5"/>
  <c r="AI10" i="5"/>
  <c r="AG10" i="5"/>
  <c r="AE10" i="5"/>
  <c r="AC10" i="5"/>
  <c r="Y10" i="5"/>
  <c r="W10" i="5"/>
  <c r="U10" i="5"/>
  <c r="S10" i="5"/>
  <c r="Q10" i="5"/>
  <c r="O10" i="5"/>
  <c r="M10" i="5"/>
  <c r="K10" i="5"/>
  <c r="I10" i="5"/>
  <c r="E10" i="5"/>
  <c r="G10" i="5"/>
  <c r="C10" i="5"/>
  <c r="AK9" i="5"/>
  <c r="AI9" i="5"/>
  <c r="AG9" i="5"/>
  <c r="AE9" i="5"/>
  <c r="AA9" i="5"/>
  <c r="Y9" i="5"/>
  <c r="W9" i="5"/>
  <c r="U9" i="5"/>
  <c r="S9" i="5"/>
  <c r="Q9" i="5"/>
  <c r="O9" i="5"/>
  <c r="M9" i="5"/>
  <c r="K9" i="5"/>
  <c r="G9" i="5"/>
  <c r="E9" i="5"/>
  <c r="I9" i="5"/>
  <c r="C9" i="5"/>
  <c r="AK8" i="5"/>
  <c r="AI8" i="5"/>
  <c r="AG8" i="5"/>
  <c r="AC8" i="5"/>
  <c r="AA8" i="5"/>
  <c r="Y8" i="5"/>
  <c r="W8" i="5"/>
  <c r="U8" i="5"/>
  <c r="S8" i="5"/>
  <c r="Q8" i="5"/>
  <c r="O8" i="5"/>
  <c r="M8" i="5"/>
  <c r="I8" i="5"/>
  <c r="E8" i="5"/>
  <c r="K8" i="5"/>
  <c r="C8" i="5"/>
  <c r="AK7" i="5"/>
  <c r="AI7" i="5"/>
  <c r="AG7" i="5"/>
  <c r="AC7" i="5"/>
  <c r="AA7" i="5"/>
  <c r="Y7" i="5"/>
  <c r="W7" i="5"/>
  <c r="U7" i="5"/>
  <c r="S7" i="5"/>
  <c r="Q7" i="5"/>
  <c r="O7" i="5"/>
  <c r="M7" i="5"/>
  <c r="I7" i="5"/>
  <c r="E7" i="5"/>
  <c r="K7" i="5"/>
  <c r="C7" i="5"/>
  <c r="AK6" i="5"/>
  <c r="AI6" i="5"/>
  <c r="AE6" i="5"/>
  <c r="AC6" i="5"/>
  <c r="AA6" i="5"/>
  <c r="Y6" i="5"/>
  <c r="W6" i="5"/>
  <c r="U6" i="5"/>
  <c r="S6" i="5"/>
  <c r="Q6" i="5"/>
  <c r="O6" i="5"/>
  <c r="K6" i="5"/>
  <c r="E6" i="5"/>
  <c r="M6" i="5"/>
  <c r="C6" i="5"/>
  <c r="B23" i="2"/>
  <c r="Z38" i="5"/>
  <c r="E35" i="1"/>
  <c r="E23" i="1"/>
  <c r="E21" i="1"/>
  <c r="E20" i="1"/>
  <c r="E17" i="1"/>
  <c r="E12" i="1"/>
  <c r="E9" i="1"/>
  <c r="E8" i="1"/>
  <c r="E6" i="1"/>
  <c r="E33" i="1"/>
  <c r="E32" i="1"/>
  <c r="E31" i="1"/>
  <c r="E30" i="1"/>
  <c r="E29" i="1"/>
  <c r="E28" i="1"/>
  <c r="E27" i="1"/>
  <c r="E26" i="1"/>
  <c r="S26" i="1"/>
  <c r="E25" i="1"/>
  <c r="E24" i="1"/>
  <c r="E22" i="1"/>
  <c r="E19" i="1"/>
  <c r="E18" i="1"/>
  <c r="E16" i="1"/>
  <c r="E15" i="1"/>
  <c r="E14" i="1"/>
  <c r="E13" i="1"/>
  <c r="E11" i="1"/>
  <c r="E10" i="1"/>
  <c r="E7" i="1"/>
  <c r="AE30" i="5"/>
  <c r="G6" i="5"/>
  <c r="G7" i="5"/>
  <c r="P38" i="1"/>
  <c r="L38" i="1"/>
  <c r="AF38" i="1"/>
  <c r="AB38" i="1"/>
  <c r="AD38" i="1"/>
  <c r="N38" i="1"/>
  <c r="L38" i="5"/>
  <c r="AB38" i="5"/>
  <c r="N38" i="5"/>
  <c r="AD38" i="5"/>
  <c r="Z38" i="1"/>
  <c r="J38" i="1"/>
  <c r="P38" i="5"/>
  <c r="AF38" i="5"/>
  <c r="X38" i="1"/>
  <c r="H38" i="1"/>
  <c r="S35" i="5"/>
  <c r="R38" i="5"/>
  <c r="AH38" i="5"/>
  <c r="T38" i="5"/>
  <c r="AJ38" i="5"/>
  <c r="V38" i="1"/>
  <c r="AJ38" i="1"/>
  <c r="T38" i="1"/>
  <c r="F38" i="5"/>
  <c r="V38" i="5"/>
  <c r="E36" i="1"/>
  <c r="F38" i="1"/>
  <c r="AH38" i="1"/>
  <c r="R38" i="1"/>
  <c r="H38" i="5"/>
  <c r="X38" i="5"/>
  <c r="J38" i="5"/>
  <c r="G8" i="5"/>
  <c r="K35" i="5"/>
  <c r="O33" i="5"/>
  <c r="W26" i="1"/>
  <c r="AI29" i="5"/>
  <c r="Y31" i="5"/>
  <c r="Q34" i="5"/>
  <c r="E36" i="5"/>
  <c r="AA31" i="5"/>
  <c r="S33" i="5"/>
  <c r="U26" i="1"/>
  <c r="S32" i="5"/>
  <c r="AA26" i="1"/>
  <c r="AG31" i="5"/>
  <c r="W32" i="5"/>
  <c r="O34" i="5"/>
  <c r="I6" i="5"/>
  <c r="AK27" i="5"/>
  <c r="AK29" i="5"/>
  <c r="AG30" i="5"/>
  <c r="M35" i="5"/>
  <c r="AI28" i="5"/>
  <c r="AA32" i="5"/>
  <c r="W33" i="5"/>
  <c r="AC30" i="5"/>
  <c r="M34" i="5"/>
  <c r="D14" i="4"/>
  <c r="C14" i="4"/>
  <c r="E53" i="4"/>
  <c r="E52" i="4"/>
  <c r="E51" i="4"/>
  <c r="E50" i="4"/>
  <c r="E47" i="4"/>
  <c r="E46" i="4"/>
  <c r="E44" i="4"/>
  <c r="E41" i="4"/>
  <c r="E39" i="4"/>
  <c r="E37" i="4"/>
  <c r="E36" i="4"/>
  <c r="E35" i="4"/>
  <c r="E34" i="4"/>
  <c r="E32" i="4"/>
  <c r="E31" i="4"/>
  <c r="E30" i="4"/>
  <c r="E29" i="4"/>
  <c r="E28" i="4"/>
  <c r="E26" i="4"/>
  <c r="E25" i="4"/>
  <c r="E24" i="4"/>
  <c r="E22" i="4"/>
  <c r="E21" i="4"/>
  <c r="E20" i="4"/>
  <c r="E19" i="4"/>
  <c r="E18" i="4"/>
  <c r="E17" i="4"/>
  <c r="E16" i="4"/>
  <c r="E15" i="4"/>
  <c r="F7" i="4"/>
  <c r="B31" i="4"/>
  <c r="B30" i="4"/>
  <c r="B29" i="4"/>
  <c r="B28" i="4"/>
  <c r="B26" i="4"/>
  <c r="B25" i="4"/>
  <c r="B24" i="4"/>
  <c r="B22" i="4"/>
  <c r="B21" i="4"/>
  <c r="B20" i="4"/>
  <c r="B19" i="4"/>
  <c r="B18" i="4"/>
  <c r="B17" i="4"/>
  <c r="B16" i="4"/>
  <c r="B15" i="4"/>
  <c r="AH7" i="4"/>
  <c r="AG7" i="4"/>
  <c r="AF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E7" i="4"/>
  <c r="D6" i="4"/>
  <c r="C6" i="4"/>
  <c r="D5" i="4"/>
  <c r="E5" i="1"/>
  <c r="E5" i="5"/>
  <c r="D7" i="4"/>
  <c r="C5" i="4"/>
  <c r="C7" i="4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40" i="1"/>
  <c r="F36" i="1"/>
  <c r="H36" i="1"/>
  <c r="J36" i="1"/>
  <c r="L36" i="1"/>
  <c r="N36" i="1"/>
  <c r="P36" i="1"/>
  <c r="R36" i="1"/>
  <c r="T36" i="1"/>
  <c r="V36" i="1"/>
  <c r="X36" i="1"/>
  <c r="Z36" i="1"/>
  <c r="AB36" i="1"/>
  <c r="AD36" i="1"/>
  <c r="AF36" i="1"/>
  <c r="AH36" i="1"/>
  <c r="AJ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3" i="1"/>
  <c r="AK12" i="1"/>
  <c r="AK11" i="1"/>
  <c r="AK9" i="1"/>
  <c r="AK8" i="1"/>
  <c r="AK7" i="1"/>
  <c r="AK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4" i="1"/>
  <c r="AI13" i="1"/>
  <c r="AI12" i="1"/>
  <c r="AI11" i="1"/>
  <c r="AI10" i="1"/>
  <c r="AI9" i="1"/>
  <c r="AI8" i="1"/>
  <c r="AI7" i="1"/>
  <c r="AI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E35" i="1"/>
  <c r="AE34" i="1"/>
  <c r="AE33" i="1"/>
  <c r="AE32" i="1"/>
  <c r="AE31" i="1"/>
  <c r="AE30" i="1"/>
  <c r="AE29" i="1"/>
  <c r="AE27" i="1"/>
  <c r="AE26" i="1"/>
  <c r="AE25" i="1"/>
  <c r="AE24" i="1"/>
  <c r="AE23" i="1"/>
  <c r="AE22" i="1"/>
  <c r="AE21" i="1"/>
  <c r="AE18" i="1"/>
  <c r="AE15" i="1"/>
  <c r="AE14" i="1"/>
  <c r="AE13" i="1"/>
  <c r="AE10" i="1"/>
  <c r="AE9" i="1"/>
  <c r="AE6" i="1"/>
  <c r="AC35" i="1"/>
  <c r="AC34" i="1"/>
  <c r="AC33" i="1"/>
  <c r="AC32" i="1"/>
  <c r="AC31" i="1"/>
  <c r="AC30" i="1"/>
  <c r="AC28" i="1"/>
  <c r="AC27" i="1"/>
  <c r="AC26" i="1"/>
  <c r="AC25" i="1"/>
  <c r="AC24" i="1"/>
  <c r="AC23" i="1"/>
  <c r="AC22" i="1"/>
  <c r="AC21" i="1"/>
  <c r="AC20" i="1"/>
  <c r="AC19" i="1"/>
  <c r="AC17" i="1"/>
  <c r="AC16" i="1"/>
  <c r="AC15" i="1"/>
  <c r="AC14" i="1"/>
  <c r="AC12" i="1"/>
  <c r="AC11" i="1"/>
  <c r="AC10" i="1"/>
  <c r="AC8" i="1"/>
  <c r="AC7" i="1"/>
  <c r="AC6" i="1"/>
  <c r="AA35" i="1"/>
  <c r="AA34" i="1"/>
  <c r="AA33" i="1"/>
  <c r="AA32" i="1"/>
  <c r="AA31" i="1"/>
  <c r="AA30" i="1"/>
  <c r="AA29" i="1"/>
  <c r="AA28" i="1"/>
  <c r="AA27" i="1"/>
  <c r="AA25" i="1"/>
  <c r="AA24" i="1"/>
  <c r="AA23" i="1"/>
  <c r="AA22" i="1"/>
  <c r="AA20" i="1"/>
  <c r="AA19" i="1"/>
  <c r="AA18" i="1"/>
  <c r="AA17" i="1"/>
  <c r="AA16" i="1"/>
  <c r="AA15" i="1"/>
  <c r="AA13" i="1"/>
  <c r="AA12" i="1"/>
  <c r="AA11" i="1"/>
  <c r="AA9" i="1"/>
  <c r="AA8" i="1"/>
  <c r="AA7" i="1"/>
  <c r="AA6" i="1"/>
  <c r="Y35" i="1"/>
  <c r="Y34" i="1"/>
  <c r="Y33" i="1"/>
  <c r="Y32" i="1"/>
  <c r="Y31" i="1"/>
  <c r="Y29" i="1"/>
  <c r="Y28" i="1"/>
  <c r="Y27" i="1"/>
  <c r="Y25" i="1"/>
  <c r="Y24" i="1"/>
  <c r="Y23" i="1"/>
  <c r="Y21" i="1"/>
  <c r="Y20" i="1"/>
  <c r="Y19" i="1"/>
  <c r="Y18" i="1"/>
  <c r="Y17" i="1"/>
  <c r="Y16" i="1"/>
  <c r="Y14" i="1"/>
  <c r="Y13" i="1"/>
  <c r="Y12" i="1"/>
  <c r="Y11" i="1"/>
  <c r="Y10" i="1"/>
  <c r="Y9" i="1"/>
  <c r="Y8" i="1"/>
  <c r="Y7" i="1"/>
  <c r="Y6" i="1"/>
  <c r="W35" i="1"/>
  <c r="W34" i="1"/>
  <c r="W33" i="1"/>
  <c r="W32" i="1"/>
  <c r="W31" i="1"/>
  <c r="W30" i="1"/>
  <c r="W29" i="1"/>
  <c r="W28" i="1"/>
  <c r="W27" i="1"/>
  <c r="W25" i="1"/>
  <c r="W24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U35" i="1"/>
  <c r="U34" i="1"/>
  <c r="U33" i="1"/>
  <c r="U32" i="1"/>
  <c r="U30" i="1"/>
  <c r="U29" i="1"/>
  <c r="U28" i="1"/>
  <c r="U27" i="1"/>
  <c r="U25" i="1"/>
  <c r="U23" i="1"/>
  <c r="U22" i="1"/>
  <c r="U21" i="1"/>
  <c r="U20" i="1"/>
  <c r="U19" i="1"/>
  <c r="U18" i="1"/>
  <c r="U15" i="1"/>
  <c r="U14" i="1"/>
  <c r="U13" i="1"/>
  <c r="U10" i="1"/>
  <c r="U9" i="1"/>
  <c r="U8" i="1"/>
  <c r="U7" i="1"/>
  <c r="U6" i="1"/>
  <c r="S6" i="1"/>
  <c r="S7" i="1"/>
  <c r="S8" i="1"/>
  <c r="S9" i="1"/>
  <c r="S10" i="1"/>
  <c r="S11" i="1"/>
  <c r="S12" i="1"/>
  <c r="S14" i="1"/>
  <c r="S15" i="1"/>
  <c r="S16" i="1"/>
  <c r="S17" i="1"/>
  <c r="S19" i="1"/>
  <c r="S20" i="1"/>
  <c r="S21" i="1"/>
  <c r="S22" i="1"/>
  <c r="S23" i="1"/>
  <c r="S24" i="1"/>
  <c r="S27" i="1"/>
  <c r="S28" i="1"/>
  <c r="S29" i="1"/>
  <c r="S30" i="1"/>
  <c r="S31" i="1"/>
  <c r="S32" i="1"/>
  <c r="S33" i="1"/>
  <c r="S34" i="1"/>
  <c r="S35" i="1"/>
  <c r="Q7" i="1"/>
  <c r="Q8" i="1"/>
  <c r="Q9" i="1"/>
  <c r="Q10" i="1"/>
  <c r="Q11" i="1"/>
  <c r="Q12" i="1"/>
  <c r="Q13" i="1"/>
  <c r="Q15" i="1"/>
  <c r="Q16" i="1"/>
  <c r="Q17" i="1"/>
  <c r="Q18" i="1"/>
  <c r="Q21" i="1"/>
  <c r="Q22" i="1"/>
  <c r="Q23" i="1"/>
  <c r="Q24" i="1"/>
  <c r="Q25" i="1"/>
  <c r="Q27" i="1"/>
  <c r="Q29" i="1"/>
  <c r="Q30" i="1"/>
  <c r="Q31" i="1"/>
  <c r="Q32" i="1"/>
  <c r="Q33" i="1"/>
  <c r="Q34" i="1"/>
  <c r="Q35" i="1"/>
  <c r="Q6" i="1"/>
  <c r="O6" i="1"/>
  <c r="O7" i="1"/>
  <c r="O8" i="1"/>
  <c r="O9" i="1"/>
  <c r="O10" i="1"/>
  <c r="O11" i="1"/>
  <c r="O12" i="1"/>
  <c r="O13" i="1"/>
  <c r="O14" i="1"/>
  <c r="O16" i="1"/>
  <c r="O17" i="1"/>
  <c r="O18" i="1"/>
  <c r="O19" i="1"/>
  <c r="O20" i="1"/>
  <c r="O21" i="1"/>
  <c r="O22" i="1"/>
  <c r="O23" i="1"/>
  <c r="O24" i="1"/>
  <c r="O25" i="1"/>
  <c r="O27" i="1"/>
  <c r="O28" i="1"/>
  <c r="O30" i="1"/>
  <c r="O31" i="1"/>
  <c r="O33" i="1"/>
  <c r="O34" i="1"/>
  <c r="O3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2" i="1"/>
  <c r="M23" i="1"/>
  <c r="M24" i="1"/>
  <c r="M25" i="1"/>
  <c r="M26" i="1"/>
  <c r="M28" i="1"/>
  <c r="M29" i="1"/>
  <c r="M30" i="1"/>
  <c r="M31" i="1"/>
  <c r="M32" i="1"/>
  <c r="M33" i="1"/>
  <c r="M34" i="1"/>
  <c r="M35" i="1"/>
  <c r="K6" i="1"/>
  <c r="K7" i="1"/>
  <c r="K8" i="1"/>
  <c r="K9" i="1"/>
  <c r="K10" i="1"/>
  <c r="K11" i="1"/>
  <c r="K12" i="1"/>
  <c r="K13" i="1"/>
  <c r="K14" i="1"/>
  <c r="K15" i="1"/>
  <c r="K18" i="1"/>
  <c r="K19" i="1"/>
  <c r="K20" i="1"/>
  <c r="K21" i="1"/>
  <c r="K23" i="1"/>
  <c r="K24" i="1"/>
  <c r="K25" i="1"/>
  <c r="K26" i="1"/>
  <c r="K27" i="1"/>
  <c r="K28" i="1"/>
  <c r="K29" i="1"/>
  <c r="K31" i="1"/>
  <c r="K32" i="1"/>
  <c r="K34" i="1"/>
  <c r="K3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1" i="1"/>
  <c r="G22" i="1"/>
  <c r="G23" i="1"/>
  <c r="G25" i="1"/>
  <c r="G26" i="1"/>
  <c r="G27" i="1"/>
  <c r="G29" i="1"/>
  <c r="G30" i="1"/>
  <c r="G32" i="1"/>
  <c r="G33" i="1"/>
  <c r="G34" i="1"/>
  <c r="M5" i="5"/>
  <c r="Q5" i="5"/>
  <c r="I5" i="5"/>
  <c r="K5" i="5"/>
  <c r="I5" i="1"/>
  <c r="K5" i="1"/>
  <c r="M5" i="1"/>
  <c r="Q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B7" i="2"/>
  <c r="B8" i="2"/>
  <c r="B6" i="2"/>
  <c r="AA10" i="5"/>
  <c r="AC9" i="5"/>
  <c r="AG6" i="5"/>
  <c r="AE8" i="5"/>
  <c r="AE7" i="5"/>
  <c r="AC9" i="1"/>
  <c r="AA10" i="1"/>
  <c r="AG6" i="1"/>
  <c r="G19" i="1"/>
  <c r="G20" i="1"/>
  <c r="AE7" i="1"/>
  <c r="AE8" i="1"/>
  <c r="AK10" i="1"/>
  <c r="Q20" i="1"/>
  <c r="K22" i="1"/>
  <c r="Q19" i="1"/>
  <c r="I23" i="1"/>
  <c r="M21" i="1"/>
  <c r="G24" i="1"/>
  <c r="AI5" i="1"/>
  <c r="AI5" i="5"/>
  <c r="O26" i="1"/>
  <c r="AE20" i="1"/>
  <c r="AE19" i="1"/>
  <c r="AA21" i="1"/>
  <c r="W23" i="1"/>
  <c r="S25" i="1"/>
  <c r="M27" i="1"/>
  <c r="Y22" i="1"/>
  <c r="U24" i="1"/>
  <c r="I18" i="5"/>
  <c r="K16" i="5"/>
  <c r="S13" i="5"/>
  <c r="O15" i="5"/>
  <c r="U11" i="5"/>
  <c r="U12" i="5"/>
  <c r="G20" i="5"/>
  <c r="G19" i="5"/>
  <c r="K17" i="5"/>
  <c r="Q14" i="5"/>
  <c r="U12" i="1"/>
  <c r="U11" i="1"/>
  <c r="K16" i="1"/>
  <c r="O15" i="1"/>
  <c r="K17" i="1"/>
  <c r="Q14" i="1"/>
  <c r="S13" i="1"/>
  <c r="I18" i="1"/>
  <c r="G35" i="5"/>
  <c r="AG27" i="5"/>
  <c r="U31" i="5"/>
  <c r="AI26" i="5"/>
  <c r="O32" i="5"/>
  <c r="AE28" i="5"/>
  <c r="AC29" i="5"/>
  <c r="Y30" i="5"/>
  <c r="I34" i="5"/>
  <c r="K33" i="5"/>
  <c r="AE28" i="1"/>
  <c r="I34" i="1"/>
  <c r="O32" i="1"/>
  <c r="AC29" i="1"/>
  <c r="K33" i="1"/>
  <c r="Y30" i="1"/>
  <c r="G35" i="1"/>
  <c r="U31" i="1"/>
  <c r="S27" i="5"/>
  <c r="U26" i="5"/>
  <c r="G31" i="5"/>
  <c r="AE22" i="5"/>
  <c r="Q28" i="5"/>
  <c r="AA24" i="5"/>
  <c r="AG21" i="5"/>
  <c r="O29" i="5"/>
  <c r="AK20" i="5"/>
  <c r="AC23" i="5"/>
  <c r="K30" i="5"/>
  <c r="Y25" i="5"/>
  <c r="AK19" i="5"/>
  <c r="Q28" i="1"/>
  <c r="G31" i="1"/>
  <c r="O29" i="1"/>
  <c r="K30" i="1"/>
  <c r="I27" i="5"/>
  <c r="G28" i="5"/>
  <c r="AC18" i="5"/>
  <c r="K26" i="5"/>
  <c r="AI15" i="5"/>
  <c r="O25" i="5"/>
  <c r="AE17" i="5"/>
  <c r="Q24" i="5"/>
  <c r="W21" i="5"/>
  <c r="U22" i="5"/>
  <c r="AE16" i="5"/>
  <c r="S23" i="5"/>
  <c r="AK14" i="5"/>
  <c r="AA20" i="5"/>
  <c r="AA19" i="5"/>
  <c r="G28" i="1"/>
  <c r="AI15" i="1"/>
  <c r="AE17" i="1"/>
  <c r="AK14" i="1"/>
  <c r="AE16" i="1"/>
  <c r="AC18" i="1"/>
  <c r="U17" i="5"/>
  <c r="Q19" i="5"/>
  <c r="I23" i="5"/>
  <c r="AE11" i="5"/>
  <c r="M21" i="5"/>
  <c r="K22" i="5"/>
  <c r="G24" i="5"/>
  <c r="Y15" i="5"/>
  <c r="AE12" i="5"/>
  <c r="Q20" i="5"/>
  <c r="U16" i="5"/>
  <c r="AA14" i="5"/>
  <c r="AC13" i="5"/>
  <c r="S18" i="5"/>
  <c r="AE11" i="1"/>
  <c r="AA14" i="1"/>
  <c r="AE12" i="1"/>
  <c r="AC13" i="1"/>
  <c r="Y15" i="1"/>
  <c r="U17" i="1"/>
  <c r="S18" i="1"/>
  <c r="U16" i="1"/>
  <c r="AF37" i="1"/>
  <c r="AF39" i="1"/>
  <c r="B53" i="1"/>
  <c r="O3" i="7"/>
  <c r="O5" i="7"/>
  <c r="B3" i="7"/>
  <c r="B5" i="7"/>
  <c r="F37" i="1"/>
  <c r="F39" i="1"/>
  <c r="B40" i="1"/>
  <c r="T37" i="1"/>
  <c r="T39" i="1"/>
  <c r="B47" i="1"/>
  <c r="I3" i="7"/>
  <c r="I5" i="7"/>
  <c r="F37" i="5"/>
  <c r="F39" i="5"/>
  <c r="B14" i="7"/>
  <c r="B16" i="7"/>
  <c r="B20" i="7"/>
  <c r="C18" i="7"/>
  <c r="J3" i="7"/>
  <c r="J5" i="7"/>
  <c r="V37" i="1"/>
  <c r="V39" i="1"/>
  <c r="B48" i="1"/>
  <c r="K3" i="7"/>
  <c r="K5" i="7"/>
  <c r="X37" i="1"/>
  <c r="X39" i="1"/>
  <c r="B49" i="1"/>
  <c r="AF37" i="5"/>
  <c r="AF39" i="5"/>
  <c r="B73" i="5"/>
  <c r="O14" i="7"/>
  <c r="O16" i="7"/>
  <c r="AJ37" i="5"/>
  <c r="AJ39" i="5"/>
  <c r="B55" i="5"/>
  <c r="Q14" i="7"/>
  <c r="Q16" i="7"/>
  <c r="H37" i="1"/>
  <c r="H39" i="1"/>
  <c r="B41" i="1"/>
  <c r="C3" i="7"/>
  <c r="C5" i="7"/>
  <c r="L3" i="7"/>
  <c r="L5" i="7"/>
  <c r="Z37" i="1"/>
  <c r="Z39" i="1"/>
  <c r="B50" i="1"/>
  <c r="R37" i="1"/>
  <c r="R39" i="1"/>
  <c r="B46" i="1"/>
  <c r="H3" i="7"/>
  <c r="H5" i="7"/>
  <c r="I14" i="7"/>
  <c r="I16" i="7"/>
  <c r="T37" i="5"/>
  <c r="T39" i="5"/>
  <c r="X37" i="5"/>
  <c r="X39" i="5"/>
  <c r="B69" i="5"/>
  <c r="K14" i="7"/>
  <c r="K16" i="7"/>
  <c r="P37" i="5"/>
  <c r="P39" i="5"/>
  <c r="G14" i="7"/>
  <c r="G16" i="7"/>
  <c r="L37" i="5"/>
  <c r="L39" i="5"/>
  <c r="B43" i="5"/>
  <c r="E14" i="7"/>
  <c r="E16" i="7"/>
  <c r="AD37" i="5"/>
  <c r="AD39" i="5"/>
  <c r="B72" i="5"/>
  <c r="N14" i="7"/>
  <c r="N16" i="7"/>
  <c r="G3" i="7"/>
  <c r="G5" i="7"/>
  <c r="P37" i="1"/>
  <c r="P39" i="1"/>
  <c r="B45" i="1"/>
  <c r="N37" i="5"/>
  <c r="N39" i="5"/>
  <c r="F14" i="7"/>
  <c r="F16" i="7"/>
  <c r="N3" i="7"/>
  <c r="N5" i="7"/>
  <c r="AD37" i="1"/>
  <c r="AD39" i="1"/>
  <c r="B52" i="1"/>
  <c r="AB37" i="5"/>
  <c r="AB39" i="5"/>
  <c r="B51" i="5"/>
  <c r="M14" i="7"/>
  <c r="M16" i="7"/>
  <c r="R37" i="5"/>
  <c r="R39" i="5"/>
  <c r="H14" i="7"/>
  <c r="H16" i="7"/>
  <c r="M3" i="7"/>
  <c r="M5" i="7"/>
  <c r="AB37" i="1"/>
  <c r="AB39" i="1"/>
  <c r="B51" i="1"/>
  <c r="F3" i="7"/>
  <c r="F5" i="7"/>
  <c r="N37" i="1"/>
  <c r="N39" i="1"/>
  <c r="B44" i="1"/>
  <c r="D14" i="7"/>
  <c r="D16" i="7"/>
  <c r="J37" i="5"/>
  <c r="J39" i="5"/>
  <c r="P14" i="7"/>
  <c r="P16" i="7"/>
  <c r="AH37" i="5"/>
  <c r="AH39" i="5"/>
  <c r="Q3" i="7"/>
  <c r="Q5" i="7"/>
  <c r="AJ37" i="1"/>
  <c r="AJ39" i="1"/>
  <c r="B55" i="1"/>
  <c r="E3" i="7"/>
  <c r="E5" i="7"/>
  <c r="L37" i="1"/>
  <c r="L39" i="1"/>
  <c r="B43" i="1"/>
  <c r="L14" i="7"/>
  <c r="L16" i="7"/>
  <c r="Z37" i="5"/>
  <c r="Z39" i="5"/>
  <c r="B70" i="5"/>
  <c r="J14" i="7"/>
  <c r="J16" i="7"/>
  <c r="V37" i="5"/>
  <c r="V39" i="5"/>
  <c r="B48" i="5"/>
  <c r="D3" i="7"/>
  <c r="D5" i="7"/>
  <c r="J37" i="1"/>
  <c r="J39" i="1"/>
  <c r="B42" i="1"/>
  <c r="H37" i="5"/>
  <c r="H39" i="5"/>
  <c r="C14" i="7"/>
  <c r="C16" i="7"/>
  <c r="P3" i="7"/>
  <c r="P5" i="7"/>
  <c r="AH37" i="1"/>
  <c r="AH39" i="1"/>
  <c r="B54" i="1"/>
  <c r="H14" i="3"/>
  <c r="K14" i="3"/>
  <c r="H13" i="3"/>
  <c r="K13" i="3"/>
  <c r="H9" i="3"/>
  <c r="K9" i="3"/>
  <c r="H16" i="3"/>
  <c r="K16" i="3"/>
  <c r="H15" i="3"/>
  <c r="K15" i="3"/>
  <c r="H11" i="3"/>
  <c r="K11" i="3"/>
  <c r="B17" i="3"/>
  <c r="E17" i="3"/>
  <c r="H8" i="3"/>
  <c r="K8" i="3"/>
  <c r="H12" i="3"/>
  <c r="K12" i="3"/>
  <c r="H19" i="3"/>
  <c r="K19" i="3"/>
  <c r="H20" i="3"/>
  <c r="K20" i="3"/>
  <c r="H7" i="3"/>
  <c r="K7" i="3"/>
  <c r="H10" i="3"/>
  <c r="K10" i="3"/>
  <c r="B15" i="3"/>
  <c r="E15" i="3"/>
  <c r="H17" i="3"/>
  <c r="K17" i="3"/>
  <c r="B14" i="3"/>
  <c r="E14" i="3"/>
  <c r="B18" i="3"/>
  <c r="E18" i="3"/>
  <c r="H18" i="3"/>
  <c r="K18" i="3"/>
  <c r="C20" i="7"/>
  <c r="D18" i="7"/>
  <c r="E18" i="7"/>
  <c r="E20" i="7"/>
  <c r="F18" i="7"/>
  <c r="F20" i="7"/>
  <c r="G18" i="7"/>
  <c r="G20" i="7"/>
  <c r="H18" i="7"/>
  <c r="H20" i="7"/>
  <c r="I18" i="7"/>
  <c r="I20" i="7"/>
  <c r="J18" i="7"/>
  <c r="J20" i="7"/>
  <c r="K18" i="7"/>
  <c r="B63" i="5"/>
  <c r="B9" i="7"/>
  <c r="C7" i="7"/>
  <c r="C9" i="7"/>
  <c r="D7" i="7"/>
  <c r="D9" i="7"/>
  <c r="B74" i="5"/>
  <c r="B54" i="5"/>
  <c r="B53" i="5"/>
  <c r="B68" i="5"/>
  <c r="H5" i="3"/>
  <c r="K5" i="3"/>
  <c r="B75" i="5"/>
  <c r="B50" i="5"/>
  <c r="B49" i="5"/>
  <c r="B52" i="5"/>
  <c r="B71" i="5"/>
  <c r="B40" i="5"/>
  <c r="B60" i="5"/>
  <c r="H6" i="3"/>
  <c r="K6" i="3"/>
  <c r="B56" i="1"/>
  <c r="B41" i="5"/>
  <c r="B61" i="5"/>
  <c r="B65" i="5"/>
  <c r="B45" i="5"/>
  <c r="B66" i="5"/>
  <c r="B46" i="5"/>
  <c r="B62" i="5"/>
  <c r="B42" i="5"/>
  <c r="B44" i="5"/>
  <c r="B64" i="5"/>
  <c r="B47" i="5"/>
  <c r="B67" i="5"/>
  <c r="B11" i="3"/>
  <c r="E11" i="3"/>
  <c r="B7" i="3"/>
  <c r="E7" i="3"/>
  <c r="B6" i="3"/>
  <c r="E6" i="3"/>
  <c r="B20" i="3"/>
  <c r="E20" i="3"/>
  <c r="B10" i="3"/>
  <c r="E10" i="3"/>
  <c r="B13" i="3"/>
  <c r="E13" i="3"/>
  <c r="B12" i="3"/>
  <c r="E12" i="3"/>
  <c r="B19" i="3"/>
  <c r="E19" i="3"/>
  <c r="B9" i="3"/>
  <c r="E9" i="3"/>
  <c r="B5" i="3"/>
  <c r="E5" i="3"/>
  <c r="B8" i="3"/>
  <c r="E8" i="3"/>
  <c r="B16" i="3"/>
  <c r="E16" i="3"/>
  <c r="K21" i="3"/>
  <c r="K20" i="7"/>
  <c r="L18" i="7"/>
  <c r="E7" i="7"/>
  <c r="E9" i="7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B56" i="5"/>
  <c r="B76" i="5"/>
  <c r="H21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B21" i="3"/>
  <c r="E21" i="3"/>
  <c r="L20" i="7"/>
  <c r="M18" i="7"/>
  <c r="M20" i="7"/>
  <c r="N18" i="7"/>
  <c r="N20" i="7"/>
  <c r="O18" i="7"/>
  <c r="O20" i="7"/>
  <c r="P18" i="7"/>
  <c r="P20" i="7"/>
  <c r="F7" i="7"/>
  <c r="F9" i="7"/>
  <c r="G7" i="7"/>
  <c r="G9" i="7"/>
  <c r="Q18" i="7"/>
  <c r="Q20" i="7"/>
  <c r="H7" i="7"/>
  <c r="H9" i="7"/>
  <c r="I7" i="7"/>
  <c r="I9" i="7"/>
  <c r="J7" i="7"/>
  <c r="J9" i="7"/>
  <c r="K7" i="7"/>
  <c r="K9" i="7"/>
  <c r="L7" i="7"/>
  <c r="L9" i="7"/>
  <c r="M7" i="7"/>
  <c r="M9" i="7"/>
  <c r="N7" i="7"/>
  <c r="N9" i="7"/>
  <c r="O7" i="7"/>
  <c r="O9" i="7"/>
  <c r="P7" i="7"/>
  <c r="P9" i="7"/>
  <c r="Q7" i="7"/>
  <c r="Q9" i="7"/>
</calcChain>
</file>

<file path=xl/sharedStrings.xml><?xml version="1.0" encoding="utf-8"?>
<sst xmlns="http://schemas.openxmlformats.org/spreadsheetml/2006/main" count="557" uniqueCount="101">
  <si>
    <t>Essence</t>
  </si>
  <si>
    <t>Age</t>
  </si>
  <si>
    <t>Surface</t>
  </si>
  <si>
    <t>Propriétaire</t>
  </si>
  <si>
    <t>GF DE TABARTHON</t>
  </si>
  <si>
    <t>13 ans</t>
  </si>
  <si>
    <t>18 ans</t>
  </si>
  <si>
    <t>23 ans</t>
  </si>
  <si>
    <t>28 ans</t>
  </si>
  <si>
    <t>35 ans</t>
  </si>
  <si>
    <t>BOUTAUD DE LA COMBE</t>
  </si>
  <si>
    <t>Interv.</t>
  </si>
  <si>
    <t>Budget</t>
  </si>
  <si>
    <t>Eclaircie 1</t>
  </si>
  <si>
    <t>Revenus</t>
  </si>
  <si>
    <t>Pondération</t>
  </si>
  <si>
    <t>Eclaircie 2</t>
  </si>
  <si>
    <t>Eclaircie 3</t>
  </si>
  <si>
    <t>Eclaircie 4</t>
  </si>
  <si>
    <t>Prix/St</t>
  </si>
  <si>
    <t>CR</t>
  </si>
  <si>
    <t>Echeance Finale Courte Rotation</t>
  </si>
  <si>
    <t>25  ans</t>
  </si>
  <si>
    <t>RBST</t>
  </si>
  <si>
    <t>ENT1</t>
  </si>
  <si>
    <t>ENT2</t>
  </si>
  <si>
    <t>par ha</t>
  </si>
  <si>
    <t>FRAIS DE GESTION</t>
  </si>
  <si>
    <t>ASSURANCE</t>
  </si>
  <si>
    <t>Par an</t>
  </si>
  <si>
    <t>prix final</t>
  </si>
  <si>
    <t>Coupe Rase</t>
  </si>
  <si>
    <t>TAXE FONCIERES</t>
  </si>
  <si>
    <t>DFCI</t>
  </si>
  <si>
    <t>EC1</t>
  </si>
  <si>
    <t>EC2</t>
  </si>
  <si>
    <t>EC3</t>
  </si>
  <si>
    <t>EC4</t>
  </si>
  <si>
    <t>FRAIS DIVERS</t>
  </si>
  <si>
    <t>N+2</t>
  </si>
  <si>
    <t>N+4</t>
  </si>
  <si>
    <t>N+1</t>
  </si>
  <si>
    <t>CRCT</t>
  </si>
  <si>
    <t>DGT</t>
  </si>
  <si>
    <t>Année Instalation</t>
  </si>
  <si>
    <t>Année Reference</t>
  </si>
  <si>
    <t>Surface totale</t>
  </si>
  <si>
    <t>résineux</t>
  </si>
  <si>
    <t>0-4 ans</t>
  </si>
  <si>
    <t>5-9 ans</t>
  </si>
  <si>
    <t>10-14 ans</t>
  </si>
  <si>
    <t>15-19 ans</t>
  </si>
  <si>
    <t>20-24 ans</t>
  </si>
  <si>
    <t>25-29 ans</t>
  </si>
  <si>
    <t>30-34 ans</t>
  </si>
  <si>
    <t>35-39 ans</t>
  </si>
  <si>
    <t>45-49 ans</t>
  </si>
  <si>
    <t>LSA</t>
  </si>
  <si>
    <t>Feuillus</t>
  </si>
  <si>
    <t>Total (deux propriétés)</t>
  </si>
  <si>
    <t>Cumul</t>
  </si>
  <si>
    <t>Revenus annuels</t>
  </si>
  <si>
    <t>Sylviculture classique</t>
  </si>
  <si>
    <t>conv st/T</t>
  </si>
  <si>
    <t>Prix T</t>
  </si>
  <si>
    <t>st</t>
  </si>
  <si>
    <t>kg</t>
  </si>
  <si>
    <t>m3</t>
  </si>
  <si>
    <t>con st/m3</t>
  </si>
  <si>
    <t>Prix m3</t>
  </si>
  <si>
    <t>prix (1) st</t>
  </si>
  <si>
    <t>prix (2) m3</t>
  </si>
  <si>
    <t>Prix marché 2021</t>
  </si>
  <si>
    <t>prix T</t>
  </si>
  <si>
    <t>10 ans/1,5%</t>
  </si>
  <si>
    <t>Total</t>
  </si>
  <si>
    <t>Total emprunt sur 20 ans par an</t>
  </si>
  <si>
    <t>Remboursement emprunt</t>
  </si>
  <si>
    <t>Etude cash flow courte rotation</t>
  </si>
  <si>
    <t>Emprunt</t>
  </si>
  <si>
    <t>Trésorie</t>
  </si>
  <si>
    <t>Cash flow</t>
  </si>
  <si>
    <t>Frais fixe</t>
  </si>
  <si>
    <t>Total coupe et travaux</t>
  </si>
  <si>
    <t>Total (frais fixe et coupe)</t>
  </si>
  <si>
    <t>Année</t>
  </si>
  <si>
    <t>Etude cash flow sylviculture classique</t>
  </si>
  <si>
    <t>Dividende</t>
  </si>
  <si>
    <t>BOUTAUD/TABARTHON</t>
  </si>
  <si>
    <t>PM</t>
  </si>
  <si>
    <t>Volume exploité(St)</t>
  </si>
  <si>
    <t>BUDGET PREVISIONNEL COURTE ROTATION</t>
  </si>
  <si>
    <t>BUDGET PREVISIONNEL SYLVICULTURE CLASSIQUE</t>
  </si>
  <si>
    <t>BILAN/AN</t>
  </si>
  <si>
    <t>TOTAUX</t>
  </si>
  <si>
    <t>/</t>
  </si>
  <si>
    <t>Sylviculture avec courte rotation pour pins 
de 15 à 25 ans</t>
  </si>
  <si>
    <t>Budget Previ. Sylviculture classique</t>
  </si>
  <si>
    <t xml:space="preserve">Age </t>
  </si>
  <si>
    <t>Surface(Ha)</t>
  </si>
  <si>
    <t xml:space="preserve">Classe d'Age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</si>
</sst>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0.0000"/>
    <numFmt numFmtId="165" formatCode="#,##0.0\ &quot;€&quot;;[Red]\-#,##0.0\ &quot;€&quot;"/>
    <numFmt numFmtId="166" formatCode="#,##0_ ;[Red]\-#,##0\ "/>
    <numFmt numFmtId="167" formatCode="#,##0\ &quot;€&quot;"/>
    <numFmt numFmtId="168" formatCode="#,##0\ &quot;€&quot;;[Red]#,##0\ &quot;€&quot;"/>
    <numFmt numFmtId="169" formatCode="#,##0.00\ &quot;€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6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0" fontId="5" fillId="0" borderId="0" xfId="0" applyFont="1"/>
    <xf numFmtId="9" fontId="0" fillId="0" borderId="0" xfId="1" applyFont="1" applyAlignment="1"/>
    <xf numFmtId="9" fontId="0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6" fontId="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1" fontId="6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7" fillId="0" borderId="0" xfId="0" applyFont="1"/>
    <xf numFmtId="164" fontId="6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6" fontId="0" fillId="0" borderId="1" xfId="0" applyNumberFormat="1" applyBorder="1" applyAlignment="1">
      <alignment horizontal="center"/>
    </xf>
    <xf numFmtId="6" fontId="0" fillId="0" borderId="1" xfId="0" applyNumberFormat="1" applyBorder="1"/>
    <xf numFmtId="6" fontId="0" fillId="0" borderId="4" xfId="0" applyNumberFormat="1" applyBorder="1" applyAlignment="1">
      <alignment horizontal="center" vertical="center"/>
    </xf>
    <xf numFmtId="0" fontId="9" fillId="0" borderId="0" xfId="0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6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1" fontId="0" fillId="2" borderId="0" xfId="0" applyNumberFormat="1" applyFill="1"/>
    <xf numFmtId="165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68" fontId="0" fillId="0" borderId="13" xfId="0" applyNumberFormat="1" applyBorder="1"/>
    <xf numFmtId="0" fontId="0" fillId="0" borderId="14" xfId="0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3" borderId="15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6" xfId="0" applyBorder="1" applyAlignment="1">
      <alignment horizontal="center"/>
    </xf>
    <xf numFmtId="168" fontId="0" fillId="5" borderId="2" xfId="0" applyNumberFormat="1" applyFill="1" applyBorder="1" applyAlignment="1">
      <alignment horizontal="center"/>
    </xf>
    <xf numFmtId="168" fontId="0" fillId="5" borderId="17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0" fillId="0" borderId="21" xfId="0" applyBorder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6" fontId="3" fillId="2" borderId="1" xfId="0" applyNumberFormat="1" applyFont="1" applyFill="1" applyBorder="1" applyAlignment="1">
      <alignment horizontal="center" vertical="center"/>
    </xf>
    <xf numFmtId="6" fontId="0" fillId="0" borderId="1" xfId="0" quotePrefix="1" applyNumberFormat="1" applyBorder="1"/>
    <xf numFmtId="0" fontId="10" fillId="0" borderId="0" xfId="0" applyFont="1" applyAlignment="1">
      <alignment vertical="center"/>
    </xf>
    <xf numFmtId="0" fontId="12" fillId="0" borderId="1" xfId="0" applyFont="1" applyBorder="1" applyAlignment="1">
      <alignment horizontal="center"/>
    </xf>
    <xf numFmtId="169" fontId="14" fillId="0" borderId="0" xfId="0" applyNumberFormat="1" applyFont="1"/>
    <xf numFmtId="0" fontId="14" fillId="0" borderId="0" xfId="0" applyFont="1"/>
    <xf numFmtId="168" fontId="15" fillId="0" borderId="0" xfId="0" applyNumberFormat="1" applyFont="1"/>
    <xf numFmtId="0" fontId="15" fillId="0" borderId="0" xfId="0" applyFont="1"/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6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0" fillId="0" borderId="0" xfId="0" applyFont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7" fontId="6" fillId="0" borderId="4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7" fontId="6" fillId="0" borderId="6" xfId="0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PREVISIONNEL SYLVICULTURE CLASSIQUE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8142409867536335E-2"/>
          <c:y val="0.12350514578214919"/>
          <c:w val="0.9193759452757515"/>
          <c:h val="0.787805320795555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224352160862653E-2"/>
                  <c:y val="6.86071953651239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1B-4B99-87E3-9919B3DFC632}"/>
                </c:ext>
              </c:extLst>
            </c:dLbl>
            <c:dLbl>
              <c:idx val="1"/>
              <c:layout>
                <c:manualLayout>
                  <c:x val="-3.0224352160862653E-2"/>
                  <c:y val="-4.40221766790132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D1B-4B99-87E3-9919B3DFC632}"/>
                </c:ext>
              </c:extLst>
            </c:dLbl>
            <c:dLbl>
              <c:idx val="2"/>
              <c:layout>
                <c:manualLayout>
                  <c:x val="-2.4333015788494523E-2"/>
                  <c:y val="-5.8100848184530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1B-4B99-87E3-9919B3DFC632}"/>
                </c:ext>
              </c:extLst>
            </c:dLbl>
            <c:dLbl>
              <c:idx val="3"/>
              <c:layout>
                <c:manualLayout>
                  <c:x val="-3.194367416970776E-2"/>
                  <c:y val="3.69301844777102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D1B-4B99-87E3-9919B3DFC632}"/>
                </c:ext>
              </c:extLst>
            </c:dLbl>
            <c:dLbl>
              <c:idx val="4"/>
              <c:layout>
                <c:manualLayout>
                  <c:x val="-3.7713339074890016E-2"/>
                  <c:y val="-6.5140183937289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1B-4B99-87E3-9919B3DFC632}"/>
                </c:ext>
              </c:extLst>
            </c:dLbl>
            <c:dLbl>
              <c:idx val="5"/>
              <c:layout>
                <c:manualLayout>
                  <c:x val="-3.0224352160862653E-2"/>
                  <c:y val="-5.45811803081512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1B-4B99-87E3-9919B3DFC632}"/>
                </c:ext>
              </c:extLst>
            </c:dLbl>
            <c:dLbl>
              <c:idx val="6"/>
              <c:layout>
                <c:manualLayout>
                  <c:x val="-2.0239036275492901E-2"/>
                  <c:y val="4.39695202304689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D1B-4B99-87E3-9919B3DFC632}"/>
                </c:ext>
              </c:extLst>
            </c:dLbl>
            <c:dLbl>
              <c:idx val="7"/>
              <c:layout>
                <c:manualLayout>
                  <c:x val="-3.0573838216850596E-2"/>
                  <c:y val="-4.7541844555392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D1B-4B99-87E3-9919B3DFC632}"/>
                </c:ext>
              </c:extLst>
            </c:dLbl>
            <c:dLbl>
              <c:idx val="9"/>
              <c:layout>
                <c:manualLayout>
                  <c:x val="-3.431833167386425E-2"/>
                  <c:y val="-4.7541844555392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1B-4B99-87E3-9919B3DFC632}"/>
                </c:ext>
              </c:extLst>
            </c:dLbl>
            <c:dLbl>
              <c:idx val="11"/>
              <c:layout>
                <c:manualLayout>
                  <c:x val="1.8784384106011948E-3"/>
                  <c:y val="-8.825497915220347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1B-4B99-87E3-9919B3DFC632}"/>
                </c:ext>
              </c:extLst>
            </c:dLbl>
            <c:dLbl>
              <c:idx val="12"/>
              <c:layout>
                <c:manualLayout>
                  <c:x val="-7.5507759701014476E-2"/>
                  <c:y val="8.77284146667609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1B-4B99-87E3-9919B3DFC632}"/>
                </c:ext>
              </c:extLst>
            </c:dLbl>
            <c:dLbl>
              <c:idx val="13"/>
              <c:layout>
                <c:manualLayout>
                  <c:x val="-3.2720681132205089E-2"/>
                  <c:y val="6.1567859612365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1B-4B99-87E3-9919B3DFC632}"/>
                </c:ext>
              </c:extLst>
            </c:dLbl>
            <c:dLbl>
              <c:idx val="14"/>
              <c:layout>
                <c:manualLayout>
                  <c:x val="-3.3070167188193035E-2"/>
                  <c:y val="-4.75418445553925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1B-4B99-87E3-9919B3DFC632}"/>
                </c:ext>
              </c:extLst>
            </c:dLbl>
            <c:dLbl>
              <c:idx val="15"/>
              <c:layout>
                <c:manualLayout>
                  <c:x val="-2.2374282072004335E-2"/>
                  <c:y val="2.9890848724951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1B-4B99-87E3-9919B3DFC6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'BUDGET SYLV CLASSIQUE'!$F$36:$AK$36</c15:sqref>
                  </c15:fullRef>
                </c:ext>
              </c:extLst>
              <c:f>('BUDGET SYLV CLASSIQUE'!$F$36,'BUDGET SYLV CLASSIQUE'!$H$36,'BUDGET SYLV CLASSIQUE'!$J$36,'BUDGET SYLV CLASSIQUE'!$L$36,'BUDGET SYLV CLASSIQUE'!$N$36,'BUDGET SYLV CLASSIQUE'!$P$36,'BUDGET SYLV CLASSIQUE'!$R$36,'BUDGET SYLV CLASSIQUE'!$T$36,'BUDGET SYLV CLASSIQUE'!$V$36,'BUDGET SYLV CLASSIQUE'!$X$36,'BUDGET SYLV CLASSIQUE'!$Z$36,'BUDGET SYLV CLASSIQUE'!$AB$36,'BUDGET SYLV CLASSIQUE'!$AD$36,'BUDGET SYLV CLASSIQUE'!$AF$36,'BUDGET SYLV CLASSIQUE'!$AH$36,'BUDGET SYLV CLASSIQUE'!$AJ$36)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'BUDGET SYLV CLASSIQUE'!$F$39:$AK$39</c15:sqref>
                  </c15:fullRef>
                </c:ext>
              </c:extLst>
              <c:f>('BUDGET SYLV CLASSIQUE'!$F$39,'BUDGET SYLV CLASSIQUE'!$H$39,'BUDGET SYLV CLASSIQUE'!$J$39,'BUDGET SYLV CLASSIQUE'!$L$39,'BUDGET SYLV CLASSIQUE'!$N$39,'BUDGET SYLV CLASSIQUE'!$P$39,'BUDGET SYLV CLASSIQUE'!$R$39,'BUDGET SYLV CLASSIQUE'!$T$39,'BUDGET SYLV CLASSIQUE'!$V$39,'BUDGET SYLV CLASSIQUE'!$X$39,'BUDGET SYLV CLASSIQUE'!$Z$39,'BUDGET SYLV CLASSIQUE'!$AB$39,'BUDGET SYLV CLASSIQUE'!$AD$39,'BUDGET SYLV CLASSIQUE'!$AF$39,'BUDGET SYLV CLASSIQUE'!$AH$39,'BUDGET SYLV CLASSIQUE'!$AJ$39)</c:f>
              <c:numCache>
                <c:formatCode>General</c:formatCode>
                <c:ptCount val="16"/>
                <c:pt idx="0" formatCode="&quot;€&quot;#,##0_);[Red]\(&quot;€&quot;#,##0\)">
                  <c:v>78624.892700000011</c:v>
                </c:pt>
                <c:pt idx="1" formatCode="&quot;€&quot;#,##0_);[Red]\(&quot;€&quot;#,##0\)">
                  <c:v>99306.880799999984</c:v>
                </c:pt>
                <c:pt idx="2" formatCode="&quot;€&quot;#,##0_);[Red]\(&quot;€&quot;#,##0\)">
                  <c:v>107061.84589999999</c:v>
                </c:pt>
                <c:pt idx="3" formatCode="&quot;€&quot;#,##0_);[Red]\(&quot;€&quot;#,##0\)">
                  <c:v>-25236.100999999995</c:v>
                </c:pt>
                <c:pt idx="4" formatCode="&quot;€&quot;#,##0_);[Red]\(&quot;€&quot;#,##0\)">
                  <c:v>54192.04789999999</c:v>
                </c:pt>
                <c:pt idx="5" formatCode="&quot;€&quot;#,##0_);[Red]\(&quot;€&quot;#,##0\)">
                  <c:v>85606.494499999986</c:v>
                </c:pt>
                <c:pt idx="6" formatCode="&quot;€&quot;#,##0_);[Red]\(&quot;€&quot;#,##0\)">
                  <c:v>74685.171400000007</c:v>
                </c:pt>
                <c:pt idx="7" formatCode="&quot;€&quot;#,##0_);[Red]\(&quot;€&quot;#,##0\)">
                  <c:v>210272.18640000004</c:v>
                </c:pt>
                <c:pt idx="8" formatCode="&quot;€&quot;#,##0_);[Red]\(&quot;€&quot;#,##0\)">
                  <c:v>15254.461800000005</c:v>
                </c:pt>
                <c:pt idx="9" formatCode="&quot;€&quot;#,##0_);[Red]\(&quot;€&quot;#,##0\)">
                  <c:v>127241.25599999999</c:v>
                </c:pt>
                <c:pt idx="10" formatCode="&quot;€&quot;#,##0_);[Red]\(&quot;€&quot;#,##0\)">
                  <c:v>49500.732000000004</c:v>
                </c:pt>
                <c:pt idx="11" formatCode="&quot;€&quot;#,##0_);[Red]\(&quot;€&quot;#,##0\)">
                  <c:v>373213.57279999997</c:v>
                </c:pt>
                <c:pt idx="12" formatCode="&quot;€&quot;#,##0_);[Red]\(&quot;€&quot;#,##0\)">
                  <c:v>663003.71619999991</c:v>
                </c:pt>
                <c:pt idx="13" formatCode="&quot;€&quot;#,##0_);[Red]\(&quot;€&quot;#,##0\)">
                  <c:v>62666.428400000004</c:v>
                </c:pt>
                <c:pt idx="14" formatCode="&quot;€&quot;#,##0_);[Red]\(&quot;€&quot;#,##0\)">
                  <c:v>145308.03580000004</c:v>
                </c:pt>
                <c:pt idx="15" formatCode="&quot;€&quot;#,##0_);[Red]\(&quot;€&quot;#,##0\)">
                  <c:v>-37029.999400000001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B-4B99-87E3-9919B3DFC632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23039"/>
        <c:axId val="15932191"/>
      </c:lineChart>
      <c:catAx>
        <c:axId val="1592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2191"/>
        <c:crosses val="autoZero"/>
        <c:auto val="1"/>
        <c:lblAlgn val="ctr"/>
        <c:lblOffset val="100"/>
        <c:noMultiLvlLbl val="0"/>
      </c:catAx>
      <c:valAx>
        <c:axId val="1593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PREVISIONNEL COURTE ROTATION</a:t>
            </a:r>
          </a:p>
        </c:rich>
      </c:tx>
      <c:layout>
        <c:manualLayout>
          <c:xMode val="edge"/>
          <c:yMode val="edge"/>
          <c:x val="0.39098600192946248"/>
          <c:y val="2.2157043424606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3562256723380431E-2"/>
                  <c:y val="4.6132883524028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09E-48EF-902F-A87BF64B1344}"/>
                </c:ext>
              </c:extLst>
            </c:dLbl>
            <c:dLbl>
              <c:idx val="1"/>
              <c:layout>
                <c:manualLayout>
                  <c:x val="-2.9862582848175969E-2"/>
                  <c:y val="5.7211405236331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09E-48EF-902F-A87BF64B1344}"/>
                </c:ext>
              </c:extLst>
            </c:dLbl>
            <c:dLbl>
              <c:idx val="2"/>
              <c:layout>
                <c:manualLayout>
                  <c:x val="-2.986258284817599E-2"/>
                  <c:y val="-4.9880971315933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09E-48EF-902F-A87BF64B1344}"/>
                </c:ext>
              </c:extLst>
            </c:dLbl>
            <c:dLbl>
              <c:idx val="3"/>
              <c:layout>
                <c:manualLayout>
                  <c:x val="-2.9862582848175969E-2"/>
                  <c:y val="5.7211405236331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09E-48EF-902F-A87BF64B1344}"/>
                </c:ext>
              </c:extLst>
            </c:dLbl>
            <c:dLbl>
              <c:idx val="4"/>
              <c:layout>
                <c:manualLayout>
                  <c:x val="-3.267433499333141E-2"/>
                  <c:y val="-3.8802449603630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09E-48EF-902F-A87BF64B1344}"/>
                </c:ext>
              </c:extLst>
            </c:dLbl>
            <c:dLbl>
              <c:idx val="5"/>
              <c:layout>
                <c:manualLayout>
                  <c:x val="-3.4795481348448586E-2"/>
                  <c:y val="4.6132883524028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09E-48EF-902F-A87BF64B1344}"/>
                </c:ext>
              </c:extLst>
            </c:dLbl>
            <c:dLbl>
              <c:idx val="6"/>
              <c:layout>
                <c:manualLayout>
                  <c:x val="-1.8418258327543489E-2"/>
                  <c:y val="4.613288352402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09E-48EF-902F-A87BF64B1344}"/>
                </c:ext>
              </c:extLst>
            </c:dLbl>
            <c:dLbl>
              <c:idx val="7"/>
              <c:layout>
                <c:manualLayout>
                  <c:x val="-3.2674334993331361E-2"/>
                  <c:y val="-3.8802449603630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09E-48EF-902F-A87BF64B1344}"/>
                </c:ext>
              </c:extLst>
            </c:dLbl>
            <c:dLbl>
              <c:idx val="8"/>
              <c:layout>
                <c:manualLayout>
                  <c:x val="-2.7396133598039659E-2"/>
                  <c:y val="6.0904245807099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09E-48EF-902F-A87BF64B1344}"/>
                </c:ext>
              </c:extLst>
            </c:dLbl>
            <c:dLbl>
              <c:idx val="9"/>
              <c:layout>
                <c:manualLayout>
                  <c:x val="-3.2674334993331361E-2"/>
                  <c:y val="-2.40310873205592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9E-48EF-902F-A87BF64B1344}"/>
                </c:ext>
              </c:extLst>
            </c:dLbl>
            <c:dLbl>
              <c:idx val="10"/>
              <c:layout>
                <c:manualLayout>
                  <c:x val="-4.8706255119217376E-2"/>
                  <c:y val="4.6132883524028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09E-48EF-902F-A87BF64B1344}"/>
                </c:ext>
              </c:extLst>
            </c:dLbl>
            <c:dLbl>
              <c:idx val="11"/>
              <c:layout>
                <c:manualLayout>
                  <c:x val="-2.8974661118126986E-2"/>
                  <c:y val="5.72114052363316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09E-48EF-902F-A87BF64B1344}"/>
                </c:ext>
              </c:extLst>
            </c:dLbl>
            <c:dLbl>
              <c:idx val="12"/>
              <c:layout>
                <c:manualLayout>
                  <c:x val="-3.2674334993331451E-2"/>
                  <c:y val="-3.51096090328625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9E-48EF-902F-A87BF64B1344}"/>
                </c:ext>
              </c:extLst>
            </c:dLbl>
            <c:dLbl>
              <c:idx val="13"/>
              <c:layout>
                <c:manualLayout>
                  <c:x val="-3.4795481348448586E-2"/>
                  <c:y val="4.61328835240283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09E-48EF-902F-A87BF64B1344}"/>
                </c:ext>
              </c:extLst>
            </c:dLbl>
            <c:dLbl>
              <c:idx val="14"/>
              <c:layout>
                <c:manualLayout>
                  <c:x val="-2.4161977742723124E-2"/>
                  <c:y val="-5.726665245746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09E-48EF-902F-A87BF64B1344}"/>
                </c:ext>
              </c:extLst>
            </c:dLbl>
            <c:dLbl>
              <c:idx val="15"/>
              <c:layout>
                <c:manualLayout>
                  <c:x val="-1.261472266283317E-2"/>
                  <c:y val="-5.7266652457469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09E-48EF-902F-A87BF64B13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'BUDGET SYLV CRTE ROTATION'!$F$36:$AK$36</c15:sqref>
                  </c15:fullRef>
                </c:ext>
              </c:extLst>
              <c:f>('BUDGET SYLV CRTE ROTATION'!$F$36,'BUDGET SYLV CRTE ROTATION'!$H$36,'BUDGET SYLV CRTE ROTATION'!$J$36,'BUDGET SYLV CRTE ROTATION'!$L$36,'BUDGET SYLV CRTE ROTATION'!$N$36,'BUDGET SYLV CRTE ROTATION'!$P$36,'BUDGET SYLV CRTE ROTATION'!$R$36,'BUDGET SYLV CRTE ROTATION'!$T$36,'BUDGET SYLV CRTE ROTATION'!$V$36,'BUDGET SYLV CRTE ROTATION'!$X$36,'BUDGET SYLV CRTE ROTATION'!$Z$36,'BUDGET SYLV CRTE ROTATION'!$AB$36,'BUDGET SYLV CRTE ROTATION'!$AD$36,'BUDGET SYLV CRTE ROTATION'!$AF$36,'BUDGET SYLV CRTE ROTATION'!$AH$36,'BUDGET SYLV CRTE ROTATION'!$AJ$36)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'BUDGET SYLV CRTE ROTATION'!$F$39:$AK$39</c15:sqref>
                  </c15:fullRef>
                </c:ext>
              </c:extLst>
              <c:f>('BUDGET SYLV CRTE ROTATION'!$F$39,'BUDGET SYLV CRTE ROTATION'!$H$39,'BUDGET SYLV CRTE ROTATION'!$J$39,'BUDGET SYLV CRTE ROTATION'!$L$39,'BUDGET SYLV CRTE ROTATION'!$N$39,'BUDGET SYLV CRTE ROTATION'!$P$39,'BUDGET SYLV CRTE ROTATION'!$R$39,'BUDGET SYLV CRTE ROTATION'!$T$39,'BUDGET SYLV CRTE ROTATION'!$V$39,'BUDGET SYLV CRTE ROTATION'!$X$39,'BUDGET SYLV CRTE ROTATION'!$Z$39,'BUDGET SYLV CRTE ROTATION'!$AB$39,'BUDGET SYLV CRTE ROTATION'!$AD$39,'BUDGET SYLV CRTE ROTATION'!$AF$39,'BUDGET SYLV CRTE ROTATION'!$AH$39,'BUDGET SYLV CRTE ROTATION'!$AJ$39)</c:f>
              <c:numCache>
                <c:formatCode>General</c:formatCode>
                <c:ptCount val="16"/>
                <c:pt idx="0" formatCode="&quot;€&quot;#,##0_);[Red]\(&quot;€&quot;#,##0\)">
                  <c:v>78624.892700000011</c:v>
                </c:pt>
                <c:pt idx="1" formatCode="&quot;€&quot;#,##0_);[Red]\(&quot;€&quot;#,##0\)">
                  <c:v>82360.474399999992</c:v>
                </c:pt>
                <c:pt idx="2" formatCode="&quot;€&quot;#,##0_);[Red]\(&quot;€&quot;#,##0\)">
                  <c:v>84064.841099999991</c:v>
                </c:pt>
                <c:pt idx="3" formatCode="&quot;€&quot;#,##0_);[Red]\(&quot;€&quot;#,##0\)">
                  <c:v>52996.599000000002</c:v>
                </c:pt>
                <c:pt idx="4" formatCode="&quot;€&quot;#,##0_);[Red]\(&quot;€&quot;#,##0\)">
                  <c:v>159143.50189999997</c:v>
                </c:pt>
                <c:pt idx="5" formatCode="&quot;€&quot;#,##0_);[Red]\(&quot;€&quot;#,##0\)">
                  <c:v>25867.925700000007</c:v>
                </c:pt>
                <c:pt idx="6" formatCode="&quot;€&quot;#,##0_);[Red]\(&quot;€&quot;#,##0\)">
                  <c:v>9603.459600000002</c:v>
                </c:pt>
                <c:pt idx="7" formatCode="&quot;€&quot;#,##0_);[Red]\(&quot;€&quot;#,##0\)">
                  <c:v>254686.68629999994</c:v>
                </c:pt>
                <c:pt idx="8" formatCode="&quot;€&quot;#,##0_);[Red]\(&quot;€&quot;#,##0\)">
                  <c:v>89604.436000000002</c:v>
                </c:pt>
                <c:pt idx="9" formatCode="&quot;€&quot;#,##0_);[Red]\(&quot;€&quot;#,##0\)">
                  <c:v>602439.70400000003</c:v>
                </c:pt>
                <c:pt idx="10" formatCode="&quot;€&quot;#,##0_);[Red]\(&quot;€&quot;#,##0\)">
                  <c:v>177267.50790000006</c:v>
                </c:pt>
                <c:pt idx="11" formatCode="&quot;€&quot;#,##0_);[Red]\(&quot;€&quot;#,##0\)">
                  <c:v>168751.11009999996</c:v>
                </c:pt>
                <c:pt idx="12" formatCode="&quot;€&quot;#,##0_);[Red]\(&quot;€&quot;#,##0\)">
                  <c:v>526692.13689999992</c:v>
                </c:pt>
                <c:pt idx="13" formatCode="&quot;€&quot;#,##0_);[Red]\(&quot;€&quot;#,##0\)">
                  <c:v>83490.745900000009</c:v>
                </c:pt>
                <c:pt idx="14" formatCode="&quot;€&quot;#,##0_);[Red]\(&quot;€&quot;#,##0\)">
                  <c:v>-34020.105399999993</c:v>
                </c:pt>
                <c:pt idx="15" formatCode="&quot;€&quot;#,##0_);[Red]\(&quot;€&quot;#,##0\)">
                  <c:v>-54478.960500000001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E-48EF-902F-A87BF64B134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936351"/>
        <c:axId val="15946335"/>
      </c:lineChart>
      <c:catAx>
        <c:axId val="1593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46335"/>
        <c:crosses val="autoZero"/>
        <c:auto val="1"/>
        <c:lblAlgn val="ctr"/>
        <c:lblOffset val="100"/>
        <c:noMultiLvlLbl val="0"/>
      </c:catAx>
      <c:valAx>
        <c:axId val="1594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Graphique comparatif</a:t>
            </a:r>
          </a:p>
        </c:rich>
      </c:tx>
      <c:layout>
        <c:manualLayout>
          <c:xMode val="edge"/>
          <c:yMode val="edge"/>
          <c:x val="0.45010179909329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1386812362740371E-2"/>
          <c:y val="5.0723578831057325E-2"/>
          <c:w val="0.92772883389576299"/>
          <c:h val="0.84778314086074802"/>
        </c:manualLayout>
      </c:layout>
      <c:lineChart>
        <c:grouping val="standard"/>
        <c:varyColors val="0"/>
        <c:ser>
          <c:idx val="0"/>
          <c:order val="0"/>
          <c:tx>
            <c:v>Cash flow Sylviculture classique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'Cash flow'!$B$13:$Q$13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'Cash flow'!$B$20:$Q$20</c:f>
              <c:numCache>
                <c:formatCode>#\ ##0\ "€";[Red]#\ ##0\ "€"</c:formatCode>
                <c:ptCount val="16"/>
                <c:pt idx="0">
                  <c:v>181624.89270000003</c:v>
                </c:pt>
                <c:pt idx="1">
                  <c:v>183931.77350000001</c:v>
                </c:pt>
                <c:pt idx="2">
                  <c:v>193993.6194</c:v>
                </c:pt>
                <c:pt idx="3">
                  <c:v>71757.518400000001</c:v>
                </c:pt>
                <c:pt idx="4">
                  <c:v>28949.566299999991</c:v>
                </c:pt>
                <c:pt idx="5">
                  <c:v>17556.060799999977</c:v>
                </c:pt>
                <c:pt idx="6">
                  <c:v>-4758.767800000016</c:v>
                </c:pt>
                <c:pt idx="7">
                  <c:v>108513.41860000002</c:v>
                </c:pt>
                <c:pt idx="8">
                  <c:v>26767.880400000024</c:v>
                </c:pt>
                <c:pt idx="9">
                  <c:v>57009.136400000018</c:v>
                </c:pt>
                <c:pt idx="10">
                  <c:v>9509.8684000000212</c:v>
                </c:pt>
                <c:pt idx="11">
                  <c:v>285723.4412</c:v>
                </c:pt>
                <c:pt idx="12">
                  <c:v>851727.15739999991</c:v>
                </c:pt>
                <c:pt idx="13">
                  <c:v>817393.58579999988</c:v>
                </c:pt>
                <c:pt idx="14">
                  <c:v>865701.62159999995</c:v>
                </c:pt>
                <c:pt idx="15">
                  <c:v>731671.62219999998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9-4845-9D8C-091C9AB57E7E}"/>
            </c:ext>
          </c:extLst>
        </c:ser>
        <c:ser>
          <c:idx val="1"/>
          <c:order val="1"/>
          <c:tx>
            <c:v>Cash Flow Sylviculture Courte rotation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'Cash flow'!$B$13:$Q$13</c:f>
              <c:numCache>
                <c:formatCode>General</c:formatCode>
                <c:ptCount val="16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</c:numCache>
            </c:numRef>
          </c:cat>
          <c:val>
            <c:numRef>
              <c:f>'Cash flow'!$B$9:$Q$9</c:f>
              <c:numCache>
                <c:formatCode>#\ ##0\ "€";[Red]#\ ##0\ "€"</c:formatCode>
                <c:ptCount val="16"/>
                <c:pt idx="0">
                  <c:v>181624.89270000003</c:v>
                </c:pt>
                <c:pt idx="1">
                  <c:v>166985.36710000003</c:v>
                </c:pt>
                <c:pt idx="2">
                  <c:v>154050.20820000002</c:v>
                </c:pt>
                <c:pt idx="3">
                  <c:v>110046.80720000002</c:v>
                </c:pt>
                <c:pt idx="4">
                  <c:v>172190.30910000001</c:v>
                </c:pt>
                <c:pt idx="5">
                  <c:v>101058.23480000002</c:v>
                </c:pt>
                <c:pt idx="6">
                  <c:v>13661.694400000022</c:v>
                </c:pt>
                <c:pt idx="7">
                  <c:v>171348.38069999998</c:v>
                </c:pt>
                <c:pt idx="8">
                  <c:v>163952.81669999997</c:v>
                </c:pt>
                <c:pt idx="9">
                  <c:v>669392.52069999999</c:v>
                </c:pt>
                <c:pt idx="10">
                  <c:v>749660.02860000008</c:v>
                </c:pt>
                <c:pt idx="11">
                  <c:v>821411.13870000001</c:v>
                </c:pt>
                <c:pt idx="12">
                  <c:v>1251103.2755999998</c:v>
                </c:pt>
                <c:pt idx="13">
                  <c:v>1237594.0214999998</c:v>
                </c:pt>
                <c:pt idx="14">
                  <c:v>1106573.9160999998</c:v>
                </c:pt>
                <c:pt idx="15">
                  <c:v>955094.95559999975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9-4845-9D8C-091C9AB5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0543"/>
        <c:axId val="15922623"/>
      </c:lineChart>
      <c:catAx>
        <c:axId val="1592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fr-FR"/>
          </a:p>
        </c:txPr>
        <c:crossAx val="15922623"/>
        <c:crosses val="autoZero"/>
        <c:auto val="1"/>
        <c:lblAlgn val="ctr"/>
        <c:lblOffset val="100"/>
        <c:noMultiLvlLbl val="0"/>
      </c:catAx>
      <c:valAx>
        <c:axId val="15922623"/>
        <c:scaling>
          <c:orientation val="minMax"/>
          <c:max val="130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;[Red]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fr-FR"/>
          </a:p>
        </c:txPr>
        <c:crossAx val="15920543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521486</xdr:colOff>
      <xdr:row>57</xdr:row>
      <xdr:rowOff>11206</xdr:rowOff>
    </xdr:from>
    <xdr:to>
      <xdr:col>35</xdr:col>
      <xdr:colOff>457698</xdr:colOff>
      <xdr:row>80</xdr:row>
      <xdr:rowOff>34977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9EABFCF-1074-49D8-AD92-EF5243124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94015" y="7676030"/>
          <a:ext cx="2659242" cy="763359"/>
        </a:xfrm>
        <a:prstGeom prst="rect">
          <a:avLst/>
        </a:prstGeom>
      </xdr:spPr>
    </xdr:pic>
    <xdr:clientData/>
  </xdr:twoCellAnchor>
  <xdr:twoCellAnchor>
    <xdr:from>
      <xdr:col>2</xdr:col>
      <xdr:colOff>268942</xdr:colOff>
      <xdr:row>57</xdr:row>
      <xdr:rowOff>-1</xdr:rowOff>
    </xdr:from>
    <xdr:to>
      <xdr:col>28</xdr:col>
      <xdr:colOff>549088</xdr:colOff>
      <xdr:row>101</xdr:row>
      <xdr:rowOff>145676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AB4FFB0-274F-48F2-A406-7D0EA00A7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11206</xdr:colOff>
      <xdr:row>58</xdr:row>
      <xdr:rowOff>44825</xdr:rowOff>
    </xdr:from>
    <xdr:to>
      <xdr:col>36</xdr:col>
      <xdr:colOff>558177</xdr:colOff>
      <xdr:row>62</xdr:row>
      <xdr:rowOff>57590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2382BE9-6395-467B-A47C-2FD3858A5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0" y="7687237"/>
          <a:ext cx="2698501" cy="774765"/>
        </a:xfrm>
        <a:prstGeom prst="rect">
          <a:avLst/>
        </a:prstGeom>
      </xdr:spPr>
    </xdr:pic>
    <xdr:clientData/>
  </xdr:twoCellAnchor>
  <xdr:twoCellAnchor>
    <xdr:from>
      <xdr:col>3</xdr:col>
      <xdr:colOff>168090</xdr:colOff>
      <xdr:row>57</xdr:row>
      <xdr:rowOff>124383</xdr:rowOff>
    </xdr:from>
    <xdr:to>
      <xdr:col>31</xdr:col>
      <xdr:colOff>257736</xdr:colOff>
      <xdr:row>85</xdr:row>
      <xdr:rowOff>44823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97D688-D054-4685-B6A8-FBC5B184F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129887</xdr:rowOff>
    </xdr:from>
    <xdr:to>
      <xdr:col>16</xdr:col>
      <xdr:colOff>411306</xdr:colOff>
      <xdr:row>53</xdr:row>
      <xdr:rowOff>75768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1184079-6EB6-486B-BA89-0A024A11C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736023</xdr:colOff>
      <xdr:row>52</xdr:row>
      <xdr:rowOff>139549</xdr:rowOff>
    </xdr:from>
    <xdr:to>
      <xdr:col>19</xdr:col>
      <xdr:colOff>465426</xdr:colOff>
      <xdr:row>56</xdr:row>
      <xdr:rowOff>116035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75246F6-F169-4F61-AC29-C206467008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2870" y="10378924"/>
          <a:ext cx="2435369" cy="755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685800</xdr:colOff>
      <xdr:row>22</xdr:row>
      <xdr:rowOff>20706</xdr:rowOff>
    </xdr:from>
    <xdr:to>
      <xdr:col>8</xdr:col>
      <xdr:colOff>704850</xdr:colOff>
      <xdr:row>30</xdr:row>
      <xdr:rowOff>107454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BC2BB54-2BE8-4ABA-94F2-AA5EE53AD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4564131"/>
          <a:ext cx="5610225" cy="16107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1609725</xdr:colOff>
      <xdr:row>54</xdr:row>
      <xdr:rowOff>28575</xdr:rowOff>
    </xdr:from>
    <xdr:to>
      <xdr:col>3</xdr:col>
      <xdr:colOff>1098291</xdr:colOff>
      <xdr:row>57</xdr:row>
      <xdr:rowOff>116979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2359E37-AADD-492E-AC23-C7451F92F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1725" y="10810875"/>
          <a:ext cx="2298441" cy="6599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77"/>
  <sheetViews>
    <sheetView zoomScale="85" zoomScaleNormal="85" workbookViewId="0">
      <pane ySplit="4" topLeftCell="A5" activePane="bottomLeft" state="frozen"/>
      <selection pane="bottomLeft" activeCell="T29" sqref="T29"/>
    </sheetView>
  </sheetViews>
  <sheetFormatPr baseColWidth="10" defaultColWidth="8.7109375" defaultRowHeight="15" x14ac:dyDescent="0.25"/>
  <cols>
    <col min="1" max="1" width="22.28515625" bestFit="1" customWidth="1"/>
    <col min="2" max="2" width="10.7109375" bestFit="1" customWidth="1"/>
    <col min="3" max="3" width="14.140625" customWidth="1"/>
    <col min="4" max="4" width="4.5703125" style="2" bestFit="1" customWidth="1"/>
    <col min="5" max="5" width="13.5703125" style="22" bestFit="1" customWidth="1"/>
    <col min="6" max="6" width="7.5703125" bestFit="1" customWidth="1"/>
    <col min="7" max="7" width="8.5703125" bestFit="1" customWidth="1"/>
    <col min="8" max="8" width="7.5703125" bestFit="1" customWidth="1"/>
    <col min="9" max="9" width="8.5703125" bestFit="1" customWidth="1"/>
    <col min="10" max="10" width="7.5703125" bestFit="1" customWidth="1"/>
    <col min="11" max="11" width="8.5703125" bestFit="1" customWidth="1"/>
    <col min="12" max="12" width="7.5703125" bestFit="1" customWidth="1"/>
    <col min="13" max="13" width="8.5703125" bestFit="1" customWidth="1"/>
    <col min="14" max="14" width="7.5703125" bestFit="1" customWidth="1"/>
    <col min="15" max="15" width="8.5703125" bestFit="1" customWidth="1"/>
    <col min="16" max="16" width="7.5703125" bestFit="1" customWidth="1"/>
    <col min="17" max="17" width="8.5703125" bestFit="1" customWidth="1"/>
    <col min="18" max="18" width="7.5703125" bestFit="1" customWidth="1"/>
    <col min="19" max="19" width="8.5703125" bestFit="1" customWidth="1"/>
    <col min="20" max="20" width="7.5703125" bestFit="1" customWidth="1"/>
    <col min="21" max="21" width="8.5703125" bestFit="1" customWidth="1"/>
    <col min="22" max="22" width="7.5703125" bestFit="1" customWidth="1"/>
    <col min="23" max="23" width="8.5703125" bestFit="1" customWidth="1"/>
    <col min="24" max="24" width="7.5703125" bestFit="1" customWidth="1"/>
    <col min="25" max="25" width="8.5703125" bestFit="1" customWidth="1"/>
    <col min="26" max="26" width="7.5703125" bestFit="1" customWidth="1"/>
    <col min="27" max="27" width="8.5703125" bestFit="1" customWidth="1"/>
    <col min="28" max="28" width="7.5703125" bestFit="1" customWidth="1"/>
    <col min="29" max="29" width="8.5703125" bestFit="1" customWidth="1"/>
    <col min="30" max="30" width="7.5703125" bestFit="1" customWidth="1"/>
    <col min="31" max="31" width="8.5703125" bestFit="1" customWidth="1"/>
    <col min="32" max="32" width="7.5703125" bestFit="1" customWidth="1"/>
    <col min="33" max="33" width="8.5703125" bestFit="1" customWidth="1"/>
    <col min="34" max="34" width="7.5703125" bestFit="1" customWidth="1"/>
    <col min="35" max="35" width="8.5703125" bestFit="1" customWidth="1"/>
    <col min="36" max="36" width="7.5703125" bestFit="1" customWidth="1"/>
    <col min="37" max="37" width="8.5703125" bestFit="1" customWidth="1"/>
  </cols>
  <sheetData>
    <row r="1" spans="1:37" ht="18.75" x14ac:dyDescent="0.3">
      <c r="R1" s="77" t="s">
        <v>92</v>
      </c>
      <c r="S1" s="77"/>
      <c r="T1" s="77"/>
      <c r="U1" s="77"/>
      <c r="V1" s="77"/>
      <c r="W1" s="77"/>
      <c r="X1" s="77"/>
      <c r="Y1" s="77"/>
    </row>
    <row r="3" spans="1:37" x14ac:dyDescent="0.25">
      <c r="A3" s="78" t="s">
        <v>3</v>
      </c>
      <c r="B3" s="78" t="s">
        <v>0</v>
      </c>
      <c r="C3" s="79" t="s">
        <v>44</v>
      </c>
      <c r="D3" s="78" t="s">
        <v>1</v>
      </c>
      <c r="E3" s="81" t="s">
        <v>2</v>
      </c>
      <c r="F3" s="75">
        <v>2021</v>
      </c>
      <c r="G3" s="75"/>
      <c r="H3" s="75">
        <v>2022</v>
      </c>
      <c r="I3" s="75"/>
      <c r="J3" s="75">
        <v>2023</v>
      </c>
      <c r="K3" s="75"/>
      <c r="L3" s="75">
        <v>2024</v>
      </c>
      <c r="M3" s="75"/>
      <c r="N3" s="75">
        <v>2025</v>
      </c>
      <c r="O3" s="75"/>
      <c r="P3" s="75">
        <v>2026</v>
      </c>
      <c r="Q3" s="75"/>
      <c r="R3" s="75">
        <v>2027</v>
      </c>
      <c r="S3" s="75"/>
      <c r="T3" s="75">
        <v>2028</v>
      </c>
      <c r="U3" s="75"/>
      <c r="V3" s="75">
        <v>2029</v>
      </c>
      <c r="W3" s="75"/>
      <c r="X3" s="75">
        <v>2030</v>
      </c>
      <c r="Y3" s="75"/>
      <c r="Z3" s="75">
        <v>2031</v>
      </c>
      <c r="AA3" s="75"/>
      <c r="AB3" s="75">
        <v>2032</v>
      </c>
      <c r="AC3" s="75"/>
      <c r="AD3" s="75">
        <v>2033</v>
      </c>
      <c r="AE3" s="75"/>
      <c r="AF3" s="75">
        <v>2034</v>
      </c>
      <c r="AG3" s="75"/>
      <c r="AH3" s="75">
        <v>2035</v>
      </c>
      <c r="AI3" s="75"/>
      <c r="AJ3" s="75">
        <v>2036</v>
      </c>
      <c r="AK3" s="75"/>
    </row>
    <row r="4" spans="1:37" x14ac:dyDescent="0.25">
      <c r="A4" s="78"/>
      <c r="B4" s="78"/>
      <c r="C4" s="80"/>
      <c r="D4" s="78"/>
      <c r="E4" s="81"/>
      <c r="F4" s="4" t="s">
        <v>11</v>
      </c>
      <c r="G4" s="4" t="s">
        <v>12</v>
      </c>
      <c r="H4" s="4" t="s">
        <v>11</v>
      </c>
      <c r="I4" s="4" t="s">
        <v>12</v>
      </c>
      <c r="J4" s="4" t="s">
        <v>11</v>
      </c>
      <c r="K4" s="4" t="s">
        <v>12</v>
      </c>
      <c r="L4" s="4" t="s">
        <v>11</v>
      </c>
      <c r="M4" s="4" t="s">
        <v>12</v>
      </c>
      <c r="N4" s="4" t="s">
        <v>11</v>
      </c>
      <c r="O4" s="4" t="s">
        <v>12</v>
      </c>
      <c r="P4" s="4" t="s">
        <v>11</v>
      </c>
      <c r="Q4" s="4" t="s">
        <v>12</v>
      </c>
      <c r="R4" s="4" t="s">
        <v>11</v>
      </c>
      <c r="S4" s="4" t="s">
        <v>12</v>
      </c>
      <c r="T4" s="4" t="s">
        <v>11</v>
      </c>
      <c r="U4" s="4" t="s">
        <v>12</v>
      </c>
      <c r="V4" s="4" t="s">
        <v>11</v>
      </c>
      <c r="W4" s="4" t="s">
        <v>12</v>
      </c>
      <c r="X4" s="4" t="s">
        <v>11</v>
      </c>
      <c r="Y4" s="4" t="s">
        <v>12</v>
      </c>
      <c r="Z4" s="4" t="s">
        <v>11</v>
      </c>
      <c r="AA4" s="4" t="s">
        <v>12</v>
      </c>
      <c r="AB4" s="4" t="s">
        <v>11</v>
      </c>
      <c r="AC4" s="4" t="s">
        <v>12</v>
      </c>
      <c r="AD4" s="4" t="s">
        <v>11</v>
      </c>
      <c r="AE4" s="4" t="s">
        <v>12</v>
      </c>
      <c r="AF4" s="4" t="s">
        <v>11</v>
      </c>
      <c r="AG4" s="4" t="s">
        <v>12</v>
      </c>
      <c r="AH4" s="4" t="s">
        <v>11</v>
      </c>
      <c r="AI4" s="4" t="s">
        <v>12</v>
      </c>
      <c r="AJ4" s="4" t="s">
        <v>11</v>
      </c>
      <c r="AK4" s="4" t="s">
        <v>12</v>
      </c>
    </row>
    <row r="5" spans="1:37" x14ac:dyDescent="0.25">
      <c r="A5" s="53" t="s">
        <v>88</v>
      </c>
      <c r="B5" s="5" t="s">
        <v>89</v>
      </c>
      <c r="C5" s="52">
        <v>2021</v>
      </c>
      <c r="D5" s="6">
        <v>0</v>
      </c>
      <c r="E5" s="25">
        <f>'classe d''age ARGEFO'!E7</f>
        <v>14.3851</v>
      </c>
      <c r="F5" s="4"/>
      <c r="G5" s="4"/>
      <c r="H5" s="4" t="s">
        <v>23</v>
      </c>
      <c r="I5" s="15">
        <f>IF(H5="",0,VLOOKUP(H5,Table!$A$6:$B$16,2,FALSE)*E5)</f>
        <v>-24454.67</v>
      </c>
      <c r="J5" s="4" t="s">
        <v>43</v>
      </c>
      <c r="K5" s="15">
        <f>IF(J5="",0,VLOOKUP(J5,Table!$A$6:$B$16,2,FALSE)*E5)</f>
        <v>-1078.8824999999999</v>
      </c>
      <c r="L5" s="4" t="s">
        <v>24</v>
      </c>
      <c r="M5" s="15">
        <f>IF(L5="",0,VLOOKUP(L5,Table!$A$6:$B$16,2,FALSE)*E5)</f>
        <v>-1294.6589999999999</v>
      </c>
      <c r="N5" s="4"/>
      <c r="O5" s="15">
        <f>IF(N5="",0,VLOOKUP(N5,Table!$A$6:$B$16,2,FALSE)*E5)</f>
        <v>0</v>
      </c>
      <c r="P5" s="4" t="s">
        <v>25</v>
      </c>
      <c r="Q5" s="15">
        <f>IF(P5="",0,VLOOKUP(P5,Table!$A$6:$B$16,2,FALSE)*$E5)</f>
        <v>-1294.6589999999999</v>
      </c>
      <c r="R5" s="4"/>
      <c r="S5" s="15">
        <f>IF(R5="",0,VLOOKUP(R5,Table!$A$6:$B$16,2,FALSE)*$E5)</f>
        <v>0</v>
      </c>
      <c r="T5" s="4"/>
      <c r="U5" s="15">
        <f>IF(T5="",0,VLOOKUP(T5,Table!$A$6:$B$16,2,FALSE)*$E5)</f>
        <v>0</v>
      </c>
      <c r="V5" s="4"/>
      <c r="W5" s="15">
        <f>IF(V5="",0,VLOOKUP(V5,Table!$A$6:$B$16,2,FALSE)*$E5)</f>
        <v>0</v>
      </c>
      <c r="X5" s="4"/>
      <c r="Y5" s="15">
        <f>IF(X5="",0,VLOOKUP(X5,Table!$A$6:$B$16,2,FALSE)*$E5)</f>
        <v>0</v>
      </c>
      <c r="Z5" s="4"/>
      <c r="AA5" s="15">
        <f>IF(Z5="",0,VLOOKUP(Z5,Table!$A$6:$B$16,2,FALSE)*$E5)</f>
        <v>0</v>
      </c>
      <c r="AB5" s="4"/>
      <c r="AC5" s="15">
        <f>IF(AB5="",0,VLOOKUP(AB5,Table!$A$6:$B$16,2,FALSE)*$E5)</f>
        <v>0</v>
      </c>
      <c r="AD5" s="4"/>
      <c r="AE5" s="15">
        <f>IF(AD5="",0,VLOOKUP(AD5,Table!$A$6:$B$16,2,FALSE)*$E5)</f>
        <v>0</v>
      </c>
      <c r="AF5" s="4"/>
      <c r="AG5" s="15">
        <f>IF(AF5="",0,VLOOKUP(AF5,Table!$A$6:$B$16,2,FALSE)*$E5)</f>
        <v>0</v>
      </c>
      <c r="AH5" s="4" t="s">
        <v>34</v>
      </c>
      <c r="AI5" s="15">
        <f>IF(AH5="",0,VLOOKUP(AH5,Table!$A$6:$B$16,2,FALSE)*$E5)</f>
        <v>8285.8176000000003</v>
      </c>
      <c r="AJ5" s="4"/>
      <c r="AK5" s="15">
        <f>IF(AJ5="",0,VLOOKUP(AJ5,Table!$A$6:$B$16,2,FALSE)*$E5)</f>
        <v>0</v>
      </c>
    </row>
    <row r="6" spans="1:37" x14ac:dyDescent="0.25">
      <c r="A6" s="5" t="s">
        <v>10</v>
      </c>
      <c r="B6" s="5" t="s">
        <v>89</v>
      </c>
      <c r="C6" s="7">
        <f>Table!$B$2-'BUDGET SYLV CLASSIQUE'!D6</f>
        <v>2020</v>
      </c>
      <c r="D6" s="6">
        <v>1</v>
      </c>
      <c r="E6" s="25">
        <f>'classe d''age ARGEFO'!D15</f>
        <v>3.0108999999999999</v>
      </c>
      <c r="F6" s="4" t="s">
        <v>43</v>
      </c>
      <c r="G6" s="15">
        <f>IF(F6="",0,VLOOKUP(F6,Table!$A$6:$B$16,2,FALSE)*E6)</f>
        <v>-225.8175</v>
      </c>
      <c r="H6" s="4" t="s">
        <v>24</v>
      </c>
      <c r="I6" s="15">
        <f>IF(H6="",0,VLOOKUP(H6,Table!$A$6:$B$16,2,FALSE)*E6)</f>
        <v>-270.98099999999999</v>
      </c>
      <c r="J6" s="4"/>
      <c r="K6" s="15">
        <f>IF(J6="",0,VLOOKUP(J6,Table!$A$6:$B$16,2,FALSE)*E6)</f>
        <v>0</v>
      </c>
      <c r="L6" s="4" t="s">
        <v>25</v>
      </c>
      <c r="M6" s="15">
        <f>IF(L6="",0,VLOOKUP(L6,Table!$A$6:$B$16,2,FALSE)*E6)</f>
        <v>-270.98099999999999</v>
      </c>
      <c r="N6" s="4"/>
      <c r="O6" s="15">
        <f>IF(N6="",0,VLOOKUP(N6,Table!$A$6:$B$16,2,FALSE)*E6)</f>
        <v>0</v>
      </c>
      <c r="P6" s="4"/>
      <c r="Q6" s="15">
        <f>IF(P6="",0,VLOOKUP(P6,Table!$A$6:$B$16,2,FALSE)*$E6)</f>
        <v>0</v>
      </c>
      <c r="R6" s="4"/>
      <c r="S6" s="15">
        <f>IF(R6="",0,VLOOKUP(R6,Table!$A$6:$B$16,2,FALSE)*$E6)</f>
        <v>0</v>
      </c>
      <c r="T6" s="4"/>
      <c r="U6" s="15">
        <f>IF(T6="",0,VLOOKUP(T6,Table!$A$6:$B$16,2,FALSE)*$E6)</f>
        <v>0</v>
      </c>
      <c r="V6" s="4"/>
      <c r="W6" s="15">
        <f>IF(V6="",0,VLOOKUP(V6,Table!$A$6:$B$16,2,FALSE)*$E6)</f>
        <v>0</v>
      </c>
      <c r="X6" s="4"/>
      <c r="Y6" s="15">
        <f>IF(X6="",0,VLOOKUP(X6,Table!$A$6:$B$16,2,FALSE)*$E6)</f>
        <v>0</v>
      </c>
      <c r="Z6" s="4"/>
      <c r="AA6" s="15">
        <f>IF(Z6="",0,VLOOKUP(Z6,Table!$A$6:$B$16,2,FALSE)*$E6)</f>
        <v>0</v>
      </c>
      <c r="AB6" s="4"/>
      <c r="AC6" s="15">
        <f>IF(AB6="",0,VLOOKUP(AB6,Table!$A$6:$B$16,2,FALSE)*$E6)</f>
        <v>0</v>
      </c>
      <c r="AD6" s="4"/>
      <c r="AE6" s="15">
        <f>IF(AD6="",0,VLOOKUP(AD6,Table!$A$6:$B$16,2,FALSE)*$E6)</f>
        <v>0</v>
      </c>
      <c r="AF6" s="4" t="s">
        <v>34</v>
      </c>
      <c r="AG6" s="15">
        <f>IF(AF6="",0,VLOOKUP(AF6,Table!$A$6:$B$16,2,FALSE)*$E6)</f>
        <v>1734.2783999999999</v>
      </c>
      <c r="AH6" s="4"/>
      <c r="AI6" s="15">
        <f>IF(AH6="",0,VLOOKUP(AH6,Table!$A$6:$B$16,2,FALSE)*$E6)</f>
        <v>0</v>
      </c>
      <c r="AJ6" s="4"/>
      <c r="AK6" s="15">
        <f>IF(AJ6="",0,VLOOKUP(AJ6,Table!$A$6:$B$16,2,FALSE)*$E6)</f>
        <v>0</v>
      </c>
    </row>
    <row r="7" spans="1:37" x14ac:dyDescent="0.25">
      <c r="A7" s="5" t="s">
        <v>4</v>
      </c>
      <c r="B7" s="5" t="s">
        <v>89</v>
      </c>
      <c r="C7" s="7">
        <f>Table!$B$2-'BUDGET SYLV CLASSIQUE'!D7</f>
        <v>2019</v>
      </c>
      <c r="D7" s="6">
        <v>2</v>
      </c>
      <c r="E7" s="25">
        <f>'classe d''age ARGEFO'!C16</f>
        <v>14.340199999999999</v>
      </c>
      <c r="F7" s="4" t="s">
        <v>24</v>
      </c>
      <c r="G7" s="15">
        <f>IF(F7="",0,VLOOKUP(F7,Table!$A$6:$B$16,2,FALSE)*E7)</f>
        <v>-1290.6179999999999</v>
      </c>
      <c r="H7" s="4"/>
      <c r="I7" s="15">
        <f>IF(H7="",0,VLOOKUP(H7,Table!$A$6:$B$16,2,FALSE)*E7)</f>
        <v>0</v>
      </c>
      <c r="J7" s="4" t="s">
        <v>25</v>
      </c>
      <c r="K7" s="15">
        <f>IF(J7="",0,VLOOKUP(J7,Table!$A$6:$B$16,2,FALSE)*E7)</f>
        <v>-1290.6179999999999</v>
      </c>
      <c r="L7" s="4"/>
      <c r="M7" s="15">
        <f>IF(L7="",0,VLOOKUP(L7,Table!$A$6:$B$16,2,FALSE)*E7)</f>
        <v>0</v>
      </c>
      <c r="N7" s="4"/>
      <c r="O7" s="15">
        <f>IF(N7="",0,VLOOKUP(N7,Table!$A$6:$B$16,2,FALSE)*E7)</f>
        <v>0</v>
      </c>
      <c r="P7" s="4"/>
      <c r="Q7" s="15">
        <f>IF(P7="",0,VLOOKUP(P7,Table!$A$6:$B$16,2,FALSE)*$E7)</f>
        <v>0</v>
      </c>
      <c r="R7" s="4"/>
      <c r="S7" s="15">
        <f>IF(R7="",0,VLOOKUP(R7,Table!$A$6:$B$16,2,FALSE)*$E7)</f>
        <v>0</v>
      </c>
      <c r="T7" s="4"/>
      <c r="U7" s="15">
        <f>IF(T7="",0,VLOOKUP(T7,Table!$A$6:$B$16,2,FALSE)*$E7)</f>
        <v>0</v>
      </c>
      <c r="V7" s="4"/>
      <c r="W7" s="15">
        <f>IF(V7="",0,VLOOKUP(V7,Table!$A$6:$B$16,2,FALSE)*$E7)</f>
        <v>0</v>
      </c>
      <c r="X7" s="4"/>
      <c r="Y7" s="15">
        <f>IF(X7="",0,VLOOKUP(X7,Table!$A$6:$B$16,2,FALSE)*$E7)</f>
        <v>0</v>
      </c>
      <c r="Z7" s="4"/>
      <c r="AA7" s="15">
        <f>IF(Z7="",0,VLOOKUP(Z7,Table!$A$6:$B$16,2,FALSE)*$E7)</f>
        <v>0</v>
      </c>
      <c r="AB7" s="4"/>
      <c r="AC7" s="15">
        <f>IF(AB7="",0,VLOOKUP(AB7,Table!$A$6:$B$16,2,FALSE)*$E7)</f>
        <v>0</v>
      </c>
      <c r="AD7" s="4" t="s">
        <v>34</v>
      </c>
      <c r="AE7" s="15">
        <f>IF(AD7="",0,VLOOKUP(AD7,Table!$A$6:$B$16,2,FALSE)*$E7)</f>
        <v>8259.9552000000003</v>
      </c>
      <c r="AF7" s="4"/>
      <c r="AG7" s="15">
        <f>IF(AF7="",0,VLOOKUP(AF7,Table!$A$6:$B$16,2,FALSE)*$E7)</f>
        <v>0</v>
      </c>
      <c r="AH7" s="4"/>
      <c r="AI7" s="15">
        <f>IF(AH7="",0,VLOOKUP(AH7,Table!$A$6:$B$16,2,FALSE)*$E7)</f>
        <v>0</v>
      </c>
      <c r="AJ7" s="4"/>
      <c r="AK7" s="15">
        <f>IF(AJ7="",0,VLOOKUP(AJ7,Table!$A$6:$B$16,2,FALSE)*$E7)</f>
        <v>0</v>
      </c>
    </row>
    <row r="8" spans="1:37" x14ac:dyDescent="0.25">
      <c r="A8" s="5" t="s">
        <v>10</v>
      </c>
      <c r="B8" s="5" t="s">
        <v>89</v>
      </c>
      <c r="C8" s="7">
        <f>Table!$B$2-'BUDGET SYLV CLASSIQUE'!D8</f>
        <v>2019</v>
      </c>
      <c r="D8" s="6">
        <v>2</v>
      </c>
      <c r="E8" s="25">
        <f>'classe d''age ARGEFO'!D16</f>
        <v>13.2212</v>
      </c>
      <c r="F8" s="4" t="s">
        <v>24</v>
      </c>
      <c r="G8" s="15">
        <f>IF(F8="",0,VLOOKUP(F8,Table!$A$6:$B$16,2,FALSE)*E8)</f>
        <v>-1189.9079999999999</v>
      </c>
      <c r="H8" s="4"/>
      <c r="I8" s="15">
        <f>IF(H8="",0,VLOOKUP(H8,Table!$A$6:$B$16,2,FALSE)*E8)</f>
        <v>0</v>
      </c>
      <c r="J8" s="4" t="s">
        <v>25</v>
      </c>
      <c r="K8" s="15">
        <f>IF(J8="",0,VLOOKUP(J8,Table!$A$6:$B$16,2,FALSE)*E8)</f>
        <v>-1189.9079999999999</v>
      </c>
      <c r="L8" s="4"/>
      <c r="M8" s="15">
        <f>IF(L8="",0,VLOOKUP(L8,Table!$A$6:$B$16,2,FALSE)*E8)</f>
        <v>0</v>
      </c>
      <c r="N8" s="4"/>
      <c r="O8" s="15">
        <f>IF(N8="",0,VLOOKUP(N8,Table!$A$6:$B$16,2,FALSE)*E8)</f>
        <v>0</v>
      </c>
      <c r="P8" s="4"/>
      <c r="Q8" s="15">
        <f>IF(P8="",0,VLOOKUP(P8,Table!$A$6:$B$16,2,FALSE)*$E8)</f>
        <v>0</v>
      </c>
      <c r="R8" s="4"/>
      <c r="S8" s="15">
        <f>IF(R8="",0,VLOOKUP(R8,Table!$A$6:$B$16,2,FALSE)*$E8)</f>
        <v>0</v>
      </c>
      <c r="T8" s="4"/>
      <c r="U8" s="15">
        <f>IF(T8="",0,VLOOKUP(T8,Table!$A$6:$B$16,2,FALSE)*$E8)</f>
        <v>0</v>
      </c>
      <c r="V8" s="4"/>
      <c r="W8" s="15">
        <f>IF(V8="",0,VLOOKUP(V8,Table!$A$6:$B$16,2,FALSE)*$E8)</f>
        <v>0</v>
      </c>
      <c r="X8" s="4"/>
      <c r="Y8" s="15">
        <f>IF(X8="",0,VLOOKUP(X8,Table!$A$6:$B$16,2,FALSE)*$E8)</f>
        <v>0</v>
      </c>
      <c r="Z8" s="4"/>
      <c r="AA8" s="15">
        <f>IF(Z8="",0,VLOOKUP(Z8,Table!$A$6:$B$16,2,FALSE)*$E8)</f>
        <v>0</v>
      </c>
      <c r="AB8" s="4"/>
      <c r="AC8" s="15">
        <f>IF(AB8="",0,VLOOKUP(AB8,Table!$A$6:$B$16,2,FALSE)*$E8)</f>
        <v>0</v>
      </c>
      <c r="AD8" s="4" t="s">
        <v>34</v>
      </c>
      <c r="AE8" s="15">
        <f>IF(AD8="",0,VLOOKUP(AD8,Table!$A$6:$B$16,2,FALSE)*$E8)</f>
        <v>7615.4111999999996</v>
      </c>
      <c r="AF8" s="4"/>
      <c r="AG8" s="15">
        <f>IF(AF8="",0,VLOOKUP(AF8,Table!$A$6:$B$16,2,FALSE)*$E8)</f>
        <v>0</v>
      </c>
      <c r="AH8" s="4"/>
      <c r="AI8" s="15">
        <f>IF(AH8="",0,VLOOKUP(AH8,Table!$A$6:$B$16,2,FALSE)*$E8)</f>
        <v>0</v>
      </c>
      <c r="AJ8" s="4"/>
      <c r="AK8" s="15">
        <f>IF(AJ8="",0,VLOOKUP(AJ8,Table!$A$6:$B$16,2,FALSE)*$E8)</f>
        <v>0</v>
      </c>
    </row>
    <row r="9" spans="1:37" x14ac:dyDescent="0.25">
      <c r="A9" s="5" t="s">
        <v>10</v>
      </c>
      <c r="B9" s="5" t="s">
        <v>89</v>
      </c>
      <c r="C9" s="7">
        <f>Table!$B$2-'BUDGET SYLV CLASSIQUE'!D9</f>
        <v>2018</v>
      </c>
      <c r="D9" s="6">
        <v>3</v>
      </c>
      <c r="E9" s="25">
        <f>'classe d''age ARGEFO'!D17</f>
        <v>26.142099999999999</v>
      </c>
      <c r="F9" s="4"/>
      <c r="G9" s="15">
        <f>IF(F9="",0,VLOOKUP(F9,Table!$A$6:$B$16,2,FALSE)*E9)</f>
        <v>0</v>
      </c>
      <c r="H9" s="4" t="s">
        <v>25</v>
      </c>
      <c r="I9" s="15">
        <f>IF(H9="",0,VLOOKUP(H9,Table!$A$6:$B$16,2,FALSE)*E9)</f>
        <v>-2352.7889999999998</v>
      </c>
      <c r="J9" s="4"/>
      <c r="K9" s="15">
        <f>IF(J9="",0,VLOOKUP(J9,Table!$A$6:$B$16,2,FALSE)*E9)</f>
        <v>0</v>
      </c>
      <c r="L9" s="4"/>
      <c r="M9" s="15">
        <f>IF(L9="",0,VLOOKUP(L9,Table!$A$6:$B$16,2,FALSE)*E9)</f>
        <v>0</v>
      </c>
      <c r="N9" s="4"/>
      <c r="O9" s="15">
        <f>IF(N9="",0,VLOOKUP(N9,Table!$A$6:$B$16,2,FALSE)*E9)</f>
        <v>0</v>
      </c>
      <c r="P9" s="4"/>
      <c r="Q9" s="15">
        <f>IF(P9="",0,VLOOKUP(P9,Table!$A$6:$B$16,2,FALSE)*$E9)</f>
        <v>0</v>
      </c>
      <c r="R9" s="4"/>
      <c r="S9" s="15">
        <f>IF(R9="",0,VLOOKUP(R9,Table!$A$6:$B$16,2,FALSE)*$E9)</f>
        <v>0</v>
      </c>
      <c r="T9" s="4"/>
      <c r="U9" s="15">
        <f>IF(T9="",0,VLOOKUP(T9,Table!$A$6:$B$16,2,FALSE)*$E9)</f>
        <v>0</v>
      </c>
      <c r="V9" s="4"/>
      <c r="W9" s="15">
        <f>IF(V9="",0,VLOOKUP(V9,Table!$A$6:$B$16,2,FALSE)*$E9)</f>
        <v>0</v>
      </c>
      <c r="X9" s="4"/>
      <c r="Y9" s="15">
        <f>IF(X9="",0,VLOOKUP(X9,Table!$A$6:$B$16,2,FALSE)*$E9)</f>
        <v>0</v>
      </c>
      <c r="Z9" s="4"/>
      <c r="AA9" s="15">
        <f>IF(Z9="",0,VLOOKUP(Z9,Table!$A$6:$B$16,2,FALSE)*$E9)</f>
        <v>0</v>
      </c>
      <c r="AB9" s="4" t="s">
        <v>34</v>
      </c>
      <c r="AC9" s="15">
        <f>IF(AB9="",0,VLOOKUP(AB9,Table!$A$6:$B$16,2,FALSE)*$E9)</f>
        <v>15057.8496</v>
      </c>
      <c r="AD9" s="4"/>
      <c r="AE9" s="15">
        <f>IF(AD9="",0,VLOOKUP(AD9,Table!$A$6:$B$16,2,FALSE)*$E9)</f>
        <v>0</v>
      </c>
      <c r="AF9" s="4"/>
      <c r="AG9" s="15">
        <f>IF(AF9="",0,VLOOKUP(AF9,Table!$A$6:$B$16,2,FALSE)*$E9)</f>
        <v>0</v>
      </c>
      <c r="AH9" s="4"/>
      <c r="AI9" s="15">
        <f>IF(AH9="",0,VLOOKUP(AH9,Table!$A$6:$B$16,2,FALSE)*$E9)</f>
        <v>0</v>
      </c>
      <c r="AJ9" s="4"/>
      <c r="AK9" s="15">
        <f>IF(AJ9="",0,VLOOKUP(AJ9,Table!$A$6:$B$16,2,FALSE)*$E9)</f>
        <v>0</v>
      </c>
    </row>
    <row r="10" spans="1:37" x14ac:dyDescent="0.25">
      <c r="A10" s="5" t="s">
        <v>4</v>
      </c>
      <c r="B10" s="5" t="s">
        <v>89</v>
      </c>
      <c r="C10" s="7">
        <f>Table!$B$2-'BUDGET SYLV CLASSIQUE'!D10</f>
        <v>2017</v>
      </c>
      <c r="D10" s="6">
        <v>4</v>
      </c>
      <c r="E10" s="25">
        <f>'classe d''age ARGEFO'!C18</f>
        <v>45.709899999999998</v>
      </c>
      <c r="F10" s="4" t="s">
        <v>25</v>
      </c>
      <c r="G10" s="15">
        <f>IF(F10="",0,VLOOKUP(F10,Table!$A$6:$B$16,2,FALSE)*E10)</f>
        <v>-4113.8909999999996</v>
      </c>
      <c r="H10" s="4"/>
      <c r="I10" s="15">
        <f>IF(H10="",0,VLOOKUP(H10,Table!$A$6:$B$16,2,FALSE)*E10)</f>
        <v>0</v>
      </c>
      <c r="J10" s="4"/>
      <c r="K10" s="15">
        <f>IF(J10="",0,VLOOKUP(J10,Table!$A$6:$B$16,2,FALSE)*E10)</f>
        <v>0</v>
      </c>
      <c r="L10" s="4"/>
      <c r="M10" s="15">
        <f>IF(L10="",0,VLOOKUP(L10,Table!$A$6:$B$16,2,FALSE)*E10)</f>
        <v>0</v>
      </c>
      <c r="N10" s="4"/>
      <c r="O10" s="15">
        <f>IF(N10="",0,VLOOKUP(N10,Table!$A$6:$B$16,2,FALSE)*E10)</f>
        <v>0</v>
      </c>
      <c r="P10" s="4"/>
      <c r="Q10" s="15">
        <f>IF(P10="",0,VLOOKUP(P10,Table!$A$6:$B$16,2,FALSE)*$E10)</f>
        <v>0</v>
      </c>
      <c r="R10" s="4"/>
      <c r="S10" s="15">
        <f>IF(R10="",0,VLOOKUP(R10,Table!$A$6:$B$16,2,FALSE)*$E10)</f>
        <v>0</v>
      </c>
      <c r="T10" s="4"/>
      <c r="U10" s="15">
        <f>IF(T10="",0,VLOOKUP(T10,Table!$A$6:$B$16,2,FALSE)*$E10)</f>
        <v>0</v>
      </c>
      <c r="V10" s="4"/>
      <c r="W10" s="15">
        <f>IF(V10="",0,VLOOKUP(V10,Table!$A$6:$B$16,2,FALSE)*$E10)</f>
        <v>0</v>
      </c>
      <c r="X10" s="4"/>
      <c r="Y10" s="15">
        <f>IF(X10="",0,VLOOKUP(X10,Table!$A$6:$B$16,2,FALSE)*$E10)</f>
        <v>0</v>
      </c>
      <c r="Z10" s="4" t="s">
        <v>34</v>
      </c>
      <c r="AA10" s="15">
        <f>IF(Z10="",0,VLOOKUP(Z10,Table!$A$6:$B$16,2,FALSE)*$E10)</f>
        <v>26328.902399999999</v>
      </c>
      <c r="AB10" s="4"/>
      <c r="AC10" s="15">
        <f>IF(AB10="",0,VLOOKUP(AB10,Table!$A$6:$B$16,2,FALSE)*$E10)</f>
        <v>0</v>
      </c>
      <c r="AD10" s="4"/>
      <c r="AE10" s="15">
        <f>IF(AD10="",0,VLOOKUP(AD10,Table!$A$6:$B$16,2,FALSE)*$E10)</f>
        <v>0</v>
      </c>
      <c r="AF10" s="4"/>
      <c r="AG10" s="15">
        <f>IF(AF10="",0,VLOOKUP(AF10,Table!$A$6:$B$16,2,FALSE)*$E10)</f>
        <v>0</v>
      </c>
      <c r="AH10" s="4"/>
      <c r="AI10" s="15">
        <f>IF(AH10="",0,VLOOKUP(AH10,Table!$A$6:$B$16,2,FALSE)*$E10)</f>
        <v>0</v>
      </c>
      <c r="AJ10" s="4"/>
      <c r="AK10" s="15">
        <f>IF(AJ10="",0,VLOOKUP(AJ10,Table!$A$6:$B$16,2,FALSE)*$E10)</f>
        <v>0</v>
      </c>
    </row>
    <row r="11" spans="1:37" x14ac:dyDescent="0.25">
      <c r="A11" s="5" t="s">
        <v>4</v>
      </c>
      <c r="B11" s="5" t="s">
        <v>89</v>
      </c>
      <c r="C11" s="7">
        <f>Table!$B$2-'BUDGET SYLV CLASSIQUE'!D11</f>
        <v>2015</v>
      </c>
      <c r="D11" s="6">
        <v>6</v>
      </c>
      <c r="E11" s="25">
        <f>'classe d''age ARGEFO'!C19</f>
        <v>58.417900000000003</v>
      </c>
      <c r="F11" s="4"/>
      <c r="G11" s="15">
        <f>IF(F11="",0,VLOOKUP(F11,Table!$A$6:$B$16,2,FALSE)*E11)</f>
        <v>0</v>
      </c>
      <c r="H11" s="4"/>
      <c r="I11" s="15">
        <f>IF(H11="",0,VLOOKUP(H11,Table!$A$6:$B$16,2,FALSE)*E11)</f>
        <v>0</v>
      </c>
      <c r="J11" s="4"/>
      <c r="K11" s="15">
        <f>IF(J11="",0,VLOOKUP(J11,Table!$A$6:$B$16,2,FALSE)*E11)</f>
        <v>0</v>
      </c>
      <c r="L11" s="4"/>
      <c r="M11" s="15">
        <f>IF(L11="",0,VLOOKUP(L11,Table!$A$6:$B$16,2,FALSE)*E11)</f>
        <v>0</v>
      </c>
      <c r="N11" s="4"/>
      <c r="O11" s="15">
        <f>IF(N11="",0,VLOOKUP(N11,Table!$A$6:$B$16,2,FALSE)*E11)</f>
        <v>0</v>
      </c>
      <c r="P11" s="4"/>
      <c r="Q11" s="15">
        <f>IF(P11="",0,VLOOKUP(P11,Table!$A$6:$B$16,2,FALSE)*$E11)</f>
        <v>0</v>
      </c>
      <c r="R11" s="4"/>
      <c r="S11" s="15">
        <f>IF(R11="",0,VLOOKUP(R11,Table!$A$6:$B$16,2,FALSE)*$E11)</f>
        <v>0</v>
      </c>
      <c r="T11" s="4" t="s">
        <v>34</v>
      </c>
      <c r="U11" s="15">
        <f>IF(T11="",0,VLOOKUP(T11,Table!$A$6:$B$16,2,FALSE)*$E11)</f>
        <v>33648.710400000004</v>
      </c>
      <c r="V11" s="4"/>
      <c r="W11" s="15">
        <f>IF(V11="",0,VLOOKUP(V11,Table!$A$6:$B$16,2,FALSE)*$E11)</f>
        <v>0</v>
      </c>
      <c r="X11" s="4"/>
      <c r="Y11" s="15">
        <f>IF(X11="",0,VLOOKUP(X11,Table!$A$6:$B$16,2,FALSE)*$E11)</f>
        <v>0</v>
      </c>
      <c r="Z11" s="4"/>
      <c r="AA11" s="15">
        <f>IF(Z11="",0,VLOOKUP(Z11,Table!$A$6:$B$16,2,FALSE)*$E11)</f>
        <v>0</v>
      </c>
      <c r="AB11" s="4"/>
      <c r="AC11" s="15">
        <f>IF(AB11="",0,VLOOKUP(AB11,Table!$A$6:$B$16,2,FALSE)*$E11)</f>
        <v>0</v>
      </c>
      <c r="AD11" s="4" t="s">
        <v>35</v>
      </c>
      <c r="AE11" s="15">
        <f>IF(AD11="",0,VLOOKUP(AD11,Table!$A$6:$B$16,2,FALSE)*$E11)</f>
        <v>49071.036</v>
      </c>
      <c r="AF11" s="4"/>
      <c r="AG11" s="15">
        <f>IF(AF11="",0,VLOOKUP(AF11,Table!$A$6:$B$16,2,FALSE)*$E11)</f>
        <v>0</v>
      </c>
      <c r="AH11" s="4"/>
      <c r="AI11" s="15">
        <f>IF(AH11="",0,VLOOKUP(AH11,Table!$A$6:$B$16,2,FALSE)*$E11)</f>
        <v>0</v>
      </c>
      <c r="AJ11" s="4"/>
      <c r="AK11" s="15">
        <f>IF(AJ11="",0,VLOOKUP(AJ11,Table!$A$6:$B$16,2,FALSE)*$E11)</f>
        <v>0</v>
      </c>
    </row>
    <row r="12" spans="1:37" x14ac:dyDescent="0.25">
      <c r="A12" s="5" t="s">
        <v>10</v>
      </c>
      <c r="B12" s="5" t="s">
        <v>89</v>
      </c>
      <c r="C12" s="7">
        <f>Table!$B$2-'BUDGET SYLV CLASSIQUE'!D12</f>
        <v>2015</v>
      </c>
      <c r="D12" s="6">
        <v>6</v>
      </c>
      <c r="E12" s="25">
        <f>'classe d''age ARGEFO'!D19</f>
        <v>45.560400000000001</v>
      </c>
      <c r="F12" s="4"/>
      <c r="G12" s="15">
        <f>IF(F12="",0,VLOOKUP(F12,Table!$A$6:$B$16,2,FALSE)*E12)</f>
        <v>0</v>
      </c>
      <c r="H12" s="4"/>
      <c r="I12" s="15">
        <f>IF(H12="",0,VLOOKUP(H12,Table!$A$6:$B$16,2,FALSE)*E12)</f>
        <v>0</v>
      </c>
      <c r="J12" s="4"/>
      <c r="K12" s="15">
        <f>IF(J12="",0,VLOOKUP(J12,Table!$A$6:$B$16,2,FALSE)*E12)</f>
        <v>0</v>
      </c>
      <c r="L12" s="4"/>
      <c r="M12" s="15">
        <f>IF(L12="",0,VLOOKUP(L12,Table!$A$6:$B$16,2,FALSE)*E12)</f>
        <v>0</v>
      </c>
      <c r="N12" s="4"/>
      <c r="O12" s="15">
        <f>IF(N12="",0,VLOOKUP(N12,Table!$A$6:$B$16,2,FALSE)*E12)</f>
        <v>0</v>
      </c>
      <c r="P12" s="4"/>
      <c r="Q12" s="15">
        <f>IF(P12="",0,VLOOKUP(P12,Table!$A$6:$B$16,2,FALSE)*$E12)</f>
        <v>0</v>
      </c>
      <c r="R12" s="4"/>
      <c r="S12" s="15">
        <f>IF(R12="",0,VLOOKUP(R12,Table!$A$6:$B$16,2,FALSE)*$E12)</f>
        <v>0</v>
      </c>
      <c r="T12" s="4" t="s">
        <v>34</v>
      </c>
      <c r="U12" s="15">
        <f>IF(T12="",0,VLOOKUP(T12,Table!$A$6:$B$16,2,FALSE)*$E12)</f>
        <v>26242.790400000002</v>
      </c>
      <c r="V12" s="4"/>
      <c r="W12" s="15">
        <f>IF(V12="",0,VLOOKUP(V12,Table!$A$6:$B$16,2,FALSE)*$E12)</f>
        <v>0</v>
      </c>
      <c r="X12" s="4"/>
      <c r="Y12" s="15">
        <f>IF(X12="",0,VLOOKUP(X12,Table!$A$6:$B$16,2,FALSE)*$E12)</f>
        <v>0</v>
      </c>
      <c r="Z12" s="4"/>
      <c r="AA12" s="15">
        <f>IF(Z12="",0,VLOOKUP(Z12,Table!$A$6:$B$16,2,FALSE)*$E12)</f>
        <v>0</v>
      </c>
      <c r="AB12" s="4"/>
      <c r="AC12" s="15">
        <f>IF(AB12="",0,VLOOKUP(AB12,Table!$A$6:$B$16,2,FALSE)*$E12)</f>
        <v>0</v>
      </c>
      <c r="AD12" s="4" t="s">
        <v>35</v>
      </c>
      <c r="AE12" s="15">
        <f>IF(AD12="",0,VLOOKUP(AD12,Table!$A$6:$B$16,2,FALSE)*$E12)</f>
        <v>38270.736000000004</v>
      </c>
      <c r="AF12" s="4"/>
      <c r="AG12" s="15">
        <f>IF(AF12="",0,VLOOKUP(AF12,Table!$A$6:$B$16,2,FALSE)*$E12)</f>
        <v>0</v>
      </c>
      <c r="AH12" s="4"/>
      <c r="AI12" s="15">
        <f>IF(AH12="",0,VLOOKUP(AH12,Table!$A$6:$B$16,2,FALSE)*$E12)</f>
        <v>0</v>
      </c>
      <c r="AJ12" s="4"/>
      <c r="AK12" s="15">
        <f>IF(AJ12="",0,VLOOKUP(AJ12,Table!$A$6:$B$16,2,FALSE)*$E12)</f>
        <v>0</v>
      </c>
    </row>
    <row r="13" spans="1:37" x14ac:dyDescent="0.25">
      <c r="A13" s="5" t="s">
        <v>4</v>
      </c>
      <c r="B13" s="5" t="s">
        <v>89</v>
      </c>
      <c r="C13" s="7">
        <f>Table!$B$2-'BUDGET SYLV CLASSIQUE'!D13</f>
        <v>2014</v>
      </c>
      <c r="D13" s="6">
        <v>7</v>
      </c>
      <c r="E13" s="25">
        <f>'classe d''age ARGEFO'!C20</f>
        <v>69.243600000000001</v>
      </c>
      <c r="F13" s="4"/>
      <c r="G13" s="15">
        <f>IF(F13="",0,VLOOKUP(F13,Table!$A$6:$B$16,2,FALSE)*E13)</f>
        <v>0</v>
      </c>
      <c r="H13" s="4"/>
      <c r="I13" s="15">
        <f>IF(H13="",0,VLOOKUP(H13,Table!$A$6:$B$16,2,FALSE)*E13)</f>
        <v>0</v>
      </c>
      <c r="J13" s="4"/>
      <c r="K13" s="15">
        <f>IF(J13="",0,VLOOKUP(J13,Table!$A$6:$B$16,2,FALSE)*E13)</f>
        <v>0</v>
      </c>
      <c r="L13" s="4"/>
      <c r="M13" s="15">
        <f>IF(L13="",0,VLOOKUP(L13,Table!$A$6:$B$16,2,FALSE)*E13)</f>
        <v>0</v>
      </c>
      <c r="N13" s="4"/>
      <c r="O13" s="15">
        <f>IF(N13="",0,VLOOKUP(N13,Table!$A$6:$B$16,2,FALSE)*E13)</f>
        <v>0</v>
      </c>
      <c r="P13" s="4"/>
      <c r="Q13" s="15">
        <f>IF(P13="",0,VLOOKUP(P13,Table!$A$6:$B$16,2,FALSE)*$E13)</f>
        <v>0</v>
      </c>
      <c r="R13" s="4" t="s">
        <v>34</v>
      </c>
      <c r="S13" s="15">
        <f>IF(R13="",0,VLOOKUP(R13,Table!$A$6:$B$16,2,FALSE)*$E13)</f>
        <v>39884.313600000001</v>
      </c>
      <c r="T13" s="4"/>
      <c r="U13" s="15">
        <f>IF(T13="",0,VLOOKUP(T13,Table!$A$6:$B$16,2,FALSE)*$E13)</f>
        <v>0</v>
      </c>
      <c r="V13" s="4"/>
      <c r="W13" s="15">
        <f>IF(V13="",0,VLOOKUP(V13,Table!$A$6:$B$16,2,FALSE)*$E13)</f>
        <v>0</v>
      </c>
      <c r="X13" s="4"/>
      <c r="Y13" s="15">
        <f>IF(X13="",0,VLOOKUP(X13,Table!$A$6:$B$16,2,FALSE)*$E13)</f>
        <v>0</v>
      </c>
      <c r="Z13" s="4"/>
      <c r="AA13" s="15">
        <f>IF(Z13="",0,VLOOKUP(Z13,Table!$A$6:$B$16,2,FALSE)*$E13)</f>
        <v>0</v>
      </c>
      <c r="AB13" s="4" t="s">
        <v>35</v>
      </c>
      <c r="AC13" s="15">
        <f>IF(AB13="",0,VLOOKUP(AB13,Table!$A$6:$B$16,2,FALSE)*$E13)</f>
        <v>58164.624000000003</v>
      </c>
      <c r="AD13" s="4"/>
      <c r="AE13" s="15">
        <f>IF(AD13="",0,VLOOKUP(AD13,Table!$A$6:$B$16,2,FALSE)*$E13)</f>
        <v>0</v>
      </c>
      <c r="AF13" s="4"/>
      <c r="AG13" s="15">
        <f>IF(AF13="",0,VLOOKUP(AF13,Table!$A$6:$B$16,2,FALSE)*$E13)</f>
        <v>0</v>
      </c>
      <c r="AH13" s="4"/>
      <c r="AI13" s="15">
        <f>IF(AH13="",0,VLOOKUP(AH13,Table!$A$6:$B$16,2,FALSE)*$E13)</f>
        <v>0</v>
      </c>
      <c r="AJ13" s="4"/>
      <c r="AK13" s="15">
        <f>IF(AJ13="",0,VLOOKUP(AJ13,Table!$A$6:$B$16,2,FALSE)*$E13)</f>
        <v>0</v>
      </c>
    </row>
    <row r="14" spans="1:37" x14ac:dyDescent="0.25">
      <c r="A14" s="5" t="s">
        <v>4</v>
      </c>
      <c r="B14" s="5" t="s">
        <v>89</v>
      </c>
      <c r="C14" s="7">
        <f>Table!$B$2-'BUDGET SYLV CLASSIQUE'!D14</f>
        <v>2013</v>
      </c>
      <c r="D14" s="6">
        <v>8</v>
      </c>
      <c r="E14" s="25">
        <f>'classe d''age ARGEFO'!C21</f>
        <v>7.9581999999999997</v>
      </c>
      <c r="F14" s="4"/>
      <c r="G14" s="15">
        <f>IF(F14="",0,VLOOKUP(F14,Table!$A$6:$B$16,2,FALSE)*E14)</f>
        <v>0</v>
      </c>
      <c r="H14" s="4"/>
      <c r="I14" s="15">
        <f>IF(H14="",0,VLOOKUP(H14,Table!$A$6:$B$16,2,FALSE)*E14)</f>
        <v>0</v>
      </c>
      <c r="J14" s="4"/>
      <c r="K14" s="15">
        <f>IF(J14="",0,VLOOKUP(J14,Table!$A$6:$B$16,2,FALSE)*E14)</f>
        <v>0</v>
      </c>
      <c r="L14" s="4"/>
      <c r="M14" s="15">
        <f>IF(L14="",0,VLOOKUP(L14,Table!$A$6:$B$16,2,FALSE)*E14)</f>
        <v>0</v>
      </c>
      <c r="N14" s="4"/>
      <c r="O14" s="15">
        <f>IF(N14="",0,VLOOKUP(N14,Table!$A$6:$B$16,2,FALSE)*E14)</f>
        <v>0</v>
      </c>
      <c r="P14" s="4" t="s">
        <v>34</v>
      </c>
      <c r="Q14" s="15">
        <f>IF(P14="",0,VLOOKUP(P14,Table!$A$6:$B$16,2,FALSE)*$E14)</f>
        <v>4583.9232000000002</v>
      </c>
      <c r="R14" s="4"/>
      <c r="S14" s="15">
        <f>IF(R14="",0,VLOOKUP(R14,Table!$A$6:$B$16,2,FALSE)*$E14)</f>
        <v>0</v>
      </c>
      <c r="T14" s="4"/>
      <c r="U14" s="15">
        <f>IF(T14="",0,VLOOKUP(T14,Table!$A$6:$B$16,2,FALSE)*$E14)</f>
        <v>0</v>
      </c>
      <c r="V14" s="4"/>
      <c r="W14" s="15">
        <f>IF(V14="",0,VLOOKUP(V14,Table!$A$6:$B$16,2,FALSE)*$E14)</f>
        <v>0</v>
      </c>
      <c r="X14" s="4"/>
      <c r="Y14" s="15">
        <f>IF(X14="",0,VLOOKUP(X14,Table!$A$6:$B$16,2,FALSE)*$E14)</f>
        <v>0</v>
      </c>
      <c r="Z14" s="4" t="s">
        <v>35</v>
      </c>
      <c r="AA14" s="15">
        <f>IF(Z14="",0,VLOOKUP(Z14,Table!$A$6:$B$16,2,FALSE)*$E14)</f>
        <v>6684.8879999999999</v>
      </c>
      <c r="AB14" s="4"/>
      <c r="AC14" s="15">
        <f>IF(AB14="",0,VLOOKUP(AB14,Table!$A$6:$B$16,2,FALSE)*$E14)</f>
        <v>0</v>
      </c>
      <c r="AD14" s="4"/>
      <c r="AE14" s="15">
        <f>IF(AD14="",0,VLOOKUP(AD14,Table!$A$6:$B$16,2,FALSE)*$E14)</f>
        <v>0</v>
      </c>
      <c r="AF14" s="4"/>
      <c r="AG14" s="15">
        <f>IF(AF14="",0,VLOOKUP(AF14,Table!$A$6:$B$16,2,FALSE)*$E14)</f>
        <v>0</v>
      </c>
      <c r="AH14" s="4"/>
      <c r="AI14" s="15">
        <f>IF(AH14="",0,VLOOKUP(AH14,Table!$A$6:$B$16,2,FALSE)*$E14)</f>
        <v>0</v>
      </c>
      <c r="AJ14" s="4" t="s">
        <v>36</v>
      </c>
      <c r="AK14" s="15">
        <f>IF(AJ14="",0,VLOOKUP(AJ14,Table!$A$6:$B$16,2,FALSE)*$E14)</f>
        <v>11205.1456</v>
      </c>
    </row>
    <row r="15" spans="1:37" x14ac:dyDescent="0.25">
      <c r="A15" s="5" t="s">
        <v>4</v>
      </c>
      <c r="B15" s="5" t="s">
        <v>89</v>
      </c>
      <c r="C15" s="7">
        <f>Table!$B$2-'BUDGET SYLV CLASSIQUE'!D15</f>
        <v>2012</v>
      </c>
      <c r="D15" s="6">
        <v>9</v>
      </c>
      <c r="E15" s="25">
        <f>'classe d''age ARGEFO'!C22</f>
        <v>82.200400000000002</v>
      </c>
      <c r="F15" s="4"/>
      <c r="G15" s="15">
        <f>IF(F15="",0,VLOOKUP(F15,Table!$A$6:$B$16,2,FALSE)*E15)</f>
        <v>0</v>
      </c>
      <c r="H15" s="4"/>
      <c r="I15" s="15">
        <f>IF(H15="",0,VLOOKUP(H15,Table!$A$6:$B$16,2,FALSE)*E15)</f>
        <v>0</v>
      </c>
      <c r="J15" s="4"/>
      <c r="K15" s="15">
        <f>IF(J15="",0,VLOOKUP(J15,Table!$A$6:$B$16,2,FALSE)*E15)</f>
        <v>0</v>
      </c>
      <c r="L15" s="4"/>
      <c r="M15" s="15">
        <f>IF(L15="",0,VLOOKUP(L15,Table!$A$6:$B$16,2,FALSE)*E15)</f>
        <v>0</v>
      </c>
      <c r="N15" s="4" t="s">
        <v>34</v>
      </c>
      <c r="O15" s="15">
        <f>IF(N15="",0,VLOOKUP(N15,Table!$A$6:$B$16,2,FALSE)*E15)</f>
        <v>47347.430399999997</v>
      </c>
      <c r="P15" s="4"/>
      <c r="Q15" s="15">
        <f>IF(P15="",0,VLOOKUP(P15,Table!$A$6:$B$16,2,FALSE)*$E15)</f>
        <v>0</v>
      </c>
      <c r="R15" s="4"/>
      <c r="S15" s="15">
        <f>IF(R15="",0,VLOOKUP(R15,Table!$A$6:$B$16,2,FALSE)*$E15)</f>
        <v>0</v>
      </c>
      <c r="T15" s="4"/>
      <c r="U15" s="15">
        <f>IF(T15="",0,VLOOKUP(T15,Table!$A$6:$B$16,2,FALSE)*$E15)</f>
        <v>0</v>
      </c>
      <c r="V15" s="4"/>
      <c r="W15" s="15">
        <f>IF(V15="",0,VLOOKUP(V15,Table!$A$6:$B$16,2,FALSE)*$E15)</f>
        <v>0</v>
      </c>
      <c r="X15" s="4" t="s">
        <v>35</v>
      </c>
      <c r="Y15" s="15">
        <f>IF(X15="",0,VLOOKUP(X15,Table!$A$6:$B$16,2,FALSE)*$E15)</f>
        <v>69048.335999999996</v>
      </c>
      <c r="Z15" s="4"/>
      <c r="AA15" s="15">
        <f>IF(Z15="",0,VLOOKUP(Z15,Table!$A$6:$B$16,2,FALSE)*$E15)</f>
        <v>0</v>
      </c>
      <c r="AB15" s="4"/>
      <c r="AC15" s="15">
        <f>IF(AB15="",0,VLOOKUP(AB15,Table!$A$6:$B$16,2,FALSE)*$E15)</f>
        <v>0</v>
      </c>
      <c r="AD15" s="4"/>
      <c r="AE15" s="15">
        <f>IF(AD15="",0,VLOOKUP(AD15,Table!$A$6:$B$16,2,FALSE)*$E15)</f>
        <v>0</v>
      </c>
      <c r="AF15" s="4"/>
      <c r="AG15" s="15">
        <f>IF(AF15="",0,VLOOKUP(AF15,Table!$A$6:$B$16,2,FALSE)*$E15)</f>
        <v>0</v>
      </c>
      <c r="AH15" s="4" t="s">
        <v>36</v>
      </c>
      <c r="AI15" s="15">
        <f>IF(AH15="",0,VLOOKUP(AH15,Table!$A$6:$B$16,2,FALSE)*$E15)</f>
        <v>115738.16320000001</v>
      </c>
      <c r="AJ15" s="4"/>
      <c r="AK15" s="15">
        <f>IF(AJ15="",0,VLOOKUP(AJ15,Table!$A$6:$B$16,2,FALSE)*$E15)</f>
        <v>0</v>
      </c>
    </row>
    <row r="16" spans="1:37" x14ac:dyDescent="0.25">
      <c r="A16" s="5" t="s">
        <v>4</v>
      </c>
      <c r="B16" s="5" t="s">
        <v>89</v>
      </c>
      <c r="C16" s="7">
        <f>Table!$B$2-'BUDGET SYLV CLASSIQUE'!D16</f>
        <v>2010</v>
      </c>
      <c r="D16" s="6">
        <v>11</v>
      </c>
      <c r="E16" s="25">
        <f>'classe d''age ARGEFO'!C24</f>
        <v>13.932499999999999</v>
      </c>
      <c r="F16" s="4"/>
      <c r="G16" s="15">
        <f>IF(F16="",0,VLOOKUP(F16,Table!$A$6:$B$16,2,FALSE)*E16)</f>
        <v>0</v>
      </c>
      <c r="H16" s="4"/>
      <c r="I16" s="15">
        <f>IF(H16="",0,VLOOKUP(H16,Table!$A$6:$B$16,2,FALSE)*E16)</f>
        <v>0</v>
      </c>
      <c r="J16" s="4" t="s">
        <v>34</v>
      </c>
      <c r="K16" s="15">
        <f>IF(J16="",0,VLOOKUP(J16,Table!$A$6:$B$16,2,FALSE)*E16)</f>
        <v>8025.12</v>
      </c>
      <c r="L16" s="4"/>
      <c r="M16" s="15">
        <f>IF(L16="",0,VLOOKUP(L16,Table!$A$6:$B$16,2,FALSE)*E16)</f>
        <v>0</v>
      </c>
      <c r="N16" s="4"/>
      <c r="O16" s="15">
        <f>IF(N16="",0,VLOOKUP(N16,Table!$A$6:$B$16,2,FALSE)*E16)</f>
        <v>0</v>
      </c>
      <c r="P16" s="4"/>
      <c r="Q16" s="15">
        <f>IF(P16="",0,VLOOKUP(P16,Table!$A$6:$B$16,2,FALSE)*$E16)</f>
        <v>0</v>
      </c>
      <c r="R16" s="4"/>
      <c r="S16" s="15">
        <f>IF(R16="",0,VLOOKUP(R16,Table!$A$6:$B$16,2,FALSE)*$E16)</f>
        <v>0</v>
      </c>
      <c r="T16" s="4" t="s">
        <v>35</v>
      </c>
      <c r="U16" s="15">
        <f>IF(T16="",0,VLOOKUP(T16,Table!$A$6:$B$16,2,FALSE)*$E16)</f>
        <v>11703.3</v>
      </c>
      <c r="V16" s="4"/>
      <c r="W16" s="15">
        <f>IF(V16="",0,VLOOKUP(V16,Table!$A$6:$B$16,2,FALSE)*$E16)</f>
        <v>0</v>
      </c>
      <c r="X16" s="4"/>
      <c r="Y16" s="15">
        <f>IF(X16="",0,VLOOKUP(X16,Table!$A$6:$B$16,2,FALSE)*$E16)</f>
        <v>0</v>
      </c>
      <c r="Z16" s="4"/>
      <c r="AA16" s="15">
        <f>IF(Z16="",0,VLOOKUP(Z16,Table!$A$6:$B$16,2,FALSE)*$E16)</f>
        <v>0</v>
      </c>
      <c r="AB16" s="4"/>
      <c r="AC16" s="15">
        <f>IF(AB16="",0,VLOOKUP(AB16,Table!$A$6:$B$16,2,FALSE)*$E16)</f>
        <v>0</v>
      </c>
      <c r="AD16" s="4" t="s">
        <v>36</v>
      </c>
      <c r="AE16" s="15">
        <f>IF(AD16="",0,VLOOKUP(AD16,Table!$A$6:$B$16,2,FALSE)*$E16)</f>
        <v>19616.96</v>
      </c>
      <c r="AF16" s="4"/>
      <c r="AG16" s="15">
        <f>IF(AF16="",0,VLOOKUP(AF16,Table!$A$6:$B$16,2,FALSE)*$E16)</f>
        <v>0</v>
      </c>
      <c r="AH16" s="4"/>
      <c r="AI16" s="15">
        <f>IF(AH16="",0,VLOOKUP(AH16,Table!$A$6:$B$16,2,FALSE)*$E16)</f>
        <v>0</v>
      </c>
      <c r="AJ16" s="4"/>
      <c r="AK16" s="15">
        <f>IF(AJ16="",0,VLOOKUP(AJ16,Table!$A$6:$B$16,2,FALSE)*$E16)</f>
        <v>0</v>
      </c>
    </row>
    <row r="17" spans="1:37" x14ac:dyDescent="0.25">
      <c r="A17" s="5" t="s">
        <v>10</v>
      </c>
      <c r="B17" s="5" t="s">
        <v>89</v>
      </c>
      <c r="C17" s="7">
        <f>Table!$B$2-'BUDGET SYLV CLASSIQUE'!D17</f>
        <v>2010</v>
      </c>
      <c r="D17" s="6">
        <v>11</v>
      </c>
      <c r="E17" s="25">
        <f>'classe d''age ARGEFO'!D24</f>
        <v>1.1646000000000001</v>
      </c>
      <c r="F17" s="4"/>
      <c r="G17" s="15">
        <f>IF(F17="",0,VLOOKUP(F17,Table!$A$6:$B$16,2,FALSE)*E17)</f>
        <v>0</v>
      </c>
      <c r="H17" s="4"/>
      <c r="I17" s="15">
        <f>IF(H17="",0,VLOOKUP(H17,Table!$A$6:$B$16,2,FALSE)*E17)</f>
        <v>0</v>
      </c>
      <c r="J17" s="4" t="s">
        <v>34</v>
      </c>
      <c r="K17" s="15">
        <f>IF(J17="",0,VLOOKUP(J17,Table!$A$6:$B$16,2,FALSE)*E17)</f>
        <v>670.80960000000005</v>
      </c>
      <c r="L17" s="4"/>
      <c r="M17" s="15">
        <f>IF(L17="",0,VLOOKUP(L17,Table!$A$6:$B$16,2,FALSE)*E17)</f>
        <v>0</v>
      </c>
      <c r="N17" s="4"/>
      <c r="O17" s="15">
        <f>IF(N17="",0,VLOOKUP(N17,Table!$A$6:$B$16,2,FALSE)*E17)</f>
        <v>0</v>
      </c>
      <c r="P17" s="4"/>
      <c r="Q17" s="15">
        <f>IF(P17="",0,VLOOKUP(P17,Table!$A$6:$B$16,2,FALSE)*$E17)</f>
        <v>0</v>
      </c>
      <c r="R17" s="4"/>
      <c r="S17" s="15">
        <f>IF(R17="",0,VLOOKUP(R17,Table!$A$6:$B$16,2,FALSE)*$E17)</f>
        <v>0</v>
      </c>
      <c r="T17" s="4" t="s">
        <v>35</v>
      </c>
      <c r="U17" s="15">
        <f>IF(T17="",0,VLOOKUP(T17,Table!$A$6:$B$16,2,FALSE)*$E17)</f>
        <v>978.26400000000012</v>
      </c>
      <c r="V17" s="4"/>
      <c r="W17" s="15">
        <f>IF(V17="",0,VLOOKUP(V17,Table!$A$6:$B$16,2,FALSE)*$E17)</f>
        <v>0</v>
      </c>
      <c r="X17" s="4"/>
      <c r="Y17" s="15">
        <f>IF(X17="",0,VLOOKUP(X17,Table!$A$6:$B$16,2,FALSE)*$E17)</f>
        <v>0</v>
      </c>
      <c r="Z17" s="4"/>
      <c r="AA17" s="15">
        <f>IF(Z17="",0,VLOOKUP(Z17,Table!$A$6:$B$16,2,FALSE)*$E17)</f>
        <v>0</v>
      </c>
      <c r="AB17" s="4"/>
      <c r="AC17" s="15">
        <f>IF(AB17="",0,VLOOKUP(AB17,Table!$A$6:$B$16,2,FALSE)*$E17)</f>
        <v>0</v>
      </c>
      <c r="AD17" s="4" t="s">
        <v>36</v>
      </c>
      <c r="AE17" s="15">
        <f>IF(AD17="",0,VLOOKUP(AD17,Table!$A$6:$B$16,2,FALSE)*$E17)</f>
        <v>1639.7568000000001</v>
      </c>
      <c r="AF17" s="4"/>
      <c r="AG17" s="15">
        <f>IF(AF17="",0,VLOOKUP(AF17,Table!$A$6:$B$16,2,FALSE)*$E17)</f>
        <v>0</v>
      </c>
      <c r="AH17" s="4"/>
      <c r="AI17" s="15">
        <f>IF(AH17="",0,VLOOKUP(AH17,Table!$A$6:$B$16,2,FALSE)*$E17)</f>
        <v>0</v>
      </c>
      <c r="AJ17" s="4"/>
      <c r="AK17" s="15">
        <f>IF(AJ17="",0,VLOOKUP(AJ17,Table!$A$6:$B$16,2,FALSE)*$E17)</f>
        <v>0</v>
      </c>
    </row>
    <row r="18" spans="1:37" x14ac:dyDescent="0.25">
      <c r="A18" s="5" t="s">
        <v>4</v>
      </c>
      <c r="B18" s="5" t="s">
        <v>89</v>
      </c>
      <c r="C18" s="7">
        <f>Table!$B$2-'BUDGET SYLV CLASSIQUE'!D18</f>
        <v>2009</v>
      </c>
      <c r="D18" s="6">
        <v>12</v>
      </c>
      <c r="E18" s="25">
        <f>'classe d''age ARGEFO'!C25</f>
        <v>27.747900000000001</v>
      </c>
      <c r="F18" s="4"/>
      <c r="G18" s="15">
        <f>IF(F18="",0,VLOOKUP(F18,Table!$A$6:$B$16,2,FALSE)*E18)</f>
        <v>0</v>
      </c>
      <c r="H18" s="4" t="s">
        <v>34</v>
      </c>
      <c r="I18" s="15">
        <f>IF(H18="",0,VLOOKUP(H18,Table!$A$6:$B$16,2,FALSE)*E18)</f>
        <v>15982.790400000002</v>
      </c>
      <c r="J18" s="4"/>
      <c r="K18" s="15">
        <f>IF(J18="",0,VLOOKUP(J18,Table!$A$6:$B$16,2,FALSE)*E18)</f>
        <v>0</v>
      </c>
      <c r="L18" s="4"/>
      <c r="M18" s="15">
        <f>IF(L18="",0,VLOOKUP(L18,Table!$A$6:$B$16,2,FALSE)*E18)</f>
        <v>0</v>
      </c>
      <c r="N18" s="4"/>
      <c r="O18" s="15">
        <f>IF(N18="",0,VLOOKUP(N18,Table!$A$6:$B$16,2,FALSE)*E18)</f>
        <v>0</v>
      </c>
      <c r="P18" s="4"/>
      <c r="Q18" s="15">
        <f>IF(P18="",0,VLOOKUP(P18,Table!$A$6:$B$16,2,FALSE)*$E18)</f>
        <v>0</v>
      </c>
      <c r="R18" s="4" t="s">
        <v>35</v>
      </c>
      <c r="S18" s="15">
        <f>IF(R18="",0,VLOOKUP(R18,Table!$A$6:$B$16,2,FALSE)*$E18)</f>
        <v>23308.236000000001</v>
      </c>
      <c r="T18" s="4"/>
      <c r="U18" s="15">
        <f>IF(T18="",0,VLOOKUP(T18,Table!$A$6:$B$16,2,FALSE)*$E18)</f>
        <v>0</v>
      </c>
      <c r="V18" s="4"/>
      <c r="W18" s="15">
        <f>IF(V18="",0,VLOOKUP(V18,Table!$A$6:$B$16,2,FALSE)*$E18)</f>
        <v>0</v>
      </c>
      <c r="X18" s="4"/>
      <c r="Y18" s="15">
        <f>IF(X18="",0,VLOOKUP(X18,Table!$A$6:$B$16,2,FALSE)*$E18)</f>
        <v>0</v>
      </c>
      <c r="Z18" s="4"/>
      <c r="AA18" s="15">
        <f>IF(Z18="",0,VLOOKUP(Z18,Table!$A$6:$B$16,2,FALSE)*$E18)</f>
        <v>0</v>
      </c>
      <c r="AB18" s="4" t="s">
        <v>36</v>
      </c>
      <c r="AC18" s="15">
        <f>IF(AB18="",0,VLOOKUP(AB18,Table!$A$6:$B$16,2,FALSE)*$E18)</f>
        <v>39069.0432</v>
      </c>
      <c r="AD18" s="4"/>
      <c r="AE18" s="15">
        <f>IF(AD18="",0,VLOOKUP(AD18,Table!$A$6:$B$16,2,FALSE)*$E18)</f>
        <v>0</v>
      </c>
      <c r="AF18" s="4"/>
      <c r="AG18" s="15">
        <f>IF(AF18="",0,VLOOKUP(AF18,Table!$A$6:$B$16,2,FALSE)*$E18)</f>
        <v>0</v>
      </c>
      <c r="AH18" s="4"/>
      <c r="AI18" s="15">
        <f>IF(AH18="",0,VLOOKUP(AH18,Table!$A$6:$B$16,2,FALSE)*$E18)</f>
        <v>0</v>
      </c>
      <c r="AJ18" s="4"/>
      <c r="AK18" s="15">
        <f>IF(AJ18="",0,VLOOKUP(AJ18,Table!$A$6:$B$16,2,FALSE)*$E18)</f>
        <v>0</v>
      </c>
    </row>
    <row r="19" spans="1:37" x14ac:dyDescent="0.25">
      <c r="A19" s="5" t="s">
        <v>4</v>
      </c>
      <c r="B19" s="5" t="s">
        <v>89</v>
      </c>
      <c r="C19" s="7">
        <f>Table!$B$2-'BUDGET SYLV CLASSIQUE'!D19</f>
        <v>2008</v>
      </c>
      <c r="D19" s="6">
        <v>13</v>
      </c>
      <c r="E19" s="25">
        <f>'classe d''age ARGEFO'!C26</f>
        <v>0.57279999999999998</v>
      </c>
      <c r="F19" s="4" t="s">
        <v>34</v>
      </c>
      <c r="G19" s="15">
        <f>IF(F19="",0,VLOOKUP(F19,Table!$A$6:$B$16,2,FALSE)*E19)</f>
        <v>329.93279999999999</v>
      </c>
      <c r="H19" s="4"/>
      <c r="I19" s="15">
        <f>IF(H19="",0,VLOOKUP(H19,Table!$A$6:$B$16,2,FALSE)*E19)</f>
        <v>0</v>
      </c>
      <c r="J19" s="4"/>
      <c r="K19" s="15">
        <f>IF(J19="",0,VLOOKUP(J19,Table!$A$6:$B$16,2,FALSE)*E19)</f>
        <v>0</v>
      </c>
      <c r="L19" s="4"/>
      <c r="M19" s="15">
        <f>IF(L19="",0,VLOOKUP(L19,Table!$A$6:$B$16,2,FALSE)*E19)</f>
        <v>0</v>
      </c>
      <c r="N19" s="4"/>
      <c r="O19" s="15">
        <f>IF(N19="",0,VLOOKUP(N19,Table!$A$6:$B$16,2,FALSE)*E19)</f>
        <v>0</v>
      </c>
      <c r="P19" s="4" t="s">
        <v>35</v>
      </c>
      <c r="Q19" s="15">
        <f>IF(P19="",0,VLOOKUP(P19,Table!$A$6:$B$16,2,FALSE)*$E19)</f>
        <v>481.15199999999999</v>
      </c>
      <c r="R19" s="4"/>
      <c r="S19" s="15">
        <f>IF(R19="",0,VLOOKUP(R19,Table!$A$6:$B$16,2,FALSE)*$E19)</f>
        <v>0</v>
      </c>
      <c r="T19" s="4"/>
      <c r="U19" s="15">
        <f>IF(T19="",0,VLOOKUP(T19,Table!$A$6:$B$16,2,FALSE)*$E19)</f>
        <v>0</v>
      </c>
      <c r="V19" s="4"/>
      <c r="W19" s="15">
        <f>IF(V19="",0,VLOOKUP(V19,Table!$A$6:$B$16,2,FALSE)*$E19)</f>
        <v>0</v>
      </c>
      <c r="X19" s="4"/>
      <c r="Y19" s="15">
        <f>IF(X19="",0,VLOOKUP(X19,Table!$A$6:$B$16,2,FALSE)*$E19)</f>
        <v>0</v>
      </c>
      <c r="Z19" s="4" t="s">
        <v>36</v>
      </c>
      <c r="AA19" s="15">
        <f>IF(Z19="",0,VLOOKUP(Z19,Table!$A$6:$B$16,2,FALSE)*$E19)</f>
        <v>806.50239999999997</v>
      </c>
      <c r="AB19" s="4"/>
      <c r="AC19" s="15">
        <f>IF(AB19="",0,VLOOKUP(AB19,Table!$A$6:$B$16,2,FALSE)*$E19)</f>
        <v>0</v>
      </c>
      <c r="AD19" s="4"/>
      <c r="AE19" s="15">
        <f>IF(AD19="",0,VLOOKUP(AD19,Table!$A$6:$B$16,2,FALSE)*$E19)</f>
        <v>0</v>
      </c>
      <c r="AF19" s="4"/>
      <c r="AG19" s="15">
        <f>IF(AF19="",0,VLOOKUP(AF19,Table!$A$6:$B$16,2,FALSE)*$E19)</f>
        <v>0</v>
      </c>
      <c r="AH19" s="4"/>
      <c r="AI19" s="15">
        <f>IF(AH19="",0,VLOOKUP(AH19,Table!$A$6:$B$16,2,FALSE)*$E19)</f>
        <v>0</v>
      </c>
      <c r="AJ19" s="4" t="s">
        <v>37</v>
      </c>
      <c r="AK19" s="15">
        <f>IF(AJ19="",0,VLOOKUP(AJ19,Table!$A$6:$B$16,2,FALSE)*$E19)</f>
        <v>733.18399999999997</v>
      </c>
    </row>
    <row r="20" spans="1:37" x14ac:dyDescent="0.25">
      <c r="A20" s="5" t="s">
        <v>10</v>
      </c>
      <c r="B20" s="5" t="s">
        <v>89</v>
      </c>
      <c r="C20" s="7">
        <f>Table!$B$2-'BUDGET SYLV CLASSIQUE'!D20</f>
        <v>2008</v>
      </c>
      <c r="D20" s="6">
        <v>13</v>
      </c>
      <c r="E20" s="25">
        <f>'classe d''age ARGEFO'!D26</f>
        <v>7.2958999999999996</v>
      </c>
      <c r="F20" s="4" t="s">
        <v>34</v>
      </c>
      <c r="G20" s="15">
        <f>IF(F20="",0,VLOOKUP(F20,Table!$A$6:$B$16,2,FALSE)*E20)</f>
        <v>4202.4384</v>
      </c>
      <c r="H20" s="4"/>
      <c r="I20" s="15">
        <f>IF(H20="",0,VLOOKUP(H20,Table!$A$6:$B$16,2,FALSE)*E20)</f>
        <v>0</v>
      </c>
      <c r="J20" s="4"/>
      <c r="K20" s="15">
        <f>IF(J20="",0,VLOOKUP(J20,Table!$A$6:$B$16,2,FALSE)*E20)</f>
        <v>0</v>
      </c>
      <c r="L20" s="4"/>
      <c r="M20" s="15">
        <f>IF(L20="",0,VLOOKUP(L20,Table!$A$6:$B$16,2,FALSE)*E20)</f>
        <v>0</v>
      </c>
      <c r="N20" s="4"/>
      <c r="O20" s="15">
        <f>IF(N20="",0,VLOOKUP(N20,Table!$A$6:$B$16,2,FALSE)*E20)</f>
        <v>0</v>
      </c>
      <c r="P20" s="4" t="s">
        <v>35</v>
      </c>
      <c r="Q20" s="15">
        <f>IF(P20="",0,VLOOKUP(P20,Table!$A$6:$B$16,2,FALSE)*$E20)</f>
        <v>6128.5559999999996</v>
      </c>
      <c r="R20" s="4"/>
      <c r="S20" s="15">
        <f>IF(R20="",0,VLOOKUP(R20,Table!$A$6:$B$16,2,FALSE)*$E20)</f>
        <v>0</v>
      </c>
      <c r="T20" s="4"/>
      <c r="U20" s="15">
        <f>IF(T20="",0,VLOOKUP(T20,Table!$A$6:$B$16,2,FALSE)*$E20)</f>
        <v>0</v>
      </c>
      <c r="V20" s="4"/>
      <c r="W20" s="15">
        <f>IF(V20="",0,VLOOKUP(V20,Table!$A$6:$B$16,2,FALSE)*$E20)</f>
        <v>0</v>
      </c>
      <c r="X20" s="4"/>
      <c r="Y20" s="15">
        <f>IF(X20="",0,VLOOKUP(X20,Table!$A$6:$B$16,2,FALSE)*$E20)</f>
        <v>0</v>
      </c>
      <c r="Z20" s="4" t="s">
        <v>36</v>
      </c>
      <c r="AA20" s="15">
        <f>IF(Z20="",0,VLOOKUP(Z20,Table!$A$6:$B$16,2,FALSE)*$E20)</f>
        <v>10272.627199999999</v>
      </c>
      <c r="AB20" s="4"/>
      <c r="AC20" s="15">
        <f>IF(AB20="",0,VLOOKUP(AB20,Table!$A$6:$B$16,2,FALSE)*$E20)</f>
        <v>0</v>
      </c>
      <c r="AD20" s="4"/>
      <c r="AE20" s="15">
        <f>IF(AD20="",0,VLOOKUP(AD20,Table!$A$6:$B$16,2,FALSE)*$E20)</f>
        <v>0</v>
      </c>
      <c r="AF20" s="4"/>
      <c r="AG20" s="15">
        <f>IF(AF20="",0,VLOOKUP(AF20,Table!$A$6:$B$16,2,FALSE)*$E20)</f>
        <v>0</v>
      </c>
      <c r="AH20" s="4"/>
      <c r="AI20" s="15">
        <f>IF(AH20="",0,VLOOKUP(AH20,Table!$A$6:$B$16,2,FALSE)*$E20)</f>
        <v>0</v>
      </c>
      <c r="AJ20" s="4" t="s">
        <v>37</v>
      </c>
      <c r="AK20" s="15">
        <f>IF(AJ20="",0,VLOOKUP(AJ20,Table!$A$6:$B$16,2,FALSE)*$E20)</f>
        <v>9338.7520000000004</v>
      </c>
    </row>
    <row r="21" spans="1:37" x14ac:dyDescent="0.25">
      <c r="A21" s="5" t="s">
        <v>10</v>
      </c>
      <c r="B21" s="5" t="s">
        <v>89</v>
      </c>
      <c r="C21" s="7">
        <f>Table!$B$2-'BUDGET SYLV CLASSIQUE'!D21</f>
        <v>2006</v>
      </c>
      <c r="D21" s="6">
        <v>15</v>
      </c>
      <c r="E21" s="25">
        <f>'classe d''age ARGEFO'!D28</f>
        <v>32.357100000000003</v>
      </c>
      <c r="F21" s="4"/>
      <c r="G21" s="15">
        <f>IF(F21="",0,VLOOKUP(F21,Table!$A$6:$B$16,2,FALSE)*E21)</f>
        <v>0</v>
      </c>
      <c r="H21" s="4"/>
      <c r="I21" s="15">
        <f>IF(H21="",0,VLOOKUP(H21,Table!$A$6:$B$16,2,FALSE)*E21)</f>
        <v>0</v>
      </c>
      <c r="J21" s="4"/>
      <c r="K21" s="15">
        <f>IF(J21="",0,VLOOKUP(J21,Table!$A$6:$B$16,2,FALSE)*E21)</f>
        <v>0</v>
      </c>
      <c r="L21" s="4" t="s">
        <v>35</v>
      </c>
      <c r="M21" s="15">
        <f>IF(L21="",0,VLOOKUP(L21,Table!$A$6:$B$16,2,FALSE)*E21)</f>
        <v>27179.964000000004</v>
      </c>
      <c r="N21" s="4"/>
      <c r="O21" s="15">
        <f>IF(N21="",0,VLOOKUP(N21,Table!$A$6:$B$16,2,FALSE)*E21)</f>
        <v>0</v>
      </c>
      <c r="P21" s="4"/>
      <c r="Q21" s="15">
        <f>IF(P21="",0,VLOOKUP(P21,Table!$A$6:$B$16,2,FALSE)*$E21)</f>
        <v>0</v>
      </c>
      <c r="R21" s="4"/>
      <c r="S21" s="15">
        <f>IF(R21="",0,VLOOKUP(R21,Table!$A$6:$B$16,2,FALSE)*$E21)</f>
        <v>0</v>
      </c>
      <c r="T21" s="4"/>
      <c r="U21" s="15">
        <f>IF(T21="",0,VLOOKUP(T21,Table!$A$6:$B$16,2,FALSE)*$E21)</f>
        <v>0</v>
      </c>
      <c r="V21" s="4" t="s">
        <v>36</v>
      </c>
      <c r="W21" s="15">
        <f>IF(V21="",0,VLOOKUP(V21,Table!$A$6:$B$16,2,FALSE)*$E21)</f>
        <v>45558.796800000004</v>
      </c>
      <c r="X21" s="4"/>
      <c r="Y21" s="15">
        <f>IF(X21="",0,VLOOKUP(X21,Table!$A$6:$B$16,2,FALSE)*$E21)</f>
        <v>0</v>
      </c>
      <c r="Z21" s="4"/>
      <c r="AA21" s="15">
        <f>IF(Z21="",0,VLOOKUP(Z21,Table!$A$6:$B$16,2,FALSE)*$E21)</f>
        <v>0</v>
      </c>
      <c r="AB21" s="4"/>
      <c r="AC21" s="15">
        <f>IF(AB21="",0,VLOOKUP(AB21,Table!$A$6:$B$16,2,FALSE)*$E21)</f>
        <v>0</v>
      </c>
      <c r="AD21" s="4"/>
      <c r="AE21" s="15">
        <f>IF(AD21="",0,VLOOKUP(AD21,Table!$A$6:$B$16,2,FALSE)*$E21)</f>
        <v>0</v>
      </c>
      <c r="AF21" s="4" t="s">
        <v>37</v>
      </c>
      <c r="AG21" s="15">
        <f>IF(AF21="",0,VLOOKUP(AF21,Table!$A$6:$B$16,2,FALSE)*$E21)</f>
        <v>41417.088000000003</v>
      </c>
      <c r="AH21" s="4"/>
      <c r="AI21" s="15">
        <f>IF(AH21="",0,VLOOKUP(AH21,Table!$A$6:$B$16,2,FALSE)*$E21)</f>
        <v>0</v>
      </c>
      <c r="AJ21" s="4"/>
      <c r="AK21" s="15">
        <f>IF(AJ21="",0,VLOOKUP(AJ21,Table!$A$6:$B$16,2,FALSE)*$E21)</f>
        <v>0</v>
      </c>
    </row>
    <row r="22" spans="1:37" x14ac:dyDescent="0.25">
      <c r="A22" s="5" t="s">
        <v>4</v>
      </c>
      <c r="B22" s="5" t="s">
        <v>89</v>
      </c>
      <c r="C22" s="7">
        <f>Table!$B$2-'BUDGET SYLV CLASSIQUE'!D22</f>
        <v>2005</v>
      </c>
      <c r="D22" s="6">
        <v>16</v>
      </c>
      <c r="E22" s="25">
        <f>'classe d''age ARGEFO'!C29</f>
        <v>80.749700000000004</v>
      </c>
      <c r="F22" s="4"/>
      <c r="G22" s="15">
        <f>IF(F22="",0,VLOOKUP(F22,Table!$A$6:$B$16,2,FALSE)*E22)</f>
        <v>0</v>
      </c>
      <c r="H22" s="4"/>
      <c r="I22" s="15">
        <f>IF(H22="",0,VLOOKUP(H22,Table!$A$6:$B$16,2,FALSE)*E22)</f>
        <v>0</v>
      </c>
      <c r="J22" s="4" t="s">
        <v>35</v>
      </c>
      <c r="K22" s="15">
        <f>IF(J22="",0,VLOOKUP(J22,Table!$A$6:$B$16,2,FALSE)*E22)</f>
        <v>67829.748000000007</v>
      </c>
      <c r="L22" s="4"/>
      <c r="M22" s="15">
        <f>IF(L22="",0,VLOOKUP(L22,Table!$A$6:$B$16,2,FALSE)*E22)</f>
        <v>0</v>
      </c>
      <c r="N22" s="4"/>
      <c r="O22" s="15">
        <f>IF(N22="",0,VLOOKUP(N22,Table!$A$6:$B$16,2,FALSE)*E22)</f>
        <v>0</v>
      </c>
      <c r="P22" s="4"/>
      <c r="Q22" s="15">
        <f>IF(P22="",0,VLOOKUP(P22,Table!$A$6:$B$16,2,FALSE)*$E22)</f>
        <v>0</v>
      </c>
      <c r="R22" s="4"/>
      <c r="S22" s="15">
        <f>IF(R22="",0,VLOOKUP(R22,Table!$A$6:$B$16,2,FALSE)*$E22)</f>
        <v>0</v>
      </c>
      <c r="T22" s="4" t="s">
        <v>36</v>
      </c>
      <c r="U22" s="15">
        <f>IF(T22="",0,VLOOKUP(T22,Table!$A$6:$B$16,2,FALSE)*$E22)</f>
        <v>113695.5776</v>
      </c>
      <c r="V22" s="4"/>
      <c r="W22" s="15">
        <f>IF(V22="",0,VLOOKUP(V22,Table!$A$6:$B$16,2,FALSE)*$E22)</f>
        <v>0</v>
      </c>
      <c r="X22" s="4"/>
      <c r="Y22" s="15">
        <f>IF(X22="",0,VLOOKUP(X22,Table!$A$6:$B$16,2,FALSE)*$E22)</f>
        <v>0</v>
      </c>
      <c r="Z22" s="4"/>
      <c r="AA22" s="15">
        <f>IF(Z22="",0,VLOOKUP(Z22,Table!$A$6:$B$16,2,FALSE)*$E22)</f>
        <v>0</v>
      </c>
      <c r="AB22" s="4"/>
      <c r="AC22" s="15">
        <f>IF(AB22="",0,VLOOKUP(AB22,Table!$A$6:$B$16,2,FALSE)*$E22)</f>
        <v>0</v>
      </c>
      <c r="AD22" s="4" t="s">
        <v>37</v>
      </c>
      <c r="AE22" s="15">
        <f>IF(AD22="",0,VLOOKUP(AD22,Table!$A$6:$B$16,2,FALSE)*$E22)</f>
        <v>103359.61600000001</v>
      </c>
      <c r="AF22" s="4"/>
      <c r="AG22" s="15">
        <f>IF(AF22="",0,VLOOKUP(AF22,Table!$A$6:$B$16,2,FALSE)*$E22)</f>
        <v>0</v>
      </c>
      <c r="AH22" s="4"/>
      <c r="AI22" s="15">
        <f>IF(AH22="",0,VLOOKUP(AH22,Table!$A$6:$B$16,2,FALSE)*$E22)</f>
        <v>0</v>
      </c>
      <c r="AJ22" s="4"/>
      <c r="AK22" s="15">
        <f>IF(AJ22="",0,VLOOKUP(AJ22,Table!$A$6:$B$16,2,FALSE)*$E22)</f>
        <v>0</v>
      </c>
    </row>
    <row r="23" spans="1:37" x14ac:dyDescent="0.25">
      <c r="A23" s="5" t="s">
        <v>10</v>
      </c>
      <c r="B23" s="5" t="s">
        <v>89</v>
      </c>
      <c r="C23" s="7">
        <f>Table!$B$2-'BUDGET SYLV CLASSIQUE'!D23</f>
        <v>2004</v>
      </c>
      <c r="D23" s="6">
        <v>17</v>
      </c>
      <c r="E23" s="25">
        <f>'classe d''age ARGEFO'!D30</f>
        <v>18.899100000000001</v>
      </c>
      <c r="F23" s="4"/>
      <c r="G23" s="15">
        <f>IF(F23="",0,VLOOKUP(F23,Table!$A$6:$B$16,2,FALSE)*E23)</f>
        <v>0</v>
      </c>
      <c r="H23" s="4" t="s">
        <v>35</v>
      </c>
      <c r="I23" s="15">
        <f>IF(H23="",0,VLOOKUP(H23,Table!$A$6:$B$16,2,FALSE)*E23)</f>
        <v>15875.244000000001</v>
      </c>
      <c r="J23" s="4"/>
      <c r="K23" s="15">
        <f>IF(J23="",0,VLOOKUP(J23,Table!$A$6:$B$16,2,FALSE)*E23)</f>
        <v>0</v>
      </c>
      <c r="L23" s="4"/>
      <c r="M23" s="15">
        <f>IF(L23="",0,VLOOKUP(L23,Table!$A$6:$B$16,2,FALSE)*E23)</f>
        <v>0</v>
      </c>
      <c r="N23" s="4"/>
      <c r="O23" s="15">
        <f>IF(N23="",0,VLOOKUP(N23,Table!$A$6:$B$16,2,FALSE)*E23)</f>
        <v>0</v>
      </c>
      <c r="P23" s="4"/>
      <c r="Q23" s="15">
        <f>IF(P23="",0,VLOOKUP(P23,Table!$A$6:$B$16,2,FALSE)*$E23)</f>
        <v>0</v>
      </c>
      <c r="R23" s="4" t="s">
        <v>36</v>
      </c>
      <c r="S23" s="15">
        <f>IF(R23="",0,VLOOKUP(R23,Table!$A$6:$B$16,2,FALSE)*$E23)</f>
        <v>26609.932800000002</v>
      </c>
      <c r="T23" s="4"/>
      <c r="U23" s="15">
        <f>IF(T23="",0,VLOOKUP(T23,Table!$A$6:$B$16,2,FALSE)*$E23)</f>
        <v>0</v>
      </c>
      <c r="V23" s="4"/>
      <c r="W23" s="15">
        <f>IF(V23="",0,VLOOKUP(V23,Table!$A$6:$B$16,2,FALSE)*$E23)</f>
        <v>0</v>
      </c>
      <c r="X23" s="4"/>
      <c r="Y23" s="15">
        <f>IF(X23="",0,VLOOKUP(X23,Table!$A$6:$B$16,2,FALSE)*$E23)</f>
        <v>0</v>
      </c>
      <c r="Z23" s="4"/>
      <c r="AA23" s="15">
        <f>IF(Z23="",0,VLOOKUP(Z23,Table!$A$6:$B$16,2,FALSE)*$E23)</f>
        <v>0</v>
      </c>
      <c r="AB23" s="4" t="s">
        <v>37</v>
      </c>
      <c r="AC23" s="15">
        <f>IF(AB23="",0,VLOOKUP(AB23,Table!$A$6:$B$16,2,FALSE)*$E23)</f>
        <v>24190.848000000002</v>
      </c>
      <c r="AD23" s="4"/>
      <c r="AE23" s="15">
        <f>IF(AD23="",0,VLOOKUP(AD23,Table!$A$6:$B$16,2,FALSE)*$E23)</f>
        <v>0</v>
      </c>
      <c r="AF23" s="4"/>
      <c r="AG23" s="15">
        <f>IF(AF23="",0,VLOOKUP(AF23,Table!$A$6:$B$16,2,FALSE)*$E23)</f>
        <v>0</v>
      </c>
      <c r="AH23" s="4"/>
      <c r="AI23" s="15">
        <f>IF(AH23="",0,VLOOKUP(AH23,Table!$A$6:$B$16,2,FALSE)*$E23)</f>
        <v>0</v>
      </c>
      <c r="AJ23" s="4"/>
      <c r="AK23" s="15">
        <f>IF(AJ23="",0,VLOOKUP(AJ23,Table!$A$6:$B$16,2,FALSE)*$E23)</f>
        <v>0</v>
      </c>
    </row>
    <row r="24" spans="1:37" x14ac:dyDescent="0.25">
      <c r="A24" s="5" t="s">
        <v>4</v>
      </c>
      <c r="B24" s="5" t="s">
        <v>89</v>
      </c>
      <c r="C24" s="7">
        <f>Table!$B$2-'BUDGET SYLV CLASSIQUE'!D24</f>
        <v>2003</v>
      </c>
      <c r="D24" s="6">
        <v>18</v>
      </c>
      <c r="E24" s="25">
        <f>'classe d''age ARGEFO'!C31</f>
        <v>27.896100000000001</v>
      </c>
      <c r="F24" s="4" t="s">
        <v>35</v>
      </c>
      <c r="G24" s="15">
        <f>IF(F24="",0,VLOOKUP(F24,Table!$A$6:$B$16,2,FALSE)*E24)</f>
        <v>23432.724000000002</v>
      </c>
      <c r="H24" s="4"/>
      <c r="I24" s="15">
        <f>IF(H24="",0,VLOOKUP(H24,Table!$A$6:$B$16,2,FALSE)*E24)</f>
        <v>0</v>
      </c>
      <c r="J24" s="4"/>
      <c r="K24" s="15">
        <f>IF(J24="",0,VLOOKUP(J24,Table!$A$6:$B$16,2,FALSE)*E24)</f>
        <v>0</v>
      </c>
      <c r="L24" s="4"/>
      <c r="M24" s="15">
        <f>IF(L24="",0,VLOOKUP(L24,Table!$A$6:$B$16,2,FALSE)*E24)</f>
        <v>0</v>
      </c>
      <c r="N24" s="4"/>
      <c r="O24" s="15">
        <f>IF(N24="",0,VLOOKUP(N24,Table!$A$6:$B$16,2,FALSE)*E24)</f>
        <v>0</v>
      </c>
      <c r="P24" s="4" t="s">
        <v>36</v>
      </c>
      <c r="Q24" s="15">
        <f>IF(P24="",0,VLOOKUP(P24,Table!$A$6:$B$16,2,FALSE)*$E24)</f>
        <v>39277.7088</v>
      </c>
      <c r="R24" s="4"/>
      <c r="S24" s="15">
        <f>IF(R24="",0,VLOOKUP(R24,Table!$A$6:$B$16,2,FALSE)*$E24)</f>
        <v>0</v>
      </c>
      <c r="T24" s="4"/>
      <c r="U24" s="15">
        <f>IF(T24="",0,VLOOKUP(T24,Table!$A$6:$B$16,2,FALSE)*$E24)</f>
        <v>0</v>
      </c>
      <c r="V24" s="4"/>
      <c r="W24" s="15">
        <f>IF(V24="",0,VLOOKUP(V24,Table!$A$6:$B$16,2,FALSE)*$E24)</f>
        <v>0</v>
      </c>
      <c r="X24" s="4"/>
      <c r="Y24" s="15">
        <f>IF(X24="",0,VLOOKUP(X24,Table!$A$6:$B$16,2,FALSE)*$E24)</f>
        <v>0</v>
      </c>
      <c r="Z24" s="4" t="s">
        <v>37</v>
      </c>
      <c r="AA24" s="15">
        <f>IF(Z24="",0,VLOOKUP(Z24,Table!$A$6:$B$16,2,FALSE)*$E24)</f>
        <v>35707.008000000002</v>
      </c>
      <c r="AB24" s="4"/>
      <c r="AC24" s="15">
        <f>IF(AB24="",0,VLOOKUP(AB24,Table!$A$6:$B$16,2,FALSE)*$E24)</f>
        <v>0</v>
      </c>
      <c r="AD24" s="4"/>
      <c r="AE24" s="15">
        <f>IF(AD24="",0,VLOOKUP(AD24,Table!$A$6:$B$16,2,FALSE)*$E24)</f>
        <v>0</v>
      </c>
      <c r="AF24" s="4"/>
      <c r="AG24" s="15">
        <f>IF(AF24="",0,VLOOKUP(AF24,Table!$A$6:$B$16,2,FALSE)*$E24)</f>
        <v>0</v>
      </c>
      <c r="AH24" s="4"/>
      <c r="AI24" s="15">
        <f>IF(AH24="",0,VLOOKUP(AH24,Table!$A$6:$B$16,2,FALSE)*$E24)</f>
        <v>0</v>
      </c>
      <c r="AJ24" s="4"/>
      <c r="AK24" s="15">
        <f>IF(AJ24="",0,VLOOKUP(AJ24,Table!$A$6:$B$16,2,FALSE)*$E24)</f>
        <v>0</v>
      </c>
    </row>
    <row r="25" spans="1:37" x14ac:dyDescent="0.25">
      <c r="A25" s="5" t="s">
        <v>4</v>
      </c>
      <c r="B25" s="5" t="s">
        <v>89</v>
      </c>
      <c r="C25" s="7">
        <f>Table!$B$2-'BUDGET SYLV CLASSIQUE'!D25</f>
        <v>2002</v>
      </c>
      <c r="D25" s="6">
        <v>19</v>
      </c>
      <c r="E25" s="25">
        <f>'classe d''age ARGEFO'!C32</f>
        <v>0.86199999999999999</v>
      </c>
      <c r="F25" s="4"/>
      <c r="G25" s="15">
        <f>IF(F25="",0,VLOOKUP(F25,Table!$A$6:$B$16,2,FALSE)*E25)</f>
        <v>0</v>
      </c>
      <c r="H25" s="4"/>
      <c r="I25" s="15">
        <f>IF(H25="",0,VLOOKUP(H25,Table!$A$6:$B$16,2,FALSE)*E25)</f>
        <v>0</v>
      </c>
      <c r="J25" s="4"/>
      <c r="K25" s="15">
        <f>IF(J25="",0,VLOOKUP(J25,Table!$A$6:$B$16,2,FALSE)*E25)</f>
        <v>0</v>
      </c>
      <c r="L25" s="4"/>
      <c r="M25" s="15">
        <f>IF(L25="",0,VLOOKUP(L25,Table!$A$6:$B$16,2,FALSE)*E25)</f>
        <v>0</v>
      </c>
      <c r="N25" s="4" t="s">
        <v>36</v>
      </c>
      <c r="O25" s="15">
        <f>IF(N25="",0,VLOOKUP(N25,Table!$A$6:$B$16,2,FALSE)*E25)</f>
        <v>1213.6959999999999</v>
      </c>
      <c r="P25" s="4"/>
      <c r="Q25" s="15">
        <f>IF(P25="",0,VLOOKUP(P25,Table!$A$6:$B$16,2,FALSE)*$E25)</f>
        <v>0</v>
      </c>
      <c r="R25" s="4"/>
      <c r="S25" s="15">
        <f>IF(R25="",0,VLOOKUP(R25,Table!$A$6:$B$16,2,FALSE)*$E25)</f>
        <v>0</v>
      </c>
      <c r="T25" s="4"/>
      <c r="U25" s="15">
        <f>IF(T25="",0,VLOOKUP(T25,Table!$A$6:$B$16,2,FALSE)*$E25)</f>
        <v>0</v>
      </c>
      <c r="V25" s="4"/>
      <c r="W25" s="15">
        <f>IF(V25="",0,VLOOKUP(V25,Table!$A$6:$B$16,2,FALSE)*$E25)</f>
        <v>0</v>
      </c>
      <c r="X25" s="4" t="s">
        <v>37</v>
      </c>
      <c r="Y25" s="15">
        <f>IF(X25="",0,VLOOKUP(X25,Table!$A$6:$B$16,2,FALSE)*$E25)</f>
        <v>1103.3599999999999</v>
      </c>
      <c r="Z25" s="4"/>
      <c r="AA25" s="15">
        <f>IF(Z25="",0,VLOOKUP(Z25,Table!$A$6:$B$16,2,FALSE)*$E25)</f>
        <v>0</v>
      </c>
      <c r="AB25" s="4"/>
      <c r="AC25" s="15">
        <f>IF(AB25="",0,VLOOKUP(AB25,Table!$A$6:$B$16,2,FALSE)*$E25)</f>
        <v>0</v>
      </c>
      <c r="AD25" s="4"/>
      <c r="AE25" s="15">
        <f>IF(AD25="",0,VLOOKUP(AD25,Table!$A$6:$B$16,2,FALSE)*$E25)</f>
        <v>0</v>
      </c>
      <c r="AF25" s="4"/>
      <c r="AG25" s="15">
        <f>IF(AF25="",0,VLOOKUP(AF25,Table!$A$6:$B$16,2,FALSE)*$E25)</f>
        <v>0</v>
      </c>
      <c r="AH25" s="4"/>
      <c r="AI25" s="15">
        <f>IF(AH25="",0,VLOOKUP(AH25,Table!$A$6:$B$16,2,FALSE)*$E25)</f>
        <v>0</v>
      </c>
      <c r="AJ25" s="4"/>
      <c r="AK25" s="15">
        <f>IF(AJ25="",0,VLOOKUP(AJ25,Table!$A$6:$B$16,2,FALSE)*$E25)</f>
        <v>0</v>
      </c>
    </row>
    <row r="26" spans="1:37" x14ac:dyDescent="0.25">
      <c r="A26" s="5" t="s">
        <v>4</v>
      </c>
      <c r="B26" s="5" t="s">
        <v>89</v>
      </c>
      <c r="C26" s="7">
        <f>Table!$B$2-'BUDGET SYLV CLASSIQUE'!D26</f>
        <v>2000</v>
      </c>
      <c r="D26" s="6">
        <v>21</v>
      </c>
      <c r="E26" s="25">
        <f>'classe d''age ARGEFO'!C34</f>
        <v>16.333100000000002</v>
      </c>
      <c r="F26" s="4"/>
      <c r="G26" s="15">
        <f>IF(F26="",0,VLOOKUP(F26,Table!$A$6:$B$16,2,FALSE)*E26)</f>
        <v>0</v>
      </c>
      <c r="H26" s="4"/>
      <c r="I26" s="15">
        <f>IF(H26="",0,VLOOKUP(H26,Table!$A$6:$B$16,2,FALSE)*E26)</f>
        <v>0</v>
      </c>
      <c r="J26" s="4" t="s">
        <v>36</v>
      </c>
      <c r="K26" s="15">
        <f>IF(J26="",0,VLOOKUP(J26,Table!$A$6:$B$16,2,FALSE)*E26)</f>
        <v>22997.004800000002</v>
      </c>
      <c r="L26" s="4"/>
      <c r="M26" s="15">
        <f>IF(L26="",0,VLOOKUP(L26,Table!$A$6:$B$16,2,FALSE)*E26)</f>
        <v>0</v>
      </c>
      <c r="N26" s="4"/>
      <c r="O26" s="15">
        <f>IF(N26="",0,VLOOKUP(N26,Table!$A$6:$B$16,2,FALSE)*E26)</f>
        <v>0</v>
      </c>
      <c r="P26" s="4"/>
      <c r="Q26" s="15">
        <f>IF(P26="",0,VLOOKUP(P26,Table!$A$6:$B$16,2,FALSE)*$E26)</f>
        <v>0</v>
      </c>
      <c r="R26" s="4"/>
      <c r="S26" s="15">
        <f>IF(R26="",0,VLOOKUP(R26,Table!$A$6:$B$16,2,FALSE)*$E26)</f>
        <v>0</v>
      </c>
      <c r="T26" s="4" t="s">
        <v>37</v>
      </c>
      <c r="U26" s="15">
        <f>IF(T26="",0,VLOOKUP(T26,Table!$A$6:$B$16,2,FALSE)*$E26)</f>
        <v>20906.368000000002</v>
      </c>
      <c r="V26" s="4"/>
      <c r="W26" s="15">
        <f>IF(V26="",0,VLOOKUP(V26,Table!$A$6:$B$16,2,FALSE)*$E26)</f>
        <v>0</v>
      </c>
      <c r="X26" s="4"/>
      <c r="Y26" s="15">
        <f>IF(X26="",0,VLOOKUP(X26,Table!$A$6:$B$16,2,FALSE)*$E26)</f>
        <v>0</v>
      </c>
      <c r="Z26" s="4"/>
      <c r="AA26" s="15">
        <f>IF(Z26="",0,VLOOKUP(Z26,Table!$A$6:$B$16,2,FALSE)*$E26)</f>
        <v>0</v>
      </c>
      <c r="AB26" s="4"/>
      <c r="AC26" s="15">
        <f>IF(AB26="",0,VLOOKUP(AB26,Table!$A$6:$B$16,2,FALSE)*$E26)</f>
        <v>0</v>
      </c>
      <c r="AD26" s="4"/>
      <c r="AE26" s="15">
        <f>IF(AD26="",0,VLOOKUP(AD26,Table!$A$6:$B$16,2,FALSE)*$E26)</f>
        <v>0</v>
      </c>
      <c r="AF26" s="4"/>
      <c r="AG26" s="15">
        <f>IF(AF26="",0,VLOOKUP(AF26,Table!$A$6:$B$16,2,FALSE)*$E26)</f>
        <v>0</v>
      </c>
      <c r="AH26" s="4" t="s">
        <v>20</v>
      </c>
      <c r="AI26" s="15">
        <f>IF(AH26="",0,VLOOKUP(AH26,Table!$A$6:$B$16,2,FALSE)*$E26)</f>
        <v>143731.28000000003</v>
      </c>
      <c r="AJ26" s="4"/>
      <c r="AK26" s="15">
        <f>IF(AJ26="",0,VLOOKUP(AJ26,Table!$A$6:$B$16,2,FALSE)*$E26)</f>
        <v>0</v>
      </c>
    </row>
    <row r="27" spans="1:37" x14ac:dyDescent="0.25">
      <c r="A27" s="5" t="s">
        <v>4</v>
      </c>
      <c r="B27" s="5" t="s">
        <v>89</v>
      </c>
      <c r="C27" s="7">
        <f>Table!$B$2-'BUDGET SYLV CLASSIQUE'!D27</f>
        <v>1999</v>
      </c>
      <c r="D27" s="6">
        <v>22</v>
      </c>
      <c r="E27" s="25">
        <f>'classe d''age ARGEFO'!C35</f>
        <v>12.0358</v>
      </c>
      <c r="F27" s="4"/>
      <c r="G27" s="15">
        <f>IF(F27="",0,VLOOKUP(F27,Table!$A$6:$B$16,2,FALSE)*E27)</f>
        <v>0</v>
      </c>
      <c r="H27" s="4" t="s">
        <v>36</v>
      </c>
      <c r="I27" s="15">
        <f>IF(H27="",0,VLOOKUP(H27,Table!$A$6:$B$16,2,FALSE)*E27)</f>
        <v>16946.4064</v>
      </c>
      <c r="J27" s="4"/>
      <c r="K27" s="15">
        <f>IF(J27="",0,VLOOKUP(J27,Table!$A$6:$B$16,2,FALSE)*E27)</f>
        <v>0</v>
      </c>
      <c r="L27" s="4"/>
      <c r="M27" s="15">
        <f>IF(L27="",0,VLOOKUP(L27,Table!$A$6:$B$16,2,FALSE)*E27)</f>
        <v>0</v>
      </c>
      <c r="N27" s="4"/>
      <c r="O27" s="15">
        <f>IF(N27="",0,VLOOKUP(N27,Table!$A$6:$B$16,2,FALSE)*E27)</f>
        <v>0</v>
      </c>
      <c r="P27" s="4"/>
      <c r="Q27" s="15">
        <f>IF(P27="",0,VLOOKUP(P27,Table!$A$6:$B$16,2,FALSE)*$E27)</f>
        <v>0</v>
      </c>
      <c r="R27" s="4" t="s">
        <v>37</v>
      </c>
      <c r="S27" s="15">
        <f>IF(R27="",0,VLOOKUP(R27,Table!$A$6:$B$16,2,FALSE)*$E27)</f>
        <v>15405.824000000001</v>
      </c>
      <c r="T27" s="4"/>
      <c r="U27" s="15">
        <f>IF(T27="",0,VLOOKUP(T27,Table!$A$6:$B$16,2,FALSE)*$E27)</f>
        <v>0</v>
      </c>
      <c r="V27" s="4"/>
      <c r="W27" s="15">
        <f>IF(V27="",0,VLOOKUP(V27,Table!$A$6:$B$16,2,FALSE)*$E27)</f>
        <v>0</v>
      </c>
      <c r="X27" s="4"/>
      <c r="Y27" s="15">
        <f>IF(X27="",0,VLOOKUP(X27,Table!$A$6:$B$16,2,FALSE)*$E27)</f>
        <v>0</v>
      </c>
      <c r="Z27" s="4"/>
      <c r="AA27" s="15">
        <f>IF(Z27="",0,VLOOKUP(Z27,Table!$A$6:$B$16,2,FALSE)*$E27)</f>
        <v>0</v>
      </c>
      <c r="AB27" s="4"/>
      <c r="AC27" s="15">
        <f>IF(AB27="",0,VLOOKUP(AB27,Table!$A$6:$B$16,2,FALSE)*$E27)</f>
        <v>0</v>
      </c>
      <c r="AD27" s="4"/>
      <c r="AE27" s="15">
        <f>IF(AD27="",0,VLOOKUP(AD27,Table!$A$6:$B$16,2,FALSE)*$E27)</f>
        <v>0</v>
      </c>
      <c r="AF27" s="4" t="s">
        <v>20</v>
      </c>
      <c r="AG27" s="15">
        <f>IF(AF27="",0,VLOOKUP(AF27,Table!$A$6:$B$16,2,FALSE)*$E27)</f>
        <v>105915.04</v>
      </c>
      <c r="AH27" s="4"/>
      <c r="AI27" s="15">
        <f>IF(AH27="",0,VLOOKUP(AH27,Table!$A$6:$B$16,2,FALSE)*$E27)</f>
        <v>0</v>
      </c>
      <c r="AJ27" s="4" t="s">
        <v>23</v>
      </c>
      <c r="AK27" s="15">
        <f>IF(AJ27="",0,VLOOKUP(AJ27,Table!$A$6:$B$16,2,FALSE)*$E27)</f>
        <v>-20460.86</v>
      </c>
    </row>
    <row r="28" spans="1:37" x14ac:dyDescent="0.25">
      <c r="A28" s="5" t="s">
        <v>4</v>
      </c>
      <c r="B28" s="5" t="s">
        <v>89</v>
      </c>
      <c r="C28" s="7">
        <f>Table!$B$2-'BUDGET SYLV CLASSIQUE'!D28</f>
        <v>1998</v>
      </c>
      <c r="D28" s="6">
        <v>23</v>
      </c>
      <c r="E28" s="25">
        <f>'classe d''age ARGEFO'!C36</f>
        <v>52.951000000000001</v>
      </c>
      <c r="F28" s="4" t="s">
        <v>36</v>
      </c>
      <c r="G28" s="15">
        <f>IF(F28="",0,VLOOKUP(F28,Table!$A$6:$B$16,2,FALSE)*E28)</f>
        <v>74555.008000000002</v>
      </c>
      <c r="H28" s="4"/>
      <c r="I28" s="15">
        <f>IF(H28="",0,VLOOKUP(H28,Table!$A$6:$B$16,2,FALSE)*E28)</f>
        <v>0</v>
      </c>
      <c r="J28" s="4"/>
      <c r="K28" s="15">
        <f>IF(J28="",0,VLOOKUP(J28,Table!$A$6:$B$16,2,FALSE)*E28)</f>
        <v>0</v>
      </c>
      <c r="L28" s="4"/>
      <c r="M28" s="15">
        <f>IF(L28="",0,VLOOKUP(L28,Table!$A$6:$B$16,2,FALSE)*E28)</f>
        <v>0</v>
      </c>
      <c r="N28" s="4"/>
      <c r="O28" s="15">
        <f>IF(N28="",0,VLOOKUP(N28,Table!$A$6:$B$16,2,FALSE)*E28)</f>
        <v>0</v>
      </c>
      <c r="P28" s="4" t="s">
        <v>37</v>
      </c>
      <c r="Q28" s="15">
        <f>IF(P28="",0,VLOOKUP(P28,Table!$A$6:$B$16,2,FALSE)*$E28)</f>
        <v>67777.279999999999</v>
      </c>
      <c r="R28" s="4"/>
      <c r="S28" s="15">
        <f>IF(R28="",0,VLOOKUP(R28,Table!$A$6:$B$16,2,FALSE)*$E28)</f>
        <v>0</v>
      </c>
      <c r="T28" s="4"/>
      <c r="U28" s="15">
        <f>IF(T28="",0,VLOOKUP(T28,Table!$A$6:$B$16,2,FALSE)*$E28)</f>
        <v>0</v>
      </c>
      <c r="V28" s="4"/>
      <c r="W28" s="15">
        <f>IF(V28="",0,VLOOKUP(V28,Table!$A$6:$B$16,2,FALSE)*$E28)</f>
        <v>0</v>
      </c>
      <c r="X28" s="4"/>
      <c r="Y28" s="15">
        <f>IF(X28="",0,VLOOKUP(X28,Table!$A$6:$B$16,2,FALSE)*$E28)</f>
        <v>0</v>
      </c>
      <c r="Z28" s="4"/>
      <c r="AA28" s="15">
        <f>IF(Z28="",0,VLOOKUP(Z28,Table!$A$6:$B$16,2,FALSE)*$E28)</f>
        <v>0</v>
      </c>
      <c r="AB28" s="4"/>
      <c r="AC28" s="15">
        <f>IF(AB28="",0,VLOOKUP(AB28,Table!$A$6:$B$16,2,FALSE)*$E28)</f>
        <v>0</v>
      </c>
      <c r="AD28" s="4" t="s">
        <v>20</v>
      </c>
      <c r="AE28" s="15">
        <f>IF(AD28="",0,VLOOKUP(AD28,Table!$A$6:$B$16,2,FALSE)*$E28)</f>
        <v>465968.8</v>
      </c>
      <c r="AF28" s="4"/>
      <c r="AG28" s="15">
        <f>IF(AF28="",0,VLOOKUP(AF28,Table!$A$6:$B$16,2,FALSE)*$E28)</f>
        <v>0</v>
      </c>
      <c r="AH28" s="4" t="s">
        <v>23</v>
      </c>
      <c r="AI28" s="15">
        <f>IF(AH28="",0,VLOOKUP(AH28,Table!$A$6:$B$16,2,FALSE)*$E28)</f>
        <v>-90016.7</v>
      </c>
      <c r="AJ28" s="4" t="s">
        <v>43</v>
      </c>
      <c r="AK28" s="15">
        <f>IF(AJ28="",0,VLOOKUP(AJ28,Table!$A$6:$B$16,2,FALSE)*$E28)</f>
        <v>-3971.3249999999998</v>
      </c>
    </row>
    <row r="29" spans="1:37" x14ac:dyDescent="0.25">
      <c r="A29" s="5" t="s">
        <v>4</v>
      </c>
      <c r="B29" s="5" t="s">
        <v>89</v>
      </c>
      <c r="C29" s="7">
        <f>Table!$B$2-'BUDGET SYLV CLASSIQUE'!D29</f>
        <v>1997</v>
      </c>
      <c r="D29" s="6">
        <v>24</v>
      </c>
      <c r="E29" s="25">
        <f>'classe d''age ARGEFO'!C37</f>
        <v>32.406999999999996</v>
      </c>
      <c r="F29" s="4"/>
      <c r="G29" s="15">
        <f>IF(F29="",0,VLOOKUP(F29,Table!$A$6:$B$16,2,FALSE)*E29)</f>
        <v>0</v>
      </c>
      <c r="H29" s="4"/>
      <c r="I29" s="15">
        <f>IF(H29="",0,VLOOKUP(H29,Table!$A$6:$B$16,2,FALSE)*E29)</f>
        <v>0</v>
      </c>
      <c r="J29" s="4"/>
      <c r="K29" s="15">
        <f>IF(J29="",0,VLOOKUP(J29,Table!$A$6:$B$16,2,FALSE)*E29)</f>
        <v>0</v>
      </c>
      <c r="L29" s="4"/>
      <c r="M29" s="15">
        <f>IF(L29="",0,VLOOKUP(L29,Table!$A$6:$B$16,2,FALSE)*E29)</f>
        <v>0</v>
      </c>
      <c r="N29" s="4" t="s">
        <v>37</v>
      </c>
      <c r="O29" s="15">
        <f>IF(N29="",0,VLOOKUP(N29,Table!$A$6:$B$16,2,FALSE)*E29)</f>
        <v>41480.959999999992</v>
      </c>
      <c r="P29" s="4"/>
      <c r="Q29" s="15">
        <f>IF(P29="",0,VLOOKUP(P29,Table!$A$6:$B$16,2,FALSE)*$E29)</f>
        <v>0</v>
      </c>
      <c r="R29" s="4"/>
      <c r="S29" s="15">
        <f>IF(R29="",0,VLOOKUP(R29,Table!$A$6:$B$16,2,FALSE)*$E29)</f>
        <v>0</v>
      </c>
      <c r="T29" s="4"/>
      <c r="U29" s="15">
        <f>IF(T29="",0,VLOOKUP(T29,Table!$A$6:$B$16,2,FALSE)*$E29)</f>
        <v>0</v>
      </c>
      <c r="V29" s="4"/>
      <c r="W29" s="15">
        <f>IF(V29="",0,VLOOKUP(V29,Table!$A$6:$B$16,2,FALSE)*$E29)</f>
        <v>0</v>
      </c>
      <c r="X29" s="4"/>
      <c r="Y29" s="15">
        <f>IF(X29="",0,VLOOKUP(X29,Table!$A$6:$B$16,2,FALSE)*$E29)</f>
        <v>0</v>
      </c>
      <c r="Z29" s="4"/>
      <c r="AA29" s="15">
        <f>IF(Z29="",0,VLOOKUP(Z29,Table!$A$6:$B$16,2,FALSE)*$E29)</f>
        <v>0</v>
      </c>
      <c r="AB29" s="4" t="s">
        <v>20</v>
      </c>
      <c r="AC29" s="15">
        <f>IF(AB29="",0,VLOOKUP(AB29,Table!$A$6:$B$16,2,FALSE)*$E29)</f>
        <v>285181.59999999998</v>
      </c>
      <c r="AD29" s="4"/>
      <c r="AE29" s="15">
        <f>IF(AD29="",0,VLOOKUP(AD29,Table!$A$6:$B$16,2,FALSE)*$E29)</f>
        <v>0</v>
      </c>
      <c r="AF29" s="4" t="s">
        <v>23</v>
      </c>
      <c r="AG29" s="15">
        <f>IF(AF29="",0,VLOOKUP(AF29,Table!$A$6:$B$16,2,FALSE)*$E29)</f>
        <v>-55091.899999999994</v>
      </c>
      <c r="AH29" s="4" t="s">
        <v>43</v>
      </c>
      <c r="AI29" s="15">
        <f>IF(AH29="",0,VLOOKUP(AH29,Table!$A$6:$B$16,2,FALSE)*$E29)</f>
        <v>-2430.5249999999996</v>
      </c>
      <c r="AJ29" s="4" t="s">
        <v>24</v>
      </c>
      <c r="AK29" s="15">
        <f>IF(AJ29="",0,VLOOKUP(AJ29,Table!$A$6:$B$16,2,FALSE)*$E29)</f>
        <v>-2916.6299999999997</v>
      </c>
    </row>
    <row r="30" spans="1:37" x14ac:dyDescent="0.25">
      <c r="A30" s="5" t="s">
        <v>4</v>
      </c>
      <c r="B30" s="5" t="s">
        <v>89</v>
      </c>
      <c r="C30" s="7">
        <f>Table!$B$2-'BUDGET SYLV CLASSIQUE'!D30</f>
        <v>1995</v>
      </c>
      <c r="D30" s="6">
        <v>26</v>
      </c>
      <c r="E30" s="25">
        <f>'classe d''age ARGEFO'!C39</f>
        <v>10.647399999999999</v>
      </c>
      <c r="F30" s="4"/>
      <c r="G30" s="15">
        <f>IF(F30="",0,VLOOKUP(F30,Table!$A$6:$B$16,2,FALSE)*E30)</f>
        <v>0</v>
      </c>
      <c r="H30" s="4"/>
      <c r="I30" s="15">
        <f>IF(H30="",0,VLOOKUP(H30,Table!$A$6:$B$16,2,FALSE)*E30)</f>
        <v>0</v>
      </c>
      <c r="J30" s="4" t="s">
        <v>37</v>
      </c>
      <c r="K30" s="15">
        <f>IF(J30="",0,VLOOKUP(J30,Table!$A$6:$B$16,2,FALSE)*E30)</f>
        <v>13628.671999999999</v>
      </c>
      <c r="L30" s="4"/>
      <c r="M30" s="15">
        <f>IF(L30="",0,VLOOKUP(L30,Table!$A$6:$B$16,2,FALSE)*E30)</f>
        <v>0</v>
      </c>
      <c r="N30" s="4"/>
      <c r="O30" s="15">
        <f>IF(N30="",0,VLOOKUP(N30,Table!$A$6:$B$16,2,FALSE)*E30)</f>
        <v>0</v>
      </c>
      <c r="P30" s="4"/>
      <c r="Q30" s="15">
        <f>IF(P30="",0,VLOOKUP(P30,Table!$A$6:$B$16,2,FALSE)*$E30)</f>
        <v>0</v>
      </c>
      <c r="R30" s="4"/>
      <c r="S30" s="15">
        <f>IF(R30="",0,VLOOKUP(R30,Table!$A$6:$B$16,2,FALSE)*$E30)</f>
        <v>0</v>
      </c>
      <c r="T30" s="4"/>
      <c r="U30" s="15">
        <f>IF(T30="",0,VLOOKUP(T30,Table!$A$6:$B$16,2,FALSE)*$E30)</f>
        <v>0</v>
      </c>
      <c r="V30" s="4"/>
      <c r="W30" s="15">
        <f>IF(V30="",0,VLOOKUP(V30,Table!$A$6:$B$16,2,FALSE)*$E30)</f>
        <v>0</v>
      </c>
      <c r="X30" s="4" t="s">
        <v>20</v>
      </c>
      <c r="Y30" s="15">
        <f>IF(X30="",0,VLOOKUP(X30,Table!$A$6:$B$16,2,FALSE)*$E30)</f>
        <v>93697.12</v>
      </c>
      <c r="Z30" s="4"/>
      <c r="AA30" s="15">
        <f>IF(Z30="",0,VLOOKUP(Z30,Table!$A$6:$B$16,2,FALSE)*$E30)</f>
        <v>0</v>
      </c>
      <c r="AB30" s="4" t="s">
        <v>23</v>
      </c>
      <c r="AC30" s="15">
        <f>IF(AB30="",0,VLOOKUP(AB30,Table!$A$6:$B$16,2,FALSE)*$E30)</f>
        <v>-18100.579999999998</v>
      </c>
      <c r="AD30" s="4" t="s">
        <v>43</v>
      </c>
      <c r="AE30" s="15">
        <f>IF(AD30="",0,VLOOKUP(AD30,Table!$A$6:$B$16,2,FALSE)*$E30)</f>
        <v>-798.55499999999995</v>
      </c>
      <c r="AF30" s="4" t="s">
        <v>24</v>
      </c>
      <c r="AG30" s="15">
        <f>IF(AF30="",0,VLOOKUP(AF30,Table!$A$6:$B$16,2,FALSE)*$E30)</f>
        <v>-958.26599999999996</v>
      </c>
      <c r="AH30" s="4"/>
      <c r="AI30" s="15">
        <f>IF(AH30="",0,VLOOKUP(AH30,Table!$A$6:$B$16,2,FALSE)*$E30)</f>
        <v>0</v>
      </c>
      <c r="AJ30" s="4" t="s">
        <v>25</v>
      </c>
      <c r="AK30" s="15">
        <f>IF(AJ30="",0,VLOOKUP(AJ30,Table!$A$6:$B$16,2,FALSE)*$E30)</f>
        <v>-958.26599999999996</v>
      </c>
    </row>
    <row r="31" spans="1:37" x14ac:dyDescent="0.25">
      <c r="A31" s="5" t="s">
        <v>4</v>
      </c>
      <c r="B31" s="5" t="s">
        <v>89</v>
      </c>
      <c r="C31" s="7">
        <f>Table!$B$2-'BUDGET SYLV CLASSIQUE'!D31</f>
        <v>1993</v>
      </c>
      <c r="D31" s="6">
        <v>28</v>
      </c>
      <c r="E31" s="25">
        <f>'classe d''age ARGEFO'!C41</f>
        <v>3.8868</v>
      </c>
      <c r="F31" s="4" t="s">
        <v>37</v>
      </c>
      <c r="G31" s="15">
        <f>IF(F31="",0,VLOOKUP(F31,Table!$A$6:$B$16,2,FALSE)*E31)</f>
        <v>4975.1040000000003</v>
      </c>
      <c r="H31" s="4"/>
      <c r="I31" s="15">
        <f>IF(H31="",0,VLOOKUP(H31,Table!$A$6:$B$16,2,FALSE)*E31)</f>
        <v>0</v>
      </c>
      <c r="J31" s="4"/>
      <c r="K31" s="15">
        <f>IF(J31="",0,VLOOKUP(J31,Table!$A$6:$B$16,2,FALSE)*E31)</f>
        <v>0</v>
      </c>
      <c r="L31" s="4"/>
      <c r="M31" s="15">
        <f>IF(L31="",0,VLOOKUP(L31,Table!$A$6:$B$16,2,FALSE)*E31)</f>
        <v>0</v>
      </c>
      <c r="N31" s="4"/>
      <c r="O31" s="15">
        <f>IF(N31="",0,VLOOKUP(N31,Table!$A$6:$B$16,2,FALSE)*E31)</f>
        <v>0</v>
      </c>
      <c r="P31" s="4"/>
      <c r="Q31" s="15">
        <f>IF(P31="",0,VLOOKUP(P31,Table!$A$6:$B$16,2,FALSE)*$E31)</f>
        <v>0</v>
      </c>
      <c r="R31" s="4"/>
      <c r="S31" s="15">
        <f>IF(R31="",0,VLOOKUP(R31,Table!$A$6:$B$16,2,FALSE)*$E31)</f>
        <v>0</v>
      </c>
      <c r="T31" s="4" t="s">
        <v>20</v>
      </c>
      <c r="U31" s="15">
        <f>IF(T31="",0,VLOOKUP(T31,Table!$A$6:$B$16,2,FALSE)*$E31)</f>
        <v>34203.840000000004</v>
      </c>
      <c r="V31" s="4"/>
      <c r="W31" s="15">
        <f>IF(V31="",0,VLOOKUP(V31,Table!$A$6:$B$16,2,FALSE)*$E31)</f>
        <v>0</v>
      </c>
      <c r="X31" s="4" t="s">
        <v>23</v>
      </c>
      <c r="Y31" s="15">
        <f>IF(X31="",0,VLOOKUP(X31,Table!$A$6:$B$16,2,FALSE)*$E31)</f>
        <v>-6607.56</v>
      </c>
      <c r="Z31" s="4" t="s">
        <v>43</v>
      </c>
      <c r="AA31" s="15">
        <f>IF(Z31="",0,VLOOKUP(Z31,Table!$A$6:$B$16,2,FALSE)*$E31)</f>
        <v>-291.51</v>
      </c>
      <c r="AB31" s="4" t="s">
        <v>24</v>
      </c>
      <c r="AC31" s="15">
        <f>IF(AB31="",0,VLOOKUP(AB31,Table!$A$6:$B$16,2,FALSE)*$E31)</f>
        <v>-349.81200000000001</v>
      </c>
      <c r="AD31" s="4"/>
      <c r="AE31" s="15">
        <f>IF(AD31="",0,VLOOKUP(AD31,Table!$A$6:$B$16,2,FALSE)*$E31)</f>
        <v>0</v>
      </c>
      <c r="AF31" s="4" t="s">
        <v>25</v>
      </c>
      <c r="AG31" s="15">
        <f>IF(AF31="",0,VLOOKUP(AF31,Table!$A$6:$B$16,2,FALSE)*$E31)</f>
        <v>-349.81200000000001</v>
      </c>
      <c r="AH31" s="4"/>
      <c r="AI31" s="15">
        <f>IF(AH31="",0,VLOOKUP(AH31,Table!$A$6:$B$16,2,FALSE)*$E31)</f>
        <v>0</v>
      </c>
      <c r="AJ31" s="4"/>
      <c r="AK31" s="15">
        <f>IF(AJ31="",0,VLOOKUP(AJ31,Table!$A$6:$B$16,2,FALSE)*$E31)</f>
        <v>0</v>
      </c>
    </row>
    <row r="32" spans="1:37" x14ac:dyDescent="0.25">
      <c r="A32" s="5" t="s">
        <v>4</v>
      </c>
      <c r="B32" s="5" t="s">
        <v>89</v>
      </c>
      <c r="C32" s="7">
        <f>Table!$B$2-'BUDGET SYLV CLASSIQUE'!D32</f>
        <v>1990</v>
      </c>
      <c r="D32" s="6">
        <v>31</v>
      </c>
      <c r="E32" s="25">
        <f>'classe d''age ARGEFO'!C44</f>
        <v>8.5400000000000004E-2</v>
      </c>
      <c r="F32" s="4"/>
      <c r="G32" s="15">
        <f>IF(F32="",0,VLOOKUP(F32,Table!$A$6:$B$16,2,FALSE)*E32)</f>
        <v>0</v>
      </c>
      <c r="H32" s="4"/>
      <c r="I32" s="15">
        <f>IF(H32="",0,VLOOKUP(H32,Table!$A$6:$B$16,2,FALSE)*E32)</f>
        <v>0</v>
      </c>
      <c r="J32" s="4"/>
      <c r="K32" s="15">
        <f>IF(J32="",0,VLOOKUP(J32,Table!$A$6:$B$16,2,FALSE)*E32)</f>
        <v>0</v>
      </c>
      <c r="L32" s="4"/>
      <c r="M32" s="15">
        <f>IF(L32="",0,VLOOKUP(L32,Table!$A$6:$B$16,2,FALSE)*E32)</f>
        <v>0</v>
      </c>
      <c r="N32" s="4" t="s">
        <v>20</v>
      </c>
      <c r="O32" s="15">
        <f>IF(N32="",0,VLOOKUP(N32,Table!$A$6:$B$16,2,FALSE)*E32)</f>
        <v>751.52</v>
      </c>
      <c r="P32" s="4"/>
      <c r="Q32" s="15">
        <f>IF(P32="",0,VLOOKUP(P32,Table!$A$6:$B$16,2,FALSE)*$E32)</f>
        <v>0</v>
      </c>
      <c r="R32" s="4" t="s">
        <v>23</v>
      </c>
      <c r="S32" s="15">
        <f>IF(R32="",0,VLOOKUP(R32,Table!$A$6:$B$16,2,FALSE)*$E32)</f>
        <v>-145.18</v>
      </c>
      <c r="T32" s="4" t="s">
        <v>43</v>
      </c>
      <c r="U32" s="15">
        <f>IF(T32="",0,VLOOKUP(T32,Table!$A$6:$B$16,2,FALSE)*$E32)</f>
        <v>-6.4050000000000002</v>
      </c>
      <c r="V32" s="4" t="s">
        <v>24</v>
      </c>
      <c r="W32" s="15">
        <f>IF(V32="",0,VLOOKUP(V32,Table!$A$6:$B$16,2,FALSE)*$E32)</f>
        <v>-7.6859999999999999</v>
      </c>
      <c r="X32" s="4"/>
      <c r="Y32" s="15">
        <f>IF(X32="",0,VLOOKUP(X32,Table!$A$6:$B$16,2,FALSE)*$E32)</f>
        <v>0</v>
      </c>
      <c r="Z32" s="4" t="s">
        <v>25</v>
      </c>
      <c r="AA32" s="15">
        <f>IF(Z32="",0,VLOOKUP(Z32,Table!$A$6:$B$16,2,FALSE)*$E32)</f>
        <v>-7.6859999999999999</v>
      </c>
      <c r="AB32" s="4"/>
      <c r="AC32" s="15">
        <f>IF(AB32="",0,VLOOKUP(AB32,Table!$A$6:$B$16,2,FALSE)*$E32)</f>
        <v>0</v>
      </c>
      <c r="AD32" s="4"/>
      <c r="AE32" s="15">
        <f>IF(AD32="",0,VLOOKUP(AD32,Table!$A$6:$B$16,2,FALSE)*$E32)</f>
        <v>0</v>
      </c>
      <c r="AF32" s="4"/>
      <c r="AG32" s="15">
        <f>IF(AF32="",0,VLOOKUP(AF32,Table!$A$6:$B$16,2,FALSE)*$E32)</f>
        <v>0</v>
      </c>
      <c r="AH32" s="4"/>
      <c r="AI32" s="15">
        <f>IF(AH32="",0,VLOOKUP(AH32,Table!$A$6:$B$16,2,FALSE)*$E32)</f>
        <v>0</v>
      </c>
      <c r="AJ32" s="4"/>
      <c r="AK32" s="15">
        <f>IF(AJ32="",0,VLOOKUP(AJ32,Table!$A$6:$B$16,2,FALSE)*$E32)</f>
        <v>0</v>
      </c>
    </row>
    <row r="33" spans="1:37" x14ac:dyDescent="0.25">
      <c r="A33" s="5" t="s">
        <v>4</v>
      </c>
      <c r="B33" s="5" t="s">
        <v>89</v>
      </c>
      <c r="C33" s="7">
        <f>Table!$B$2-'BUDGET SYLV CLASSIQUE'!D33</f>
        <v>1988</v>
      </c>
      <c r="D33" s="6">
        <v>33</v>
      </c>
      <c r="E33" s="25">
        <f>'classe d''age ARGEFO'!C46</f>
        <v>3.2961</v>
      </c>
      <c r="F33" s="4"/>
      <c r="G33" s="15">
        <f>IF(F33="",0,VLOOKUP(F33,Table!$A$6:$B$16,2,FALSE)*E33)</f>
        <v>0</v>
      </c>
      <c r="H33" s="4"/>
      <c r="I33" s="15">
        <f>IF(H33="",0,VLOOKUP(H33,Table!$A$6:$B$16,2,FALSE)*E33)</f>
        <v>0</v>
      </c>
      <c r="J33" s="4" t="s">
        <v>20</v>
      </c>
      <c r="K33" s="15">
        <f>IF(J33="",0,VLOOKUP(J33,Table!$A$6:$B$16,2,FALSE)*E33)</f>
        <v>29005.68</v>
      </c>
      <c r="L33" s="4"/>
      <c r="M33" s="15">
        <f>IF(L33="",0,VLOOKUP(L33,Table!$A$6:$B$16,2,FALSE)*E33)</f>
        <v>0</v>
      </c>
      <c r="N33" s="4" t="s">
        <v>23</v>
      </c>
      <c r="O33" s="15">
        <f>IF(N33="",0,VLOOKUP(N33,Table!$A$6:$B$16,2,FALSE)*E33)</f>
        <v>-5603.37</v>
      </c>
      <c r="P33" s="4" t="s">
        <v>43</v>
      </c>
      <c r="Q33" s="15">
        <f>IF(P33="",0,VLOOKUP(P33,Table!$A$6:$B$16,2,FALSE)*$E33)</f>
        <v>-247.20750000000001</v>
      </c>
      <c r="R33" s="4" t="s">
        <v>24</v>
      </c>
      <c r="S33" s="15">
        <f>IF(R33="",0,VLOOKUP(R33,Table!$A$6:$B$16,2,FALSE)*$E33)</f>
        <v>-296.649</v>
      </c>
      <c r="T33" s="4"/>
      <c r="U33" s="15">
        <f>IF(T33="",0,VLOOKUP(T33,Table!$A$6:$B$16,2,FALSE)*$E33)</f>
        <v>0</v>
      </c>
      <c r="V33" s="4" t="s">
        <v>25</v>
      </c>
      <c r="W33" s="15">
        <f>IF(V33="",0,VLOOKUP(V33,Table!$A$6:$B$16,2,FALSE)*$E33)</f>
        <v>-296.649</v>
      </c>
      <c r="X33" s="4"/>
      <c r="Y33" s="15">
        <f>IF(X33="",0,VLOOKUP(X33,Table!$A$6:$B$16,2,FALSE)*$E33)</f>
        <v>0</v>
      </c>
      <c r="Z33" s="4"/>
      <c r="AA33" s="15">
        <f>IF(Z33="",0,VLOOKUP(Z33,Table!$A$6:$B$16,2,FALSE)*$E33)</f>
        <v>0</v>
      </c>
      <c r="AB33" s="4"/>
      <c r="AC33" s="15">
        <f>IF(AB33="",0,VLOOKUP(AB33,Table!$A$6:$B$16,2,FALSE)*$E33)</f>
        <v>0</v>
      </c>
      <c r="AD33" s="4"/>
      <c r="AE33" s="15">
        <f>IF(AD33="",0,VLOOKUP(AD33,Table!$A$6:$B$16,2,FALSE)*$E33)</f>
        <v>0</v>
      </c>
      <c r="AF33" s="4"/>
      <c r="AG33" s="15">
        <f>IF(AF33="",0,VLOOKUP(AF33,Table!$A$6:$B$16,2,FALSE)*$E33)</f>
        <v>0</v>
      </c>
      <c r="AH33" s="4"/>
      <c r="AI33" s="15">
        <f>IF(AH33="",0,VLOOKUP(AH33,Table!$A$6:$B$16,2,FALSE)*$E33)</f>
        <v>0</v>
      </c>
      <c r="AJ33" s="4"/>
      <c r="AK33" s="15">
        <f>IF(AJ33="",0,VLOOKUP(AJ33,Table!$A$6:$B$16,2,FALSE)*$E33)</f>
        <v>0</v>
      </c>
    </row>
    <row r="34" spans="1:37" x14ac:dyDescent="0.25">
      <c r="A34" s="5" t="s">
        <v>10</v>
      </c>
      <c r="B34" s="5" t="s">
        <v>89</v>
      </c>
      <c r="C34" s="7">
        <f>Table!$B$2-'BUDGET SYLV CLASSIQUE'!D34</f>
        <v>1987</v>
      </c>
      <c r="D34" s="6">
        <v>34</v>
      </c>
      <c r="E34" s="25">
        <f>'classe d''age ARGEFO'!D47</f>
        <v>12.225099999999999</v>
      </c>
      <c r="F34" s="4"/>
      <c r="G34" s="15">
        <f>IF(F34="",0,VLOOKUP(F34,Table!$A$6:$B$16,2,FALSE)*E34)</f>
        <v>0</v>
      </c>
      <c r="H34" s="4" t="s">
        <v>20</v>
      </c>
      <c r="I34" s="15">
        <f>IF(H34="",0,VLOOKUP(H34,Table!$A$6:$B$16,2,FALSE)*E34)</f>
        <v>107580.87999999999</v>
      </c>
      <c r="J34" s="4"/>
      <c r="K34" s="15">
        <f>IF(J34="",0,VLOOKUP(J34,Table!$A$6:$B$16,2,FALSE)*E34)</f>
        <v>0</v>
      </c>
      <c r="L34" s="4" t="s">
        <v>23</v>
      </c>
      <c r="M34" s="15">
        <f>IF(L34="",0,VLOOKUP(L34,Table!$A$6:$B$16,2,FALSE)*E34)</f>
        <v>-20782.669999999998</v>
      </c>
      <c r="N34" s="4" t="s">
        <v>43</v>
      </c>
      <c r="O34" s="15">
        <f>IF(N34="",0,VLOOKUP(N34,Table!$A$6:$B$16,2,FALSE)*E34)</f>
        <v>-916.88249999999994</v>
      </c>
      <c r="P34" s="4" t="s">
        <v>24</v>
      </c>
      <c r="Q34" s="15">
        <f>IF(P34="",0,VLOOKUP(P34,Table!$A$6:$B$16,2,FALSE)*$E34)</f>
        <v>-1100.259</v>
      </c>
      <c r="R34" s="4"/>
      <c r="S34" s="15">
        <f>IF(R34="",0,VLOOKUP(R34,Table!$A$6:$B$16,2,FALSE)*$E34)</f>
        <v>0</v>
      </c>
      <c r="T34" s="4" t="s">
        <v>25</v>
      </c>
      <c r="U34" s="15">
        <f>IF(T34="",0,VLOOKUP(T34,Table!$A$6:$B$16,2,FALSE)*$E34)</f>
        <v>-1100.259</v>
      </c>
      <c r="V34" s="4"/>
      <c r="W34" s="15">
        <f>IF(V34="",0,VLOOKUP(V34,Table!$A$6:$B$16,2,FALSE)*$E34)</f>
        <v>0</v>
      </c>
      <c r="X34" s="4"/>
      <c r="Y34" s="15">
        <f>IF(X34="",0,VLOOKUP(X34,Table!$A$6:$B$16,2,FALSE)*$E34)</f>
        <v>0</v>
      </c>
      <c r="Z34" s="4"/>
      <c r="AA34" s="15">
        <f>IF(Z34="",0,VLOOKUP(Z34,Table!$A$6:$B$16,2,FALSE)*$E34)</f>
        <v>0</v>
      </c>
      <c r="AB34" s="4"/>
      <c r="AC34" s="15">
        <f>IF(AB34="",0,VLOOKUP(AB34,Table!$A$6:$B$16,2,FALSE)*$E34)</f>
        <v>0</v>
      </c>
      <c r="AD34" s="4"/>
      <c r="AE34" s="15">
        <f>IF(AD34="",0,VLOOKUP(AD34,Table!$A$6:$B$16,2,FALSE)*$E34)</f>
        <v>0</v>
      </c>
      <c r="AF34" s="4"/>
      <c r="AG34" s="15">
        <f>IF(AF34="",0,VLOOKUP(AF34,Table!$A$6:$B$16,2,FALSE)*$E34)</f>
        <v>0</v>
      </c>
      <c r="AH34" s="4"/>
      <c r="AI34" s="15">
        <f>IF(AH34="",0,VLOOKUP(AH34,Table!$A$6:$B$16,2,FALSE)*$E34)</f>
        <v>0</v>
      </c>
      <c r="AJ34" s="4"/>
      <c r="AK34" s="15">
        <f>IF(AJ34="",0,VLOOKUP(AJ34,Table!$A$6:$B$16,2,FALSE)*$E34)</f>
        <v>0</v>
      </c>
    </row>
    <row r="35" spans="1:37" x14ac:dyDescent="0.25">
      <c r="A35" s="5" t="s">
        <v>10</v>
      </c>
      <c r="B35" s="5" t="s">
        <v>89</v>
      </c>
      <c r="C35" s="7">
        <f>Table!$B$2-'BUDGET SYLV CLASSIQUE'!D35</f>
        <v>1984</v>
      </c>
      <c r="D35" s="6">
        <v>37</v>
      </c>
      <c r="E35" s="25">
        <f>'classe d''age ARGEFO'!D50</f>
        <v>0.90339999999999998</v>
      </c>
      <c r="F35" s="4" t="s">
        <v>20</v>
      </c>
      <c r="G35" s="15">
        <f>IF(F35="",0,VLOOKUP(F35,Table!$A$6:$B$16,2,FALSE)*E35)</f>
        <v>7949.92</v>
      </c>
      <c r="H35" s="4"/>
      <c r="I35" s="15">
        <f>IF(H35="",0,VLOOKUP(H35,Table!$A$6:$B$16,2,FALSE)*E35)</f>
        <v>0</v>
      </c>
      <c r="J35" s="4" t="s">
        <v>23</v>
      </c>
      <c r="K35" s="15">
        <f>IF(J35="",0,VLOOKUP(J35,Table!$A$6:$B$16,2,FALSE)*E35)</f>
        <v>-1535.78</v>
      </c>
      <c r="L35" s="4" t="s">
        <v>43</v>
      </c>
      <c r="M35" s="15">
        <f>IF(L35="",0,VLOOKUP(L35,Table!$A$6:$B$16,2,FALSE)*E35)</f>
        <v>-67.754999999999995</v>
      </c>
      <c r="N35" s="4" t="s">
        <v>24</v>
      </c>
      <c r="O35" s="15">
        <f>IF(N35="",0,VLOOKUP(N35,Table!$A$6:$B$16,2,FALSE)*E35)</f>
        <v>-81.305999999999997</v>
      </c>
      <c r="P35" s="4"/>
      <c r="Q35" s="15">
        <f>IF(P35="",0,VLOOKUP(P35,Table!$A$6:$B$16,2,FALSE)*$E35)</f>
        <v>0</v>
      </c>
      <c r="R35" s="4" t="s">
        <v>25</v>
      </c>
      <c r="S35" s="15">
        <f>IF(R35="",0,VLOOKUP(R35,Table!$A$6:$B$16,2,FALSE)*$E35)</f>
        <v>-81.305999999999997</v>
      </c>
      <c r="T35" s="4"/>
      <c r="U35" s="15">
        <f>IF(T35="",0,VLOOKUP(T35,Table!$A$6:$B$16,2,FALSE)*$E35)</f>
        <v>0</v>
      </c>
      <c r="V35" s="4"/>
      <c r="W35" s="15">
        <f>IF(V35="",0,VLOOKUP(V35,Table!$A$6:$B$16,2,FALSE)*$E35)</f>
        <v>0</v>
      </c>
      <c r="X35" s="4"/>
      <c r="Y35" s="15">
        <f>IF(X35="",0,VLOOKUP(X35,Table!$A$6:$B$16,2,FALSE)*$E35)</f>
        <v>0</v>
      </c>
      <c r="Z35" s="4"/>
      <c r="AA35" s="15">
        <f>IF(Z35="",0,VLOOKUP(Z35,Table!$A$6:$B$16,2,FALSE)*$E35)</f>
        <v>0</v>
      </c>
      <c r="AB35" s="4"/>
      <c r="AC35" s="15">
        <f>IF(AB35="",0,VLOOKUP(AB35,Table!$A$6:$B$16,2,FALSE)*$E35)</f>
        <v>0</v>
      </c>
      <c r="AD35" s="4"/>
      <c r="AE35" s="15">
        <f>IF(AD35="",0,VLOOKUP(AD35,Table!$A$6:$B$16,2,FALSE)*$E35)</f>
        <v>0</v>
      </c>
      <c r="AF35" s="4"/>
      <c r="AG35" s="15">
        <f>IF(AF35="",0,VLOOKUP(AF35,Table!$A$6:$B$16,2,FALSE)*$E35)</f>
        <v>0</v>
      </c>
      <c r="AH35" s="4"/>
      <c r="AI35" s="15">
        <f>IF(AH35="",0,VLOOKUP(AH35,Table!$A$6:$B$16,2,FALSE)*$E35)</f>
        <v>0</v>
      </c>
      <c r="AJ35" s="4"/>
      <c r="AK35" s="15">
        <f>IF(AJ35="",0,VLOOKUP(AJ35,Table!$A$6:$B$16,2,FALSE)*$E35)</f>
        <v>0</v>
      </c>
    </row>
    <row r="36" spans="1:37" x14ac:dyDescent="0.25">
      <c r="E36" s="76">
        <f>SUM(E6:E35)</f>
        <v>722.05360000000019</v>
      </c>
      <c r="F36" s="75">
        <f>F3</f>
        <v>2021</v>
      </c>
      <c r="G36" s="75"/>
      <c r="H36" s="75">
        <f>H3</f>
        <v>2022</v>
      </c>
      <c r="I36" s="75"/>
      <c r="J36" s="75">
        <f>J3</f>
        <v>2023</v>
      </c>
      <c r="K36" s="75"/>
      <c r="L36" s="75">
        <f>L3</f>
        <v>2024</v>
      </c>
      <c r="M36" s="75"/>
      <c r="N36" s="75">
        <f>N3</f>
        <v>2025</v>
      </c>
      <c r="O36" s="75"/>
      <c r="P36" s="75">
        <f>P3</f>
        <v>2026</v>
      </c>
      <c r="Q36" s="75"/>
      <c r="R36" s="75">
        <f>R3</f>
        <v>2027</v>
      </c>
      <c r="S36" s="75"/>
      <c r="T36" s="75">
        <f>T3</f>
        <v>2028</v>
      </c>
      <c r="U36" s="75"/>
      <c r="V36" s="75">
        <f>V3</f>
        <v>2029</v>
      </c>
      <c r="W36" s="75"/>
      <c r="X36" s="75">
        <f>X3</f>
        <v>2030</v>
      </c>
      <c r="Y36" s="75"/>
      <c r="Z36" s="75">
        <f>Z3</f>
        <v>2031</v>
      </c>
      <c r="AA36" s="75"/>
      <c r="AB36" s="75">
        <f>AB3</f>
        <v>2032</v>
      </c>
      <c r="AC36" s="75"/>
      <c r="AD36" s="75">
        <f>AD3</f>
        <v>2033</v>
      </c>
      <c r="AE36" s="75"/>
      <c r="AF36" s="75">
        <f>AF3</f>
        <v>2034</v>
      </c>
      <c r="AG36" s="75"/>
      <c r="AH36" s="75">
        <f>AH3</f>
        <v>2035</v>
      </c>
      <c r="AI36" s="75"/>
      <c r="AJ36" s="75">
        <f>AJ3</f>
        <v>2036</v>
      </c>
      <c r="AK36" s="75"/>
    </row>
    <row r="37" spans="1:37" x14ac:dyDescent="0.25">
      <c r="E37" s="76"/>
      <c r="F37" s="74">
        <f>SUM(G5:G35)</f>
        <v>108624.89270000001</v>
      </c>
      <c r="G37" s="74"/>
      <c r="H37" s="74">
        <f>SUM(I5:I35)</f>
        <v>129306.88079999998</v>
      </c>
      <c r="I37" s="74"/>
      <c r="J37" s="74">
        <f t="shared" ref="J37" si="0">SUM(K5:K35)</f>
        <v>137061.84589999999</v>
      </c>
      <c r="K37" s="74"/>
      <c r="L37" s="74">
        <f t="shared" ref="L37" si="1">SUM(M5:M35)</f>
        <v>4763.8990000000058</v>
      </c>
      <c r="M37" s="74"/>
      <c r="N37" s="74">
        <f t="shared" ref="N37" si="2">SUM(O5:O35)</f>
        <v>84192.04789999999</v>
      </c>
      <c r="O37" s="74"/>
      <c r="P37" s="74">
        <f t="shared" ref="P37" si="3">SUM(Q5:Q35)</f>
        <v>115606.49449999999</v>
      </c>
      <c r="Q37" s="74"/>
      <c r="R37" s="74">
        <f t="shared" ref="R37" si="4">SUM(S5:S35)</f>
        <v>104685.17140000001</v>
      </c>
      <c r="S37" s="74"/>
      <c r="T37" s="74">
        <f t="shared" ref="T37" si="5">SUM(U5:U35)</f>
        <v>240272.18640000004</v>
      </c>
      <c r="U37" s="74"/>
      <c r="V37" s="74">
        <f t="shared" ref="V37" si="6">SUM(W5:W35)</f>
        <v>45254.461800000005</v>
      </c>
      <c r="W37" s="74"/>
      <c r="X37" s="74">
        <f t="shared" ref="X37" si="7">SUM(Y5:Y35)</f>
        <v>157241.25599999999</v>
      </c>
      <c r="Y37" s="74"/>
      <c r="Z37" s="74">
        <f t="shared" ref="Z37" si="8">SUM(AA5:AA35)</f>
        <v>79500.732000000004</v>
      </c>
      <c r="AA37" s="74"/>
      <c r="AB37" s="74">
        <f t="shared" ref="AB37" si="9">SUM(AC5:AC35)</f>
        <v>403213.57279999997</v>
      </c>
      <c r="AC37" s="74"/>
      <c r="AD37" s="74">
        <f t="shared" ref="AD37" si="10">SUM(AE5:AE35)</f>
        <v>693003.71619999991</v>
      </c>
      <c r="AE37" s="74"/>
      <c r="AF37" s="74">
        <f t="shared" ref="AF37" si="11">SUM(AG5:AG35)</f>
        <v>92666.428400000004</v>
      </c>
      <c r="AG37" s="74"/>
      <c r="AH37" s="74">
        <f t="shared" ref="AH37" si="12">SUM(AI5:AI35)</f>
        <v>175308.03580000004</v>
      </c>
      <c r="AI37" s="74"/>
      <c r="AJ37" s="74">
        <f t="shared" ref="AJ37" si="13">SUM(AK5:AK35)</f>
        <v>-7029.9994000000024</v>
      </c>
      <c r="AK37" s="74"/>
    </row>
    <row r="38" spans="1:37" x14ac:dyDescent="0.25">
      <c r="E38" s="76"/>
      <c r="F38" s="74">
        <f>Table!$B$23</f>
        <v>-30000</v>
      </c>
      <c r="G38" s="75"/>
      <c r="H38" s="74">
        <f>Table!$B$23</f>
        <v>-30000</v>
      </c>
      <c r="I38" s="75"/>
      <c r="J38" s="74">
        <f>Table!$B$23</f>
        <v>-30000</v>
      </c>
      <c r="K38" s="75"/>
      <c r="L38" s="74">
        <f>Table!$B$23</f>
        <v>-30000</v>
      </c>
      <c r="M38" s="75"/>
      <c r="N38" s="74">
        <f>Table!$B$23</f>
        <v>-30000</v>
      </c>
      <c r="O38" s="75"/>
      <c r="P38" s="74">
        <f>Table!$B$23</f>
        <v>-30000</v>
      </c>
      <c r="Q38" s="75"/>
      <c r="R38" s="74">
        <f>Table!$B$23</f>
        <v>-30000</v>
      </c>
      <c r="S38" s="75"/>
      <c r="T38" s="74">
        <f>Table!$B$23</f>
        <v>-30000</v>
      </c>
      <c r="U38" s="75"/>
      <c r="V38" s="74">
        <f>Table!$B$23</f>
        <v>-30000</v>
      </c>
      <c r="W38" s="75"/>
      <c r="X38" s="74">
        <f>Table!$B$23</f>
        <v>-30000</v>
      </c>
      <c r="Y38" s="75"/>
      <c r="Z38" s="74">
        <f>Table!$B$23</f>
        <v>-30000</v>
      </c>
      <c r="AA38" s="75"/>
      <c r="AB38" s="74">
        <f>Table!$B$23</f>
        <v>-30000</v>
      </c>
      <c r="AC38" s="75"/>
      <c r="AD38" s="74">
        <f>Table!$B$23</f>
        <v>-30000</v>
      </c>
      <c r="AE38" s="75"/>
      <c r="AF38" s="74">
        <f>Table!$B$23</f>
        <v>-30000</v>
      </c>
      <c r="AG38" s="75"/>
      <c r="AH38" s="74">
        <f>Table!$B$23</f>
        <v>-30000</v>
      </c>
      <c r="AI38" s="75"/>
      <c r="AJ38" s="74">
        <f>Table!$B$23</f>
        <v>-30000</v>
      </c>
      <c r="AK38" s="75"/>
    </row>
    <row r="39" spans="1:37" x14ac:dyDescent="0.25">
      <c r="E39" s="76"/>
      <c r="F39" s="74">
        <f>F37+F38</f>
        <v>78624.892700000011</v>
      </c>
      <c r="G39" s="75"/>
      <c r="H39" s="74">
        <f t="shared" ref="H39" si="14">H37+H38</f>
        <v>99306.880799999984</v>
      </c>
      <c r="I39" s="75"/>
      <c r="J39" s="74">
        <f t="shared" ref="J39" si="15">J37+J38</f>
        <v>107061.84589999999</v>
      </c>
      <c r="K39" s="75"/>
      <c r="L39" s="74">
        <f t="shared" ref="L39" si="16">L37+L38</f>
        <v>-25236.100999999995</v>
      </c>
      <c r="M39" s="75"/>
      <c r="N39" s="74">
        <f t="shared" ref="N39" si="17">N37+N38</f>
        <v>54192.04789999999</v>
      </c>
      <c r="O39" s="75"/>
      <c r="P39" s="74">
        <f t="shared" ref="P39" si="18">P37+P38</f>
        <v>85606.494499999986</v>
      </c>
      <c r="Q39" s="75"/>
      <c r="R39" s="74">
        <f t="shared" ref="R39" si="19">R37+R38</f>
        <v>74685.171400000007</v>
      </c>
      <c r="S39" s="75"/>
      <c r="T39" s="74">
        <f t="shared" ref="T39" si="20">T37+T38</f>
        <v>210272.18640000004</v>
      </c>
      <c r="U39" s="75"/>
      <c r="V39" s="74">
        <f t="shared" ref="V39" si="21">V37+V38</f>
        <v>15254.461800000005</v>
      </c>
      <c r="W39" s="75"/>
      <c r="X39" s="74">
        <f t="shared" ref="X39" si="22">X37+X38</f>
        <v>127241.25599999999</v>
      </c>
      <c r="Y39" s="75"/>
      <c r="Z39" s="74">
        <f t="shared" ref="Z39" si="23">Z37+Z38</f>
        <v>49500.732000000004</v>
      </c>
      <c r="AA39" s="75"/>
      <c r="AB39" s="74">
        <f t="shared" ref="AB39" si="24">AB37+AB38</f>
        <v>373213.57279999997</v>
      </c>
      <c r="AC39" s="75"/>
      <c r="AD39" s="74">
        <f t="shared" ref="AD39" si="25">AD37+AD38</f>
        <v>663003.71619999991</v>
      </c>
      <c r="AE39" s="75"/>
      <c r="AF39" s="74">
        <f t="shared" ref="AF39" si="26">AF37+AF38</f>
        <v>62666.428400000004</v>
      </c>
      <c r="AG39" s="75"/>
      <c r="AH39" s="74">
        <f t="shared" ref="AH39" si="27">AH37+AH38</f>
        <v>145308.03580000004</v>
      </c>
      <c r="AI39" s="75"/>
      <c r="AJ39" s="74">
        <f t="shared" ref="AJ39" si="28">AJ37+AJ38</f>
        <v>-37029.999400000001</v>
      </c>
      <c r="AK39" s="75"/>
    </row>
    <row r="40" spans="1:37" hidden="1" x14ac:dyDescent="0.25">
      <c r="A40" s="7">
        <f>'Budget annuel'!A5</f>
        <v>2021</v>
      </c>
      <c r="B40" s="26">
        <f>F39</f>
        <v>78624.892700000011</v>
      </c>
    </row>
    <row r="41" spans="1:37" hidden="1" x14ac:dyDescent="0.25">
      <c r="A41" s="7">
        <f>'Budget annuel'!A6</f>
        <v>2022</v>
      </c>
      <c r="B41" s="26">
        <f>H39</f>
        <v>99306.880799999984</v>
      </c>
    </row>
    <row r="42" spans="1:37" hidden="1" x14ac:dyDescent="0.25">
      <c r="A42" s="7">
        <f>'Budget annuel'!A7</f>
        <v>2023</v>
      </c>
      <c r="B42" s="26">
        <f>J39</f>
        <v>107061.84589999999</v>
      </c>
    </row>
    <row r="43" spans="1:37" hidden="1" x14ac:dyDescent="0.25">
      <c r="A43" s="7">
        <f>'Budget annuel'!A8</f>
        <v>2024</v>
      </c>
      <c r="B43" s="26">
        <f>L39</f>
        <v>-25236.100999999995</v>
      </c>
    </row>
    <row r="44" spans="1:37" hidden="1" x14ac:dyDescent="0.25">
      <c r="A44" s="7">
        <f>'Budget annuel'!A9</f>
        <v>2025</v>
      </c>
      <c r="B44" s="26">
        <f>N39</f>
        <v>54192.04789999999</v>
      </c>
    </row>
    <row r="45" spans="1:37" hidden="1" x14ac:dyDescent="0.25">
      <c r="A45" s="7">
        <f>'Budget annuel'!A10</f>
        <v>2026</v>
      </c>
      <c r="B45" s="26">
        <f>P39</f>
        <v>85606.494499999986</v>
      </c>
    </row>
    <row r="46" spans="1:37" hidden="1" x14ac:dyDescent="0.25">
      <c r="A46" s="7">
        <f>'Budget annuel'!A11</f>
        <v>2027</v>
      </c>
      <c r="B46" s="26">
        <f>R39</f>
        <v>74685.171400000007</v>
      </c>
    </row>
    <row r="47" spans="1:37" hidden="1" x14ac:dyDescent="0.25">
      <c r="A47" s="7">
        <f>'Budget annuel'!A12</f>
        <v>2028</v>
      </c>
      <c r="B47" s="26">
        <f>T39</f>
        <v>210272.18640000004</v>
      </c>
    </row>
    <row r="48" spans="1:37" hidden="1" x14ac:dyDescent="0.25">
      <c r="A48" s="7">
        <f>'Budget annuel'!A13</f>
        <v>2029</v>
      </c>
      <c r="B48" s="26">
        <f>V39</f>
        <v>15254.461800000005</v>
      </c>
    </row>
    <row r="49" spans="1:2" hidden="1" x14ac:dyDescent="0.25">
      <c r="A49" s="7">
        <f>'Budget annuel'!A14</f>
        <v>2030</v>
      </c>
      <c r="B49" s="26">
        <f>X39</f>
        <v>127241.25599999999</v>
      </c>
    </row>
    <row r="50" spans="1:2" hidden="1" x14ac:dyDescent="0.25">
      <c r="A50" s="7">
        <f>'Budget annuel'!A15</f>
        <v>2031</v>
      </c>
      <c r="B50" s="26">
        <f>Z39</f>
        <v>49500.732000000004</v>
      </c>
    </row>
    <row r="51" spans="1:2" hidden="1" x14ac:dyDescent="0.25">
      <c r="A51" s="7">
        <f>'Budget annuel'!A16</f>
        <v>2032</v>
      </c>
      <c r="B51" s="26">
        <f>AB39</f>
        <v>373213.57279999997</v>
      </c>
    </row>
    <row r="52" spans="1:2" hidden="1" x14ac:dyDescent="0.25">
      <c r="A52" s="7">
        <f>'Budget annuel'!A17</f>
        <v>2033</v>
      </c>
      <c r="B52" s="26">
        <f>AD39</f>
        <v>663003.71619999991</v>
      </c>
    </row>
    <row r="53" spans="1:2" hidden="1" x14ac:dyDescent="0.25">
      <c r="A53" s="7">
        <f>'Budget annuel'!A18</f>
        <v>2034</v>
      </c>
      <c r="B53" s="26">
        <f>AF39</f>
        <v>62666.428400000004</v>
      </c>
    </row>
    <row r="54" spans="1:2" hidden="1" x14ac:dyDescent="0.25">
      <c r="A54" s="7">
        <f>'Budget annuel'!A19</f>
        <v>2035</v>
      </c>
      <c r="B54" s="26">
        <f>AH39</f>
        <v>145308.03580000004</v>
      </c>
    </row>
    <row r="55" spans="1:2" hidden="1" x14ac:dyDescent="0.25">
      <c r="A55" s="7">
        <f>'Budget annuel'!A20</f>
        <v>2036</v>
      </c>
      <c r="B55" s="26">
        <f>AJ39</f>
        <v>-37029.999400000001</v>
      </c>
    </row>
    <row r="56" spans="1:2" hidden="1" x14ac:dyDescent="0.25">
      <c r="B56" s="27">
        <f>SUM(B40:B55)</f>
        <v>2083671.6221999996</v>
      </c>
    </row>
    <row r="58" spans="1:2" ht="13.5" customHeight="1" x14ac:dyDescent="0.25"/>
    <row r="59" spans="1:2" hidden="1" x14ac:dyDescent="0.25">
      <c r="A59" t="s">
        <v>85</v>
      </c>
      <c r="B59" t="s">
        <v>97</v>
      </c>
    </row>
    <row r="60" spans="1:2" hidden="1" x14ac:dyDescent="0.25">
      <c r="A60" s="6">
        <v>2021</v>
      </c>
      <c r="B60" s="27">
        <f>F39</f>
        <v>78624.892700000011</v>
      </c>
    </row>
    <row r="61" spans="1:2" hidden="1" x14ac:dyDescent="0.25">
      <c r="A61" s="6">
        <v>2022</v>
      </c>
      <c r="B61" s="27">
        <f>H39</f>
        <v>99306.880799999984</v>
      </c>
    </row>
    <row r="62" spans="1:2" hidden="1" x14ac:dyDescent="0.25">
      <c r="A62" s="6">
        <v>2023</v>
      </c>
      <c r="B62" s="27">
        <f>J39</f>
        <v>107061.84589999999</v>
      </c>
    </row>
    <row r="63" spans="1:2" hidden="1" x14ac:dyDescent="0.25">
      <c r="A63" s="6">
        <v>2024</v>
      </c>
      <c r="B63" s="67">
        <f>L39</f>
        <v>-25236.100999999995</v>
      </c>
    </row>
    <row r="64" spans="1:2" hidden="1" x14ac:dyDescent="0.25">
      <c r="A64" s="6">
        <v>2025</v>
      </c>
      <c r="B64" s="27">
        <f>N39</f>
        <v>54192.04789999999</v>
      </c>
    </row>
    <row r="65" spans="1:2" hidden="1" x14ac:dyDescent="0.25">
      <c r="A65" s="6">
        <v>2026</v>
      </c>
      <c r="B65" s="27">
        <f>P39</f>
        <v>85606.494499999986</v>
      </c>
    </row>
    <row r="66" spans="1:2" hidden="1" x14ac:dyDescent="0.25">
      <c r="A66" s="6">
        <v>2027</v>
      </c>
      <c r="B66" s="27">
        <f>R39</f>
        <v>74685.171400000007</v>
      </c>
    </row>
    <row r="67" spans="1:2" hidden="1" x14ac:dyDescent="0.25">
      <c r="A67" s="6">
        <v>2028</v>
      </c>
      <c r="B67" s="27">
        <f>T39</f>
        <v>210272.18640000004</v>
      </c>
    </row>
    <row r="68" spans="1:2" hidden="1" x14ac:dyDescent="0.25">
      <c r="A68" s="6">
        <v>2029</v>
      </c>
      <c r="B68" s="27">
        <f>V39</f>
        <v>15254.461800000005</v>
      </c>
    </row>
    <row r="69" spans="1:2" hidden="1" x14ac:dyDescent="0.25">
      <c r="A69" s="6">
        <v>2030</v>
      </c>
      <c r="B69" s="27">
        <f>X39</f>
        <v>127241.25599999999</v>
      </c>
    </row>
    <row r="70" spans="1:2" hidden="1" x14ac:dyDescent="0.25">
      <c r="A70" s="6">
        <v>2031</v>
      </c>
      <c r="B70" s="27">
        <f>Z39</f>
        <v>49500.732000000004</v>
      </c>
    </row>
    <row r="71" spans="1:2" hidden="1" x14ac:dyDescent="0.25">
      <c r="A71" s="6">
        <v>2032</v>
      </c>
      <c r="B71" s="27">
        <f>AB39</f>
        <v>373213.57279999997</v>
      </c>
    </row>
    <row r="72" spans="1:2" hidden="1" x14ac:dyDescent="0.25">
      <c r="A72" s="6">
        <v>2033</v>
      </c>
      <c r="B72" s="27">
        <f>AD39</f>
        <v>663003.71619999991</v>
      </c>
    </row>
    <row r="73" spans="1:2" hidden="1" x14ac:dyDescent="0.25">
      <c r="A73" s="6">
        <v>2034</v>
      </c>
      <c r="B73" s="27">
        <f>AF39</f>
        <v>62666.428400000004</v>
      </c>
    </row>
    <row r="74" spans="1:2" hidden="1" x14ac:dyDescent="0.25">
      <c r="A74" s="6">
        <v>2035</v>
      </c>
      <c r="B74" s="27">
        <f>AH39</f>
        <v>145308.03580000004</v>
      </c>
    </row>
    <row r="75" spans="1:2" hidden="1" x14ac:dyDescent="0.25">
      <c r="A75" s="6">
        <v>2036</v>
      </c>
      <c r="B75" s="27">
        <f>AJ39</f>
        <v>-37029.999400000001</v>
      </c>
    </row>
    <row r="76" spans="1:2" hidden="1" x14ac:dyDescent="0.25">
      <c r="B76" s="3">
        <f>SUM(B60:B75)</f>
        <v>2083671.6221999996</v>
      </c>
    </row>
    <row r="77" spans="1:2" hidden="1" x14ac:dyDescent="0.25"/>
  </sheetData>
  <autoFilter ref="A4:E37" xr:uid="{00000000-0009-0000-0000-000000000000}"/>
  <mergeCells count="87">
    <mergeCell ref="R1:Y1"/>
    <mergeCell ref="R3:S3"/>
    <mergeCell ref="A3:A4"/>
    <mergeCell ref="B3:B4"/>
    <mergeCell ref="C3:C4"/>
    <mergeCell ref="D3:D4"/>
    <mergeCell ref="E3:E4"/>
    <mergeCell ref="F3:G3"/>
    <mergeCell ref="H3:I3"/>
    <mergeCell ref="J3:K3"/>
    <mergeCell ref="L3:M3"/>
    <mergeCell ref="N3:O3"/>
    <mergeCell ref="P3:Q3"/>
    <mergeCell ref="AF3:AG3"/>
    <mergeCell ref="AH3:AI3"/>
    <mergeCell ref="AJ3:AK3"/>
    <mergeCell ref="E36:E39"/>
    <mergeCell ref="F36:G36"/>
    <mergeCell ref="H36:I36"/>
    <mergeCell ref="J36:K36"/>
    <mergeCell ref="L36:M36"/>
    <mergeCell ref="N36:O36"/>
    <mergeCell ref="P36:Q36"/>
    <mergeCell ref="T3:U3"/>
    <mergeCell ref="V3:W3"/>
    <mergeCell ref="X3:Y3"/>
    <mergeCell ref="Z3:AA3"/>
    <mergeCell ref="AB3:AC3"/>
    <mergeCell ref="AD3:AE3"/>
    <mergeCell ref="AD36:AE36"/>
    <mergeCell ref="AF36:AG36"/>
    <mergeCell ref="AH36:AI36"/>
    <mergeCell ref="AJ36:AK36"/>
    <mergeCell ref="F37:G37"/>
    <mergeCell ref="H37:I37"/>
    <mergeCell ref="J37:K37"/>
    <mergeCell ref="L37:M37"/>
    <mergeCell ref="N37:O37"/>
    <mergeCell ref="P37:Q37"/>
    <mergeCell ref="R36:S36"/>
    <mergeCell ref="T36:U36"/>
    <mergeCell ref="V36:W36"/>
    <mergeCell ref="X36:Y36"/>
    <mergeCell ref="Z36:AA36"/>
    <mergeCell ref="AB36:AC36"/>
    <mergeCell ref="AD37:AE37"/>
    <mergeCell ref="AF37:AG37"/>
    <mergeCell ref="AH37:AI37"/>
    <mergeCell ref="AJ37:AK37"/>
    <mergeCell ref="F38:G38"/>
    <mergeCell ref="H38:I38"/>
    <mergeCell ref="J38:K38"/>
    <mergeCell ref="L38:M38"/>
    <mergeCell ref="N38:O38"/>
    <mergeCell ref="P38:Q38"/>
    <mergeCell ref="R37:S37"/>
    <mergeCell ref="T37:U37"/>
    <mergeCell ref="V37:W37"/>
    <mergeCell ref="X37:Y37"/>
    <mergeCell ref="Z37:AA37"/>
    <mergeCell ref="AB37:AC37"/>
    <mergeCell ref="AD38:AE38"/>
    <mergeCell ref="AF38:AG38"/>
    <mergeCell ref="AH38:AI38"/>
    <mergeCell ref="AJ38:AK38"/>
    <mergeCell ref="F39:G39"/>
    <mergeCell ref="H39:I39"/>
    <mergeCell ref="J39:K39"/>
    <mergeCell ref="L39:M39"/>
    <mergeCell ref="N39:O39"/>
    <mergeCell ref="P39:Q39"/>
    <mergeCell ref="R38:S38"/>
    <mergeCell ref="T38:U38"/>
    <mergeCell ref="V38:W38"/>
    <mergeCell ref="X38:Y38"/>
    <mergeCell ref="Z38:AA38"/>
    <mergeCell ref="AB38:AC38"/>
    <mergeCell ref="AD39:AE39"/>
    <mergeCell ref="AF39:AG39"/>
    <mergeCell ref="AH39:AI39"/>
    <mergeCell ref="AJ39:AK39"/>
    <mergeCell ref="R39:S39"/>
    <mergeCell ref="T39:U39"/>
    <mergeCell ref="V39:W39"/>
    <mergeCell ref="X39:Y39"/>
    <mergeCell ref="Z39:AA39"/>
    <mergeCell ref="AB39:AC39"/>
  </mergeCells>
  <pageMargins left="0.25" right="0.25" top="0.75" bottom="0.75" header="0.3" footer="0.3"/>
  <pageSetup paperSize="8"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57"/>
  <sheetViews>
    <sheetView tabSelected="1" zoomScale="85" zoomScaleNormal="85" workbookViewId="0">
      <pane ySplit="4" topLeftCell="A5" activePane="bottomLeft" state="frozen"/>
      <selection pane="bottomLeft" activeCell="T5" sqref="T5:U39"/>
    </sheetView>
  </sheetViews>
  <sheetFormatPr baseColWidth="10" defaultColWidth="8.7109375" defaultRowHeight="15" x14ac:dyDescent="0.25"/>
  <cols>
    <col min="1" max="1" width="22.28515625" bestFit="1" customWidth="1"/>
    <col min="2" max="2" width="10.7109375" customWidth="1"/>
    <col min="3" max="3" width="13.42578125" customWidth="1"/>
    <col min="4" max="4" width="4.5703125" style="2" bestFit="1" customWidth="1"/>
    <col min="5" max="5" width="13.5703125" style="22" customWidth="1"/>
    <col min="6" max="6" width="6.7109375" customWidth="1"/>
    <col min="7" max="7" width="7.7109375" customWidth="1"/>
    <col min="8" max="8" width="6.7109375" customWidth="1"/>
    <col min="9" max="9" width="8" customWidth="1"/>
    <col min="10" max="10" width="6.85546875" customWidth="1"/>
    <col min="11" max="11" width="7.85546875" customWidth="1"/>
    <col min="12" max="12" width="6.7109375" customWidth="1"/>
    <col min="13" max="13" width="8.5703125" bestFit="1" customWidth="1"/>
    <col min="14" max="14" width="6.85546875" customWidth="1"/>
    <col min="15" max="15" width="7.7109375" customWidth="1"/>
    <col min="16" max="16" width="5.85546875" customWidth="1"/>
    <col min="17" max="17" width="8" customWidth="1"/>
    <col min="18" max="18" width="6.7109375" customWidth="1"/>
    <col min="19" max="19" width="8" customWidth="1"/>
    <col min="20" max="20" width="7.5703125" bestFit="1" customWidth="1"/>
    <col min="21" max="21" width="8" customWidth="1"/>
    <col min="22" max="22" width="7.5703125" bestFit="1" customWidth="1"/>
    <col min="23" max="23" width="8.5703125" bestFit="1" customWidth="1"/>
    <col min="24" max="24" width="7.5703125" bestFit="1" customWidth="1"/>
    <col min="25" max="25" width="8.5703125" bestFit="1" customWidth="1"/>
    <col min="26" max="26" width="7.5703125" bestFit="1" customWidth="1"/>
    <col min="27" max="27" width="8.5703125" bestFit="1" customWidth="1"/>
    <col min="28" max="28" width="7.5703125" bestFit="1" customWidth="1"/>
    <col min="29" max="29" width="8.5703125" bestFit="1" customWidth="1"/>
    <col min="30" max="30" width="7.5703125" bestFit="1" customWidth="1"/>
    <col min="31" max="31" width="8.5703125" bestFit="1" customWidth="1"/>
    <col min="32" max="32" width="7.5703125" bestFit="1" customWidth="1"/>
    <col min="33" max="33" width="8.5703125" bestFit="1" customWidth="1"/>
    <col min="34" max="34" width="7.5703125" bestFit="1" customWidth="1"/>
    <col min="35" max="35" width="8.5703125" bestFit="1" customWidth="1"/>
    <col min="36" max="36" width="7.5703125" bestFit="1" customWidth="1"/>
    <col min="37" max="37" width="8.5703125" bestFit="1" customWidth="1"/>
  </cols>
  <sheetData>
    <row r="1" spans="1:37" ht="18.75" x14ac:dyDescent="0.3">
      <c r="R1" s="77" t="s">
        <v>91</v>
      </c>
      <c r="S1" s="77"/>
      <c r="T1" s="77"/>
      <c r="U1" s="77"/>
      <c r="V1" s="77"/>
      <c r="W1" s="77"/>
      <c r="X1" s="77"/>
    </row>
    <row r="3" spans="1:37" x14ac:dyDescent="0.25">
      <c r="A3" s="78" t="s">
        <v>3</v>
      </c>
      <c r="B3" s="78" t="s">
        <v>0</v>
      </c>
      <c r="C3" s="79" t="s">
        <v>44</v>
      </c>
      <c r="D3" s="78" t="s">
        <v>1</v>
      </c>
      <c r="E3" s="81" t="s">
        <v>2</v>
      </c>
      <c r="F3" s="75">
        <v>2021</v>
      </c>
      <c r="G3" s="75"/>
      <c r="H3" s="75">
        <v>2022</v>
      </c>
      <c r="I3" s="75"/>
      <c r="J3" s="75">
        <v>2023</v>
      </c>
      <c r="K3" s="75"/>
      <c r="L3" s="75">
        <v>2024</v>
      </c>
      <c r="M3" s="75"/>
      <c r="N3" s="75">
        <v>2025</v>
      </c>
      <c r="O3" s="75"/>
      <c r="P3" s="75">
        <v>2026</v>
      </c>
      <c r="Q3" s="75"/>
      <c r="R3" s="75">
        <v>2027</v>
      </c>
      <c r="S3" s="75"/>
      <c r="T3" s="75">
        <v>2028</v>
      </c>
      <c r="U3" s="75"/>
      <c r="V3" s="75">
        <v>2029</v>
      </c>
      <c r="W3" s="75"/>
      <c r="X3" s="75">
        <v>2030</v>
      </c>
      <c r="Y3" s="75"/>
      <c r="Z3" s="75">
        <v>2031</v>
      </c>
      <c r="AA3" s="75"/>
      <c r="AB3" s="75">
        <v>2032</v>
      </c>
      <c r="AC3" s="75"/>
      <c r="AD3" s="75">
        <v>2033</v>
      </c>
      <c r="AE3" s="75"/>
      <c r="AF3" s="75">
        <v>2034</v>
      </c>
      <c r="AG3" s="75"/>
      <c r="AH3" s="75">
        <v>2035</v>
      </c>
      <c r="AI3" s="75"/>
      <c r="AJ3" s="75">
        <v>2036</v>
      </c>
      <c r="AK3" s="75"/>
    </row>
    <row r="4" spans="1:37" x14ac:dyDescent="0.25">
      <c r="A4" s="78"/>
      <c r="B4" s="78"/>
      <c r="C4" s="80"/>
      <c r="D4" s="78"/>
      <c r="E4" s="81"/>
      <c r="F4" s="4" t="s">
        <v>11</v>
      </c>
      <c r="G4" s="4" t="s">
        <v>12</v>
      </c>
      <c r="H4" s="4" t="s">
        <v>11</v>
      </c>
      <c r="I4" s="4" t="s">
        <v>12</v>
      </c>
      <c r="J4" s="4" t="s">
        <v>11</v>
      </c>
      <c r="K4" s="4" t="s">
        <v>12</v>
      </c>
      <c r="L4" s="4" t="s">
        <v>11</v>
      </c>
      <c r="M4" s="4" t="s">
        <v>12</v>
      </c>
      <c r="N4" s="4" t="s">
        <v>11</v>
      </c>
      <c r="O4" s="4" t="s">
        <v>12</v>
      </c>
      <c r="P4" s="4" t="s">
        <v>11</v>
      </c>
      <c r="Q4" s="4" t="s">
        <v>12</v>
      </c>
      <c r="R4" s="4" t="s">
        <v>11</v>
      </c>
      <c r="S4" s="4" t="s">
        <v>12</v>
      </c>
      <c r="T4" s="4" t="s">
        <v>11</v>
      </c>
      <c r="U4" s="4" t="s">
        <v>12</v>
      </c>
      <c r="V4" s="4" t="s">
        <v>11</v>
      </c>
      <c r="W4" s="4" t="s">
        <v>12</v>
      </c>
      <c r="X4" s="4" t="s">
        <v>11</v>
      </c>
      <c r="Y4" s="4" t="s">
        <v>12</v>
      </c>
      <c r="Z4" s="4" t="s">
        <v>11</v>
      </c>
      <c r="AA4" s="4" t="s">
        <v>12</v>
      </c>
      <c r="AB4" s="4" t="s">
        <v>11</v>
      </c>
      <c r="AC4" s="4" t="s">
        <v>12</v>
      </c>
      <c r="AD4" s="4" t="s">
        <v>11</v>
      </c>
      <c r="AE4" s="4" t="s">
        <v>12</v>
      </c>
      <c r="AF4" s="4" t="s">
        <v>11</v>
      </c>
      <c r="AG4" s="4" t="s">
        <v>12</v>
      </c>
      <c r="AH4" s="4" t="s">
        <v>11</v>
      </c>
      <c r="AI4" s="4" t="s">
        <v>12</v>
      </c>
      <c r="AJ4" s="4" t="s">
        <v>11</v>
      </c>
      <c r="AK4" s="4" t="s">
        <v>12</v>
      </c>
    </row>
    <row r="5" spans="1:37" x14ac:dyDescent="0.25">
      <c r="A5" s="60" t="s">
        <v>88</v>
      </c>
      <c r="B5" s="61" t="s">
        <v>89</v>
      </c>
      <c r="C5" s="62">
        <v>2021</v>
      </c>
      <c r="D5" s="63">
        <v>0</v>
      </c>
      <c r="E5" s="64">
        <f>'classe d''age ARGEFO'!E7</f>
        <v>14.3851</v>
      </c>
      <c r="F5" s="65"/>
      <c r="G5" s="66">
        <f>IF(F5="",0,VLOOKUP(F5,Table!$A$6:$B$16,2,FALSE)*E5)</f>
        <v>0</v>
      </c>
      <c r="H5" s="65" t="s">
        <v>23</v>
      </c>
      <c r="I5" s="66">
        <f>IF(H5="",0,VLOOKUP(H5,Table!$A$6:$B$16,2,FALSE)*E5)</f>
        <v>-24454.67</v>
      </c>
      <c r="J5" s="65" t="s">
        <v>43</v>
      </c>
      <c r="K5" s="66">
        <f>IF(J5="",0,VLOOKUP(J5,Table!$A$6:$B$16,2,FALSE)*E5)</f>
        <v>-1078.8824999999999</v>
      </c>
      <c r="L5" s="65" t="s">
        <v>24</v>
      </c>
      <c r="M5" s="66">
        <f>IF(L5="",0,VLOOKUP(L5,Table!$A$6:$B$16,2,FALSE)*E5)</f>
        <v>-1294.6589999999999</v>
      </c>
      <c r="N5" s="65"/>
      <c r="O5" s="66">
        <f>IF(N5="",0,VLOOKUP(N5,Table!$A$6:$B$16,2,FALSE)*E5)</f>
        <v>0</v>
      </c>
      <c r="P5" s="65" t="s">
        <v>25</v>
      </c>
      <c r="Q5" s="66">
        <f>IF(P5="",0,VLOOKUP(P5,Table!$A$6:$B$16,2,FALSE)*$E5)</f>
        <v>-1294.6589999999999</v>
      </c>
      <c r="R5" s="65"/>
      <c r="S5" s="66">
        <f>IF(R5="",0,VLOOKUP(R5,Table!$A$6:$B$16,2,FALSE)*$E5)</f>
        <v>0</v>
      </c>
      <c r="T5" s="65"/>
      <c r="U5" s="66">
        <f>IF(T5="",0,VLOOKUP(T5,Table!$A$6:$B$16,2,FALSE)*$E5)</f>
        <v>0</v>
      </c>
      <c r="V5" s="65"/>
      <c r="W5" s="66">
        <f>IF(V5="",0,VLOOKUP(V5,Table!$A$6:$B$16,2,FALSE)*$E5)</f>
        <v>0</v>
      </c>
      <c r="X5" s="65"/>
      <c r="Y5" s="66">
        <f>IF(X5="",0,VLOOKUP(X5,Table!$A$6:$B$16,2,FALSE)*$E5)</f>
        <v>0</v>
      </c>
      <c r="Z5" s="65"/>
      <c r="AA5" s="66">
        <f>IF(Z5="",0,VLOOKUP(Z5,Table!$A$6:$B$16,2,FALSE)*$E5)</f>
        <v>0</v>
      </c>
      <c r="AB5" s="65"/>
      <c r="AC5" s="66">
        <f>IF(AB5="",0,VLOOKUP(AB5,Table!$A$6:$B$16,2,FALSE)*$E5)</f>
        <v>0</v>
      </c>
      <c r="AD5" s="65"/>
      <c r="AE5" s="66">
        <f>IF(AD5="",0,VLOOKUP(AD5,Table!$A$6:$B$16,2,FALSE)*$E5)</f>
        <v>0</v>
      </c>
      <c r="AF5" s="65"/>
      <c r="AG5" s="66">
        <f>IF(AF5="",0,VLOOKUP(AF5,Table!$A$6:$B$16,2,FALSE)*$E5)</f>
        <v>0</v>
      </c>
      <c r="AH5" s="65" t="s">
        <v>34</v>
      </c>
      <c r="AI5" s="66">
        <f>IF(AH5="",0,VLOOKUP(AH5,Table!$A$6:$B$16,2,FALSE)*$E5)</f>
        <v>8285.8176000000003</v>
      </c>
      <c r="AJ5" s="65"/>
      <c r="AK5" s="66">
        <f>IF(AJ5="",0,VLOOKUP(AJ5,Table!$A$6:$B$16,2,FALSE)*$E5)</f>
        <v>0</v>
      </c>
    </row>
    <row r="6" spans="1:37" x14ac:dyDescent="0.25">
      <c r="A6" s="61" t="s">
        <v>10</v>
      </c>
      <c r="B6" s="61" t="s">
        <v>89</v>
      </c>
      <c r="C6" s="16">
        <f>Table!$B$2-'BUDGET SYLV CRTE ROTATION'!D6</f>
        <v>2020</v>
      </c>
      <c r="D6" s="63">
        <v>1</v>
      </c>
      <c r="E6" s="64">
        <f>'classe d''age ARGEFO'!D15</f>
        <v>3.0108999999999999</v>
      </c>
      <c r="F6" s="65" t="s">
        <v>43</v>
      </c>
      <c r="G6" s="66">
        <f>IF(F6="",0,VLOOKUP(F6,Table!$A$6:$B$16,2,FALSE)*E6)</f>
        <v>-225.8175</v>
      </c>
      <c r="H6" s="65" t="s">
        <v>24</v>
      </c>
      <c r="I6" s="66">
        <f>IF(H6="",0,VLOOKUP(H6,Table!$A$6:$B$16,2,FALSE)*E6)</f>
        <v>-270.98099999999999</v>
      </c>
      <c r="J6" s="65"/>
      <c r="K6" s="66">
        <f>IF(J6="",0,VLOOKUP(J6,Table!$A$6:$B$16,2,FALSE)*E6)</f>
        <v>0</v>
      </c>
      <c r="L6" s="65" t="s">
        <v>25</v>
      </c>
      <c r="M6" s="66">
        <f>IF(L6="",0,VLOOKUP(L6,Table!$A$6:$B$16,2,FALSE)*E6)</f>
        <v>-270.98099999999999</v>
      </c>
      <c r="N6" s="65"/>
      <c r="O6" s="66">
        <f>IF(N6="",0,VLOOKUP(N6,Table!$A$6:$B$16,2,FALSE)*E6)</f>
        <v>0</v>
      </c>
      <c r="P6" s="65"/>
      <c r="Q6" s="66">
        <f>IF(P6="",0,VLOOKUP(P6,Table!$A$6:$B$16,2,FALSE)*$E6)</f>
        <v>0</v>
      </c>
      <c r="R6" s="65"/>
      <c r="S6" s="66">
        <f>IF(R6="",0,VLOOKUP(R6,Table!$A$6:$B$16,2,FALSE)*$E6)</f>
        <v>0</v>
      </c>
      <c r="T6" s="65"/>
      <c r="U6" s="66">
        <f>IF(T6="",0,VLOOKUP(T6,Table!$A$6:$B$16,2,FALSE)*$E6)</f>
        <v>0</v>
      </c>
      <c r="V6" s="65"/>
      <c r="W6" s="66">
        <f>IF(V6="",0,VLOOKUP(V6,Table!$A$6:$B$16,2,FALSE)*$E6)</f>
        <v>0</v>
      </c>
      <c r="X6" s="65"/>
      <c r="Y6" s="66">
        <f>IF(X6="",0,VLOOKUP(X6,Table!$A$6:$B$16,2,FALSE)*$E6)</f>
        <v>0</v>
      </c>
      <c r="Z6" s="65"/>
      <c r="AA6" s="66">
        <f>IF(Z6="",0,VLOOKUP(Z6,Table!$A$6:$B$16,2,FALSE)*$E6)</f>
        <v>0</v>
      </c>
      <c r="AB6" s="65"/>
      <c r="AC6" s="66">
        <f>IF(AB6="",0,VLOOKUP(AB6,Table!$A$6:$B$16,2,FALSE)*$E6)</f>
        <v>0</v>
      </c>
      <c r="AD6" s="65"/>
      <c r="AE6" s="66">
        <f>IF(AD6="",0,VLOOKUP(AD6,Table!$A$6:$B$16,2,FALSE)*$E6)</f>
        <v>0</v>
      </c>
      <c r="AF6" s="65" t="s">
        <v>34</v>
      </c>
      <c r="AG6" s="66">
        <f>IF(AF6="",0,VLOOKUP(AF6,Table!$A$6:$B$16,2,FALSE)*$E6)</f>
        <v>1734.2783999999999</v>
      </c>
      <c r="AH6" s="65"/>
      <c r="AI6" s="66">
        <f>IF(AH6="",0,VLOOKUP(AH6,Table!$A$6:$B$16,2,FALSE)*$E6)</f>
        <v>0</v>
      </c>
      <c r="AJ6" s="65"/>
      <c r="AK6" s="66">
        <f>IF(AJ6="",0,VLOOKUP(AJ6,Table!$A$6:$B$16,2,FALSE)*$E6)</f>
        <v>0</v>
      </c>
    </row>
    <row r="7" spans="1:37" x14ac:dyDescent="0.25">
      <c r="A7" s="61" t="s">
        <v>4</v>
      </c>
      <c r="B7" s="61" t="s">
        <v>89</v>
      </c>
      <c r="C7" s="16">
        <f>Table!$B$2-'BUDGET SYLV CRTE ROTATION'!D7</f>
        <v>2019</v>
      </c>
      <c r="D7" s="63">
        <v>2</v>
      </c>
      <c r="E7" s="64">
        <f>'classe d''age ARGEFO'!C16</f>
        <v>14.340199999999999</v>
      </c>
      <c r="F7" s="65" t="s">
        <v>24</v>
      </c>
      <c r="G7" s="66">
        <f>IF(F7="",0,VLOOKUP(F7,Table!$A$6:$B$16,2,FALSE)*E7)</f>
        <v>-1290.6179999999999</v>
      </c>
      <c r="H7" s="65"/>
      <c r="I7" s="66">
        <f>IF(H7="",0,VLOOKUP(H7,Table!$A$6:$B$16,2,FALSE)*E7)</f>
        <v>0</v>
      </c>
      <c r="J7" s="65" t="s">
        <v>25</v>
      </c>
      <c r="K7" s="66">
        <f>IF(J7="",0,VLOOKUP(J7,Table!$A$6:$B$16,2,FALSE)*E7)</f>
        <v>-1290.6179999999999</v>
      </c>
      <c r="L7" s="65"/>
      <c r="M7" s="66">
        <f>IF(L7="",0,VLOOKUP(L7,Table!$A$6:$B$16,2,FALSE)*E7)</f>
        <v>0</v>
      </c>
      <c r="N7" s="65"/>
      <c r="O7" s="66">
        <f>IF(N7="",0,VLOOKUP(N7,Table!$A$6:$B$16,2,FALSE)*E7)</f>
        <v>0</v>
      </c>
      <c r="P7" s="65"/>
      <c r="Q7" s="66">
        <f>IF(P7="",0,VLOOKUP(P7,Table!$A$6:$B$16,2,FALSE)*$E7)</f>
        <v>0</v>
      </c>
      <c r="R7" s="65"/>
      <c r="S7" s="66">
        <f>IF(R7="",0,VLOOKUP(R7,Table!$A$6:$B$16,2,FALSE)*$E7)</f>
        <v>0</v>
      </c>
      <c r="T7" s="65"/>
      <c r="U7" s="66">
        <f>IF(T7="",0,VLOOKUP(T7,Table!$A$6:$B$16,2,FALSE)*$E7)</f>
        <v>0</v>
      </c>
      <c r="V7" s="65"/>
      <c r="W7" s="66">
        <f>IF(V7="",0,VLOOKUP(V7,Table!$A$6:$B$16,2,FALSE)*$E7)</f>
        <v>0</v>
      </c>
      <c r="X7" s="65"/>
      <c r="Y7" s="66">
        <f>IF(X7="",0,VLOOKUP(X7,Table!$A$6:$B$16,2,FALSE)*$E7)</f>
        <v>0</v>
      </c>
      <c r="Z7" s="65"/>
      <c r="AA7" s="66">
        <f>IF(Z7="",0,VLOOKUP(Z7,Table!$A$6:$B$16,2,FALSE)*$E7)</f>
        <v>0</v>
      </c>
      <c r="AB7" s="65"/>
      <c r="AC7" s="66">
        <f>IF(AB7="",0,VLOOKUP(AB7,Table!$A$6:$B$16,2,FALSE)*$E7)</f>
        <v>0</v>
      </c>
      <c r="AD7" s="65" t="s">
        <v>34</v>
      </c>
      <c r="AE7" s="66">
        <f>IF(AD7="",0,VLOOKUP(AD7,Table!$A$6:$B$16,2,FALSE)*$E7)</f>
        <v>8259.9552000000003</v>
      </c>
      <c r="AF7" s="65"/>
      <c r="AG7" s="66">
        <f>IF(AF7="",0,VLOOKUP(AF7,Table!$A$6:$B$16,2,FALSE)*$E7)</f>
        <v>0</v>
      </c>
      <c r="AH7" s="65"/>
      <c r="AI7" s="66">
        <f>IF(AH7="",0,VLOOKUP(AH7,Table!$A$6:$B$16,2,FALSE)*$E7)</f>
        <v>0</v>
      </c>
      <c r="AJ7" s="65"/>
      <c r="AK7" s="66">
        <f>IF(AJ7="",0,VLOOKUP(AJ7,Table!$A$6:$B$16,2,FALSE)*$E7)</f>
        <v>0</v>
      </c>
    </row>
    <row r="8" spans="1:37" x14ac:dyDescent="0.25">
      <c r="A8" s="61" t="s">
        <v>10</v>
      </c>
      <c r="B8" s="61" t="s">
        <v>89</v>
      </c>
      <c r="C8" s="16">
        <f>Table!$B$2-'BUDGET SYLV CRTE ROTATION'!D8</f>
        <v>2019</v>
      </c>
      <c r="D8" s="63">
        <v>2</v>
      </c>
      <c r="E8" s="64">
        <f>'classe d''age ARGEFO'!D16</f>
        <v>13.2212</v>
      </c>
      <c r="F8" s="65" t="s">
        <v>24</v>
      </c>
      <c r="G8" s="66">
        <f>IF(F8="",0,VLOOKUP(F8,Table!$A$6:$B$16,2,FALSE)*E8)</f>
        <v>-1189.9079999999999</v>
      </c>
      <c r="H8" s="65"/>
      <c r="I8" s="66">
        <f>IF(H8="",0,VLOOKUP(H8,Table!$A$6:$B$16,2,FALSE)*E8)</f>
        <v>0</v>
      </c>
      <c r="J8" s="65" t="s">
        <v>25</v>
      </c>
      <c r="K8" s="66">
        <f>IF(J8="",0,VLOOKUP(J8,Table!$A$6:$B$16,2,FALSE)*E8)</f>
        <v>-1189.9079999999999</v>
      </c>
      <c r="L8" s="65"/>
      <c r="M8" s="66">
        <f>IF(L8="",0,VLOOKUP(L8,Table!$A$6:$B$16,2,FALSE)*E8)</f>
        <v>0</v>
      </c>
      <c r="N8" s="65"/>
      <c r="O8" s="66">
        <f>IF(N8="",0,VLOOKUP(N8,Table!$A$6:$B$16,2,FALSE)*E8)</f>
        <v>0</v>
      </c>
      <c r="P8" s="65"/>
      <c r="Q8" s="66">
        <f>IF(P8="",0,VLOOKUP(P8,Table!$A$6:$B$16,2,FALSE)*$E8)</f>
        <v>0</v>
      </c>
      <c r="R8" s="65"/>
      <c r="S8" s="66">
        <f>IF(R8="",0,VLOOKUP(R8,Table!$A$6:$B$16,2,FALSE)*$E8)</f>
        <v>0</v>
      </c>
      <c r="T8" s="65"/>
      <c r="U8" s="66">
        <f>IF(T8="",0,VLOOKUP(T8,Table!$A$6:$B$16,2,FALSE)*$E8)</f>
        <v>0</v>
      </c>
      <c r="V8" s="65"/>
      <c r="W8" s="66">
        <f>IF(V8="",0,VLOOKUP(V8,Table!$A$6:$B$16,2,FALSE)*$E8)</f>
        <v>0</v>
      </c>
      <c r="X8" s="65"/>
      <c r="Y8" s="66">
        <f>IF(X8="",0,VLOOKUP(X8,Table!$A$6:$B$16,2,FALSE)*$E8)</f>
        <v>0</v>
      </c>
      <c r="Z8" s="65"/>
      <c r="AA8" s="66">
        <f>IF(Z8="",0,VLOOKUP(Z8,Table!$A$6:$B$16,2,FALSE)*$E8)</f>
        <v>0</v>
      </c>
      <c r="AB8" s="65"/>
      <c r="AC8" s="66">
        <f>IF(AB8="",0,VLOOKUP(AB8,Table!$A$6:$B$16,2,FALSE)*$E8)</f>
        <v>0</v>
      </c>
      <c r="AD8" s="65" t="s">
        <v>34</v>
      </c>
      <c r="AE8" s="66">
        <f>IF(AD8="",0,VLOOKUP(AD8,Table!$A$6:$B$16,2,FALSE)*$E8)</f>
        <v>7615.4111999999996</v>
      </c>
      <c r="AF8" s="65"/>
      <c r="AG8" s="66">
        <f>IF(AF8="",0,VLOOKUP(AF8,Table!$A$6:$B$16,2,FALSE)*$E8)</f>
        <v>0</v>
      </c>
      <c r="AH8" s="65"/>
      <c r="AI8" s="66">
        <f>IF(AH8="",0,VLOOKUP(AH8,Table!$A$6:$B$16,2,FALSE)*$E8)</f>
        <v>0</v>
      </c>
      <c r="AJ8" s="65"/>
      <c r="AK8" s="66">
        <f>IF(AJ8="",0,VLOOKUP(AJ8,Table!$A$6:$B$16,2,FALSE)*$E8)</f>
        <v>0</v>
      </c>
    </row>
    <row r="9" spans="1:37" x14ac:dyDescent="0.25">
      <c r="A9" s="61" t="s">
        <v>10</v>
      </c>
      <c r="B9" s="61" t="s">
        <v>89</v>
      </c>
      <c r="C9" s="16">
        <f>Table!$B$2-'BUDGET SYLV CRTE ROTATION'!D9</f>
        <v>2018</v>
      </c>
      <c r="D9" s="63">
        <v>3</v>
      </c>
      <c r="E9" s="64">
        <f>'classe d''age ARGEFO'!D17</f>
        <v>26.142099999999999</v>
      </c>
      <c r="F9" s="65"/>
      <c r="G9" s="66">
        <f>IF(F9="",0,VLOOKUP(F9,Table!$A$6:$B$16,2,FALSE)*E9)</f>
        <v>0</v>
      </c>
      <c r="H9" s="65" t="s">
        <v>25</v>
      </c>
      <c r="I9" s="66">
        <f>IF(H9="",0,VLOOKUP(H9,Table!$A$6:$B$16,2,FALSE)*E9)</f>
        <v>-2352.7889999999998</v>
      </c>
      <c r="J9" s="65"/>
      <c r="K9" s="66">
        <f>IF(J9="",0,VLOOKUP(J9,Table!$A$6:$B$16,2,FALSE)*E9)</f>
        <v>0</v>
      </c>
      <c r="L9" s="65"/>
      <c r="M9" s="66">
        <f>IF(L9="",0,VLOOKUP(L9,Table!$A$6:$B$16,2,FALSE)*E9)</f>
        <v>0</v>
      </c>
      <c r="N9" s="65"/>
      <c r="O9" s="66">
        <f>IF(N9="",0,VLOOKUP(N9,Table!$A$6:$B$16,2,FALSE)*E9)</f>
        <v>0</v>
      </c>
      <c r="P9" s="65"/>
      <c r="Q9" s="66">
        <f>IF(P9="",0,VLOOKUP(P9,Table!$A$6:$B$16,2,FALSE)*$E9)</f>
        <v>0</v>
      </c>
      <c r="R9" s="65"/>
      <c r="S9" s="66">
        <f>IF(R9="",0,VLOOKUP(R9,Table!$A$6:$B$16,2,FALSE)*$E9)</f>
        <v>0</v>
      </c>
      <c r="T9" s="65"/>
      <c r="U9" s="66">
        <f>IF(T9="",0,VLOOKUP(T9,Table!$A$6:$B$16,2,FALSE)*$E9)</f>
        <v>0</v>
      </c>
      <c r="V9" s="65"/>
      <c r="W9" s="66">
        <f>IF(V9="",0,VLOOKUP(V9,Table!$A$6:$B$16,2,FALSE)*$E9)</f>
        <v>0</v>
      </c>
      <c r="X9" s="65"/>
      <c r="Y9" s="66">
        <f>IF(X9="",0,VLOOKUP(X9,Table!$A$6:$B$16,2,FALSE)*$E9)</f>
        <v>0</v>
      </c>
      <c r="Z9" s="65"/>
      <c r="AA9" s="66">
        <f>IF(Z9="",0,VLOOKUP(Z9,Table!$A$6:$B$16,2,FALSE)*$E9)</f>
        <v>0</v>
      </c>
      <c r="AB9" s="65" t="s">
        <v>34</v>
      </c>
      <c r="AC9" s="66">
        <f>IF(AB9="",0,VLOOKUP(AB9,Table!$A$6:$B$16,2,FALSE)*$E9)</f>
        <v>15057.8496</v>
      </c>
      <c r="AD9" s="65"/>
      <c r="AE9" s="66">
        <f>IF(AD9="",0,VLOOKUP(AD9,Table!$A$6:$B$16,2,FALSE)*$E9)</f>
        <v>0</v>
      </c>
      <c r="AF9" s="65"/>
      <c r="AG9" s="66">
        <f>IF(AF9="",0,VLOOKUP(AF9,Table!$A$6:$B$16,2,FALSE)*$E9)</f>
        <v>0</v>
      </c>
      <c r="AH9" s="65"/>
      <c r="AI9" s="66">
        <f>IF(AH9="",0,VLOOKUP(AH9,Table!$A$6:$B$16,2,FALSE)*$E9)</f>
        <v>0</v>
      </c>
      <c r="AJ9" s="65"/>
      <c r="AK9" s="66">
        <f>IF(AJ9="",0,VLOOKUP(AJ9,Table!$A$6:$B$16,2,FALSE)*$E9)</f>
        <v>0</v>
      </c>
    </row>
    <row r="10" spans="1:37" x14ac:dyDescent="0.25">
      <c r="A10" s="61" t="s">
        <v>4</v>
      </c>
      <c r="B10" s="61" t="s">
        <v>89</v>
      </c>
      <c r="C10" s="16">
        <f>Table!$B$2-'BUDGET SYLV CRTE ROTATION'!D10</f>
        <v>2017</v>
      </c>
      <c r="D10" s="63">
        <v>4</v>
      </c>
      <c r="E10" s="64">
        <f>'classe d''age ARGEFO'!C18</f>
        <v>45.709899999999998</v>
      </c>
      <c r="F10" s="65" t="s">
        <v>25</v>
      </c>
      <c r="G10" s="66">
        <f>IF(F10="",0,VLOOKUP(F10,Table!$A$6:$B$16,2,FALSE)*E10)</f>
        <v>-4113.8909999999996</v>
      </c>
      <c r="H10" s="65"/>
      <c r="I10" s="66">
        <f>IF(H10="",0,VLOOKUP(H10,Table!$A$6:$B$16,2,FALSE)*E10)</f>
        <v>0</v>
      </c>
      <c r="J10" s="65"/>
      <c r="K10" s="66">
        <f>IF(J10="",0,VLOOKUP(J10,Table!$A$6:$B$16,2,FALSE)*E10)</f>
        <v>0</v>
      </c>
      <c r="L10" s="65"/>
      <c r="M10" s="66">
        <f>IF(L10="",0,VLOOKUP(L10,Table!$A$6:$B$16,2,FALSE)*E10)</f>
        <v>0</v>
      </c>
      <c r="N10" s="65"/>
      <c r="O10" s="66">
        <f>IF(N10="",0,VLOOKUP(N10,Table!$A$6:$B$16,2,FALSE)*E10)</f>
        <v>0</v>
      </c>
      <c r="P10" s="65"/>
      <c r="Q10" s="66">
        <f>IF(P10="",0,VLOOKUP(P10,Table!$A$6:$B$16,2,FALSE)*$E10)</f>
        <v>0</v>
      </c>
      <c r="R10" s="65"/>
      <c r="S10" s="66">
        <f>IF(R10="",0,VLOOKUP(R10,Table!$A$6:$B$16,2,FALSE)*$E10)</f>
        <v>0</v>
      </c>
      <c r="T10" s="65"/>
      <c r="U10" s="66">
        <f>IF(T10="",0,VLOOKUP(T10,Table!$A$6:$B$16,2,FALSE)*$E10)</f>
        <v>0</v>
      </c>
      <c r="V10" s="65"/>
      <c r="W10" s="66">
        <f>IF(V10="",0,VLOOKUP(V10,Table!$A$6:$B$16,2,FALSE)*$E10)</f>
        <v>0</v>
      </c>
      <c r="X10" s="65"/>
      <c r="Y10" s="66">
        <f>IF(X10="",0,VLOOKUP(X10,Table!$A$6:$B$16,2,FALSE)*$E10)</f>
        <v>0</v>
      </c>
      <c r="Z10" s="65" t="s">
        <v>34</v>
      </c>
      <c r="AA10" s="66">
        <f>IF(Z10="",0,VLOOKUP(Z10,Table!$A$6:$B$16,2,FALSE)*$E10)</f>
        <v>26328.902399999999</v>
      </c>
      <c r="AB10" s="65"/>
      <c r="AC10" s="66">
        <f>IF(AB10="",0,VLOOKUP(AB10,Table!$A$6:$B$16,2,FALSE)*$E10)</f>
        <v>0</v>
      </c>
      <c r="AD10" s="65"/>
      <c r="AE10" s="66">
        <f>IF(AD10="",0,VLOOKUP(AD10,Table!$A$6:$B$16,2,FALSE)*$E10)</f>
        <v>0</v>
      </c>
      <c r="AF10" s="65"/>
      <c r="AG10" s="66">
        <f>IF(AF10="",0,VLOOKUP(AF10,Table!$A$6:$B$16,2,FALSE)*$E10)</f>
        <v>0</v>
      </c>
      <c r="AH10" s="65"/>
      <c r="AI10" s="66">
        <f>IF(AH10="",0,VLOOKUP(AH10,Table!$A$6:$B$16,2,FALSE)*$E10)</f>
        <v>0</v>
      </c>
      <c r="AJ10" s="65" t="s">
        <v>35</v>
      </c>
      <c r="AK10" s="66">
        <f>IF(AJ10="",0,VLOOKUP(AJ10,Table!$A$6:$B$16,2,FALSE)*$E10)</f>
        <v>38396.315999999999</v>
      </c>
    </row>
    <row r="11" spans="1:37" x14ac:dyDescent="0.25">
      <c r="A11" s="61" t="s">
        <v>4</v>
      </c>
      <c r="B11" s="61" t="s">
        <v>89</v>
      </c>
      <c r="C11" s="16">
        <f>Table!$B$2-'BUDGET SYLV CRTE ROTATION'!D11</f>
        <v>2015</v>
      </c>
      <c r="D11" s="63">
        <v>6</v>
      </c>
      <c r="E11" s="64">
        <f>'classe d''age ARGEFO'!C19</f>
        <v>58.417900000000003</v>
      </c>
      <c r="F11" s="65"/>
      <c r="G11" s="66">
        <f>IF(F11="",0,VLOOKUP(F11,Table!$A$6:$B$16,2,FALSE)*E11)</f>
        <v>0</v>
      </c>
      <c r="H11" s="65"/>
      <c r="I11" s="66">
        <f>IF(H11="",0,VLOOKUP(H11,Table!$A$6:$B$16,2,FALSE)*E11)</f>
        <v>0</v>
      </c>
      <c r="J11" s="65"/>
      <c r="K11" s="66">
        <f>IF(J11="",0,VLOOKUP(J11,Table!$A$6:$B$16,2,FALSE)*E11)</f>
        <v>0</v>
      </c>
      <c r="L11" s="65"/>
      <c r="M11" s="66">
        <f>IF(L11="",0,VLOOKUP(L11,Table!$A$6:$B$16,2,FALSE)*E11)</f>
        <v>0</v>
      </c>
      <c r="N11" s="65"/>
      <c r="O11" s="66">
        <f>IF(N11="",0,VLOOKUP(N11,Table!$A$6:$B$16,2,FALSE)*E11)</f>
        <v>0</v>
      </c>
      <c r="P11" s="65"/>
      <c r="Q11" s="66">
        <f>IF(P11="",0,VLOOKUP(P11,Table!$A$6:$B$16,2,FALSE)*$E11)</f>
        <v>0</v>
      </c>
      <c r="R11" s="65"/>
      <c r="S11" s="66">
        <f>IF(R11="",0,VLOOKUP(R11,Table!$A$6:$B$16,2,FALSE)*$E11)</f>
        <v>0</v>
      </c>
      <c r="T11" s="65" t="s">
        <v>34</v>
      </c>
      <c r="U11" s="66">
        <f>IF(T11="",0,VLOOKUP(T11,Table!$A$6:$B$16,2,FALSE)*$E11)</f>
        <v>33648.710400000004</v>
      </c>
      <c r="V11" s="65"/>
      <c r="W11" s="66">
        <f>IF(V11="",0,VLOOKUP(V11,Table!$A$6:$B$16,2,FALSE)*$E11)</f>
        <v>0</v>
      </c>
      <c r="X11" s="65"/>
      <c r="Y11" s="66">
        <f>IF(X11="",0,VLOOKUP(X11,Table!$A$6:$B$16,2,FALSE)*$E11)</f>
        <v>0</v>
      </c>
      <c r="Z11" s="65"/>
      <c r="AA11" s="66">
        <f>IF(Z11="",0,VLOOKUP(Z11,Table!$A$6:$B$16,2,FALSE)*$E11)</f>
        <v>0</v>
      </c>
      <c r="AB11" s="65"/>
      <c r="AC11" s="66">
        <f>IF(AB11="",0,VLOOKUP(AB11,Table!$A$6:$B$16,2,FALSE)*$E11)</f>
        <v>0</v>
      </c>
      <c r="AD11" s="65" t="s">
        <v>35</v>
      </c>
      <c r="AE11" s="66">
        <f>IF(AD11="",0,VLOOKUP(AD11,Table!$A$6:$B$16,2,FALSE)*$E11)</f>
        <v>49071.036</v>
      </c>
      <c r="AF11" s="65"/>
      <c r="AG11" s="66">
        <f>IF(AF11="",0,VLOOKUP(AF11,Table!$A$6:$B$16,2,FALSE)*$E11)</f>
        <v>0</v>
      </c>
      <c r="AH11" s="65"/>
      <c r="AI11" s="66">
        <f>IF(AH11="",0,VLOOKUP(AH11,Table!$A$6:$B$16,2,FALSE)*$E11)</f>
        <v>0</v>
      </c>
      <c r="AJ11" s="65"/>
      <c r="AK11" s="66">
        <f>IF(AJ11="",0,VLOOKUP(AJ11,Table!$A$6:$B$16,2,FALSE)*$E11)</f>
        <v>0</v>
      </c>
    </row>
    <row r="12" spans="1:37" x14ac:dyDescent="0.25">
      <c r="A12" s="61" t="s">
        <v>10</v>
      </c>
      <c r="B12" s="61" t="s">
        <v>89</v>
      </c>
      <c r="C12" s="16">
        <f>Table!$B$2-'BUDGET SYLV CRTE ROTATION'!D12</f>
        <v>2015</v>
      </c>
      <c r="D12" s="63">
        <v>6</v>
      </c>
      <c r="E12" s="64">
        <f>'classe d''age ARGEFO'!D19</f>
        <v>45.560400000000001</v>
      </c>
      <c r="F12" s="65"/>
      <c r="G12" s="66">
        <f>IF(F12="",0,VLOOKUP(F12,Table!$A$6:$B$16,2,FALSE)*E12)</f>
        <v>0</v>
      </c>
      <c r="H12" s="65"/>
      <c r="I12" s="66">
        <f>IF(H12="",0,VLOOKUP(H12,Table!$A$6:$B$16,2,FALSE)*E12)</f>
        <v>0</v>
      </c>
      <c r="J12" s="65"/>
      <c r="K12" s="66">
        <f>IF(J12="",0,VLOOKUP(J12,Table!$A$6:$B$16,2,FALSE)*E12)</f>
        <v>0</v>
      </c>
      <c r="L12" s="65"/>
      <c r="M12" s="66">
        <f>IF(L12="",0,VLOOKUP(L12,Table!$A$6:$B$16,2,FALSE)*E12)</f>
        <v>0</v>
      </c>
      <c r="N12" s="65"/>
      <c r="O12" s="66">
        <f>IF(N12="",0,VLOOKUP(N12,Table!$A$6:$B$16,2,FALSE)*E12)</f>
        <v>0</v>
      </c>
      <c r="P12" s="65"/>
      <c r="Q12" s="66">
        <f>IF(P12="",0,VLOOKUP(P12,Table!$A$6:$B$16,2,FALSE)*$E12)</f>
        <v>0</v>
      </c>
      <c r="R12" s="65"/>
      <c r="S12" s="66">
        <f>IF(R12="",0,VLOOKUP(R12,Table!$A$6:$B$16,2,FALSE)*$E12)</f>
        <v>0</v>
      </c>
      <c r="T12" s="65" t="s">
        <v>34</v>
      </c>
      <c r="U12" s="66">
        <f>IF(T12="",0,VLOOKUP(T12,Table!$A$6:$B$16,2,FALSE)*$E12)</f>
        <v>26242.790400000002</v>
      </c>
      <c r="V12" s="65"/>
      <c r="W12" s="66">
        <f>IF(V12="",0,VLOOKUP(V12,Table!$A$6:$B$16,2,FALSE)*$E12)</f>
        <v>0</v>
      </c>
      <c r="X12" s="65"/>
      <c r="Y12" s="66">
        <f>IF(X12="",0,VLOOKUP(X12,Table!$A$6:$B$16,2,FALSE)*$E12)</f>
        <v>0</v>
      </c>
      <c r="Z12" s="65"/>
      <c r="AA12" s="66">
        <f>IF(Z12="",0,VLOOKUP(Z12,Table!$A$6:$B$16,2,FALSE)*$E12)</f>
        <v>0</v>
      </c>
      <c r="AB12" s="65"/>
      <c r="AC12" s="66">
        <f>IF(AB12="",0,VLOOKUP(AB12,Table!$A$6:$B$16,2,FALSE)*$E12)</f>
        <v>0</v>
      </c>
      <c r="AD12" s="65" t="s">
        <v>35</v>
      </c>
      <c r="AE12" s="66">
        <f>IF(AD12="",0,VLOOKUP(AD12,Table!$A$6:$B$16,2,FALSE)*$E12)</f>
        <v>38270.736000000004</v>
      </c>
      <c r="AF12" s="65"/>
      <c r="AG12" s="66">
        <f>IF(AF12="",0,VLOOKUP(AF12,Table!$A$6:$B$16,2,FALSE)*$E12)</f>
        <v>0</v>
      </c>
      <c r="AH12" s="65"/>
      <c r="AI12" s="66">
        <f>IF(AH12="",0,VLOOKUP(AH12,Table!$A$6:$B$16,2,FALSE)*$E12)</f>
        <v>0</v>
      </c>
      <c r="AJ12" s="65"/>
      <c r="AK12" s="66">
        <f>IF(AJ12="",0,VLOOKUP(AJ12,Table!$A$6:$B$16,2,FALSE)*$E12)</f>
        <v>0</v>
      </c>
    </row>
    <row r="13" spans="1:37" x14ac:dyDescent="0.25">
      <c r="A13" s="61" t="s">
        <v>4</v>
      </c>
      <c r="B13" s="61" t="s">
        <v>89</v>
      </c>
      <c r="C13" s="16">
        <f>Table!$B$2-'BUDGET SYLV CRTE ROTATION'!D13</f>
        <v>2014</v>
      </c>
      <c r="D13" s="63">
        <v>7</v>
      </c>
      <c r="E13" s="64">
        <f>'classe d''age ARGEFO'!C20</f>
        <v>69.243600000000001</v>
      </c>
      <c r="F13" s="65"/>
      <c r="G13" s="66">
        <f>IF(F13="",0,VLOOKUP(F13,Table!$A$6:$B$16,2,FALSE)*E13)</f>
        <v>0</v>
      </c>
      <c r="H13" s="65"/>
      <c r="I13" s="66">
        <f>IF(H13="",0,VLOOKUP(H13,Table!$A$6:$B$16,2,FALSE)*E13)</f>
        <v>0</v>
      </c>
      <c r="J13" s="65"/>
      <c r="K13" s="66">
        <f>IF(J13="",0,VLOOKUP(J13,Table!$A$6:$B$16,2,FALSE)*E13)</f>
        <v>0</v>
      </c>
      <c r="L13" s="65"/>
      <c r="M13" s="66">
        <f>IF(L13="",0,VLOOKUP(L13,Table!$A$6:$B$16,2,FALSE)*E13)</f>
        <v>0</v>
      </c>
      <c r="N13" s="65"/>
      <c r="O13" s="66">
        <f>IF(N13="",0,VLOOKUP(N13,Table!$A$6:$B$16,2,FALSE)*E13)</f>
        <v>0</v>
      </c>
      <c r="P13" s="65"/>
      <c r="Q13" s="66">
        <f>IF(P13="",0,VLOOKUP(P13,Table!$A$6:$B$16,2,FALSE)*$E13)</f>
        <v>0</v>
      </c>
      <c r="R13" s="65" t="s">
        <v>34</v>
      </c>
      <c r="S13" s="66">
        <f>IF(R13="",0,VLOOKUP(R13,Table!$A$6:$B$16,2,FALSE)*$E13)</f>
        <v>39884.313600000001</v>
      </c>
      <c r="T13" s="65"/>
      <c r="U13" s="66">
        <f>IF(T13="",0,VLOOKUP(T13,Table!$A$6:$B$16,2,FALSE)*$E13)</f>
        <v>0</v>
      </c>
      <c r="V13" s="65"/>
      <c r="W13" s="66">
        <f>IF(V13="",0,VLOOKUP(V13,Table!$A$6:$B$16,2,FALSE)*$E13)</f>
        <v>0</v>
      </c>
      <c r="X13" s="65"/>
      <c r="Y13" s="66">
        <f>IF(X13="",0,VLOOKUP(X13,Table!$A$6:$B$16,2,FALSE)*$E13)</f>
        <v>0</v>
      </c>
      <c r="Z13" s="65"/>
      <c r="AA13" s="66">
        <f>IF(Z13="",0,VLOOKUP(Z13,Table!$A$6:$B$16,2,FALSE)*$E13)</f>
        <v>0</v>
      </c>
      <c r="AB13" s="65" t="s">
        <v>35</v>
      </c>
      <c r="AC13" s="66">
        <f>IF(AB13="",0,VLOOKUP(AB13,Table!$A$6:$B$16,2,FALSE)*$E13)</f>
        <v>58164.624000000003</v>
      </c>
      <c r="AD13" s="65"/>
      <c r="AE13" s="66">
        <f>IF(AD13="",0,VLOOKUP(AD13,Table!$A$6:$B$16,2,FALSE)*$E13)</f>
        <v>0</v>
      </c>
      <c r="AF13" s="65"/>
      <c r="AG13" s="66">
        <f>IF(AF13="",0,VLOOKUP(AF13,Table!$A$6:$B$16,2,FALSE)*$E13)</f>
        <v>0</v>
      </c>
      <c r="AH13" s="65"/>
      <c r="AI13" s="66">
        <f>IF(AH13="",0,VLOOKUP(AH13,Table!$A$6:$B$16,2,FALSE)*$E13)</f>
        <v>0</v>
      </c>
      <c r="AJ13" s="65"/>
      <c r="AK13" s="66">
        <f>IF(AJ13="",0,VLOOKUP(AJ13,Table!$A$6:$B$16,2,FALSE)*$E13)</f>
        <v>0</v>
      </c>
    </row>
    <row r="14" spans="1:37" x14ac:dyDescent="0.25">
      <c r="A14" s="61" t="s">
        <v>4</v>
      </c>
      <c r="B14" s="61" t="s">
        <v>89</v>
      </c>
      <c r="C14" s="16">
        <f>Table!$B$2-'BUDGET SYLV CRTE ROTATION'!D14</f>
        <v>2013</v>
      </c>
      <c r="D14" s="63">
        <v>8</v>
      </c>
      <c r="E14" s="64">
        <f>'classe d''age ARGEFO'!C21</f>
        <v>7.9581999999999997</v>
      </c>
      <c r="F14" s="65"/>
      <c r="G14" s="66">
        <f>IF(F14="",0,VLOOKUP(F14,Table!$A$6:$B$16,2,FALSE)*E14)</f>
        <v>0</v>
      </c>
      <c r="H14" s="65"/>
      <c r="I14" s="66">
        <f>IF(H14="",0,VLOOKUP(H14,Table!$A$6:$B$16,2,FALSE)*E14)</f>
        <v>0</v>
      </c>
      <c r="J14" s="65"/>
      <c r="K14" s="66">
        <f>IF(J14="",0,VLOOKUP(J14,Table!$A$6:$B$16,2,FALSE)*E14)</f>
        <v>0</v>
      </c>
      <c r="L14" s="65"/>
      <c r="M14" s="66">
        <f>IF(L14="",0,VLOOKUP(L14,Table!$A$6:$B$16,2,FALSE)*E14)</f>
        <v>0</v>
      </c>
      <c r="N14" s="65"/>
      <c r="O14" s="66">
        <f>IF(N14="",0,VLOOKUP(N14,Table!$A$6:$B$16,2,FALSE)*E14)</f>
        <v>0</v>
      </c>
      <c r="P14" s="65" t="s">
        <v>34</v>
      </c>
      <c r="Q14" s="66">
        <f>IF(P14="",0,VLOOKUP(P14,Table!$A$6:$B$16,2,FALSE)*$E14)</f>
        <v>4583.9232000000002</v>
      </c>
      <c r="R14" s="65"/>
      <c r="S14" s="66">
        <f>IF(R14="",0,VLOOKUP(R14,Table!$A$6:$B$16,2,FALSE)*$E14)</f>
        <v>0</v>
      </c>
      <c r="T14" s="65"/>
      <c r="U14" s="66">
        <f>IF(T14="",0,VLOOKUP(T14,Table!$A$6:$B$16,2,FALSE)*$E14)</f>
        <v>0</v>
      </c>
      <c r="V14" s="65"/>
      <c r="W14" s="66">
        <f>IF(V14="",0,VLOOKUP(V14,Table!$A$6:$B$16,2,FALSE)*$E14)</f>
        <v>0</v>
      </c>
      <c r="X14" s="65"/>
      <c r="Y14" s="66">
        <f>IF(X14="",0,VLOOKUP(X14,Table!$A$6:$B$16,2,FALSE)*$E14)</f>
        <v>0</v>
      </c>
      <c r="Z14" s="65" t="s">
        <v>35</v>
      </c>
      <c r="AA14" s="66">
        <f>IF(Z14="",0,VLOOKUP(Z14,Table!$A$6:$B$16,2,FALSE)*$E14)</f>
        <v>6684.8879999999999</v>
      </c>
      <c r="AB14" s="65"/>
      <c r="AC14" s="66">
        <f>IF(AB14="",0,VLOOKUP(AB14,Table!$A$6:$B$16,2,FALSE)*$E14)</f>
        <v>0</v>
      </c>
      <c r="AD14" s="65"/>
      <c r="AE14" s="66">
        <f>IF(AD14="",0,VLOOKUP(AD14,Table!$A$6:$B$16,2,FALSE)*$E14)</f>
        <v>0</v>
      </c>
      <c r="AF14" s="65"/>
      <c r="AG14" s="66">
        <f>IF(AF14="",0,VLOOKUP(AF14,Table!$A$6:$B$16,2,FALSE)*$E14)</f>
        <v>0</v>
      </c>
      <c r="AH14" s="65"/>
      <c r="AI14" s="66">
        <f>IF(AH14="",0,VLOOKUP(AH14,Table!$A$6:$B$16,2,FALSE)*$E14)</f>
        <v>0</v>
      </c>
      <c r="AJ14" s="65"/>
      <c r="AK14" s="66">
        <f>IF(AJ14="",0,VLOOKUP(AJ14,Table!$A$6:$B$16,2,FALSE)*$E14)</f>
        <v>0</v>
      </c>
    </row>
    <row r="15" spans="1:37" x14ac:dyDescent="0.25">
      <c r="A15" s="61" t="s">
        <v>4</v>
      </c>
      <c r="B15" s="61" t="s">
        <v>89</v>
      </c>
      <c r="C15" s="16">
        <f>Table!$B$2-'BUDGET SYLV CRTE ROTATION'!D15</f>
        <v>2012</v>
      </c>
      <c r="D15" s="63">
        <v>9</v>
      </c>
      <c r="E15" s="64">
        <f>'classe d''age ARGEFO'!C22</f>
        <v>82.200400000000002</v>
      </c>
      <c r="F15" s="65"/>
      <c r="G15" s="66">
        <f>IF(F15="",0,VLOOKUP(F15,Table!$A$6:$B$16,2,FALSE)*E15)</f>
        <v>0</v>
      </c>
      <c r="H15" s="65"/>
      <c r="I15" s="66">
        <f>IF(H15="",0,VLOOKUP(H15,Table!$A$6:$B$16,2,FALSE)*E15)</f>
        <v>0</v>
      </c>
      <c r="J15" s="65"/>
      <c r="K15" s="66">
        <f>IF(J15="",0,VLOOKUP(J15,Table!$A$6:$B$16,2,FALSE)*E15)</f>
        <v>0</v>
      </c>
      <c r="L15" s="65"/>
      <c r="M15" s="66">
        <f>IF(L15="",0,VLOOKUP(L15,Table!$A$6:$B$16,2,FALSE)*E15)</f>
        <v>0</v>
      </c>
      <c r="N15" s="65" t="s">
        <v>34</v>
      </c>
      <c r="O15" s="66">
        <f>IF(N15="",0,VLOOKUP(N15,Table!$A$6:$B$16,2,FALSE)*E15)</f>
        <v>47347.430399999997</v>
      </c>
      <c r="P15" s="65"/>
      <c r="Q15" s="66">
        <f>IF(P15="",0,VLOOKUP(P15,Table!$A$6:$B$16,2,FALSE)*$E15)</f>
        <v>0</v>
      </c>
      <c r="R15" s="65"/>
      <c r="S15" s="66">
        <f>IF(R15="",0,VLOOKUP(R15,Table!$A$6:$B$16,2,FALSE)*$E15)</f>
        <v>0</v>
      </c>
      <c r="T15" s="65"/>
      <c r="U15" s="66">
        <f>IF(T15="",0,VLOOKUP(T15,Table!$A$6:$B$16,2,FALSE)*$E15)</f>
        <v>0</v>
      </c>
      <c r="V15" s="65"/>
      <c r="W15" s="66">
        <f>IF(V15="",0,VLOOKUP(V15,Table!$A$6:$B$16,2,FALSE)*$E15)</f>
        <v>0</v>
      </c>
      <c r="X15" s="65" t="s">
        <v>35</v>
      </c>
      <c r="Y15" s="66">
        <f>IF(X15="",0,VLOOKUP(X15,Table!$A$6:$B$16,2,FALSE)*$E15)</f>
        <v>69048.335999999996</v>
      </c>
      <c r="Z15" s="65"/>
      <c r="AA15" s="66">
        <f>IF(Z15="",0,VLOOKUP(Z15,Table!$A$6:$B$16,2,FALSE)*$E15)</f>
        <v>0</v>
      </c>
      <c r="AB15" s="65"/>
      <c r="AC15" s="66">
        <f>IF(AB15="",0,VLOOKUP(AB15,Table!$A$6:$B$16,2,FALSE)*$E15)</f>
        <v>0</v>
      </c>
      <c r="AD15" s="65"/>
      <c r="AE15" s="66">
        <f>IF(AD15="",0,VLOOKUP(AD15,Table!$A$6:$B$16,2,FALSE)*$E15)</f>
        <v>0</v>
      </c>
      <c r="AF15" s="65"/>
      <c r="AG15" s="66">
        <f>IF(AF15="",0,VLOOKUP(AF15,Table!$A$6:$B$16,2,FALSE)*$E15)</f>
        <v>0</v>
      </c>
      <c r="AH15" s="65"/>
      <c r="AI15" s="66">
        <f>IF(AH15="",0,VLOOKUP(AH15,Table!$A$6:$B$16,2,FALSE)*$E15)</f>
        <v>0</v>
      </c>
      <c r="AJ15" s="65"/>
      <c r="AK15" s="66">
        <f>IF(AJ15="",0,VLOOKUP(AJ15,Table!$A$6:$B$16,2,FALSE)*$E15)</f>
        <v>0</v>
      </c>
    </row>
    <row r="16" spans="1:37" x14ac:dyDescent="0.25">
      <c r="A16" s="61" t="s">
        <v>4</v>
      </c>
      <c r="B16" s="61" t="s">
        <v>89</v>
      </c>
      <c r="C16" s="16">
        <f>Table!$B$2-'BUDGET SYLV CRTE ROTATION'!D16</f>
        <v>2010</v>
      </c>
      <c r="D16" s="63">
        <v>11</v>
      </c>
      <c r="E16" s="64">
        <f>'classe d''age ARGEFO'!C24</f>
        <v>13.932499999999999</v>
      </c>
      <c r="F16" s="65"/>
      <c r="G16" s="66">
        <f>IF(F16="",0,VLOOKUP(F16,Table!$A$6:$B$16,2,FALSE)*E16)</f>
        <v>0</v>
      </c>
      <c r="H16" s="65"/>
      <c r="I16" s="66">
        <f>IF(H16="",0,VLOOKUP(H16,Table!$A$6:$B$16,2,FALSE)*E16)</f>
        <v>0</v>
      </c>
      <c r="J16" s="65" t="s">
        <v>34</v>
      </c>
      <c r="K16" s="66">
        <f>IF(J16="",0,VLOOKUP(J16,Table!$A$6:$B$16,2,FALSE)*E16)</f>
        <v>8025.12</v>
      </c>
      <c r="L16" s="65"/>
      <c r="M16" s="66">
        <f>IF(L16="",0,VLOOKUP(L16,Table!$A$6:$B$16,2,FALSE)*E16)</f>
        <v>0</v>
      </c>
      <c r="N16" s="65"/>
      <c r="O16" s="66">
        <f>IF(N16="",0,VLOOKUP(N16,Table!$A$6:$B$16,2,FALSE)*E16)</f>
        <v>0</v>
      </c>
      <c r="P16" s="65"/>
      <c r="Q16" s="66">
        <f>IF(P16="",0,VLOOKUP(P16,Table!$A$6:$B$16,2,FALSE)*$E16)</f>
        <v>0</v>
      </c>
      <c r="R16" s="65"/>
      <c r="S16" s="66">
        <f>IF(R16="",0,VLOOKUP(R16,Table!$A$6:$B$16,2,FALSE)*$E16)</f>
        <v>0</v>
      </c>
      <c r="T16" s="65" t="s">
        <v>35</v>
      </c>
      <c r="U16" s="66">
        <f>IF(T16="",0,VLOOKUP(T16,Table!$A$6:$B$16,2,FALSE)*$E16)</f>
        <v>11703.3</v>
      </c>
      <c r="V16" s="65"/>
      <c r="W16" s="66">
        <f>IF(V16="",0,VLOOKUP(V16,Table!$A$6:$B$16,2,FALSE)*$E16)</f>
        <v>0</v>
      </c>
      <c r="X16" s="65"/>
      <c r="Y16" s="66">
        <f>IF(X16="",0,VLOOKUP(X16,Table!$A$6:$B$16,2,FALSE)*$E16)</f>
        <v>0</v>
      </c>
      <c r="Z16" s="65"/>
      <c r="AA16" s="66">
        <f>IF(Z16="",0,VLOOKUP(Z16,Table!$A$6:$B$16,2,FALSE)*$E16)</f>
        <v>0</v>
      </c>
      <c r="AB16" s="65"/>
      <c r="AC16" s="66">
        <f>IF(AB16="",0,VLOOKUP(AB16,Table!$A$6:$B$16,2,FALSE)*$E16)</f>
        <v>0</v>
      </c>
      <c r="AD16" s="65"/>
      <c r="AE16" s="66">
        <f>IF(AD16="",0,VLOOKUP(AD16,Table!$A$6:$B$16,2,FALSE)*$E16)</f>
        <v>0</v>
      </c>
      <c r="AF16" s="65"/>
      <c r="AG16" s="66">
        <f>IF(AF16="",0,VLOOKUP(AF16,Table!$A$6:$B$16,2,FALSE)*$E16)</f>
        <v>0</v>
      </c>
      <c r="AH16" s="65" t="s">
        <v>42</v>
      </c>
      <c r="AI16" s="66">
        <f>IF(AH16="",0,VLOOKUP(AH16,Table!$A$6:$B$16,2,FALSE)*$E16)</f>
        <v>90561.25</v>
      </c>
      <c r="AJ16" s="65"/>
      <c r="AK16" s="66">
        <f>IF(AJ16="",0,VLOOKUP(AJ16,Table!$A$6:$B$16,2,FALSE)*$E16)</f>
        <v>0</v>
      </c>
    </row>
    <row r="17" spans="1:37" ht="15.75" customHeight="1" x14ac:dyDescent="0.25">
      <c r="A17" s="61" t="s">
        <v>10</v>
      </c>
      <c r="B17" s="61" t="s">
        <v>89</v>
      </c>
      <c r="C17" s="16">
        <f>Table!$B$2-'BUDGET SYLV CRTE ROTATION'!D17</f>
        <v>2010</v>
      </c>
      <c r="D17" s="63">
        <v>11</v>
      </c>
      <c r="E17" s="64">
        <f>'classe d''age ARGEFO'!D24</f>
        <v>1.1646000000000001</v>
      </c>
      <c r="F17" s="65"/>
      <c r="G17" s="66">
        <f>IF(F17="",0,VLOOKUP(F17,Table!$A$6:$B$16,2,FALSE)*E17)</f>
        <v>0</v>
      </c>
      <c r="H17" s="65"/>
      <c r="I17" s="66">
        <f>IF(H17="",0,VLOOKUP(H17,Table!$A$6:$B$16,2,FALSE)*E17)</f>
        <v>0</v>
      </c>
      <c r="J17" s="65" t="s">
        <v>34</v>
      </c>
      <c r="K17" s="66">
        <f>IF(J17="",0,VLOOKUP(J17,Table!$A$6:$B$16,2,FALSE)*E17)</f>
        <v>670.80960000000005</v>
      </c>
      <c r="L17" s="65"/>
      <c r="M17" s="66">
        <f>IF(L17="",0,VLOOKUP(L17,Table!$A$6:$B$16,2,FALSE)*E17)</f>
        <v>0</v>
      </c>
      <c r="N17" s="65"/>
      <c r="O17" s="66">
        <f>IF(N17="",0,VLOOKUP(N17,Table!$A$6:$B$16,2,FALSE)*E17)</f>
        <v>0</v>
      </c>
      <c r="P17" s="65"/>
      <c r="Q17" s="66">
        <f>IF(P17="",0,VLOOKUP(P17,Table!$A$6:$B$16,2,FALSE)*$E17)</f>
        <v>0</v>
      </c>
      <c r="R17" s="65"/>
      <c r="S17" s="66">
        <f>IF(R17="",0,VLOOKUP(R17,Table!$A$6:$B$16,2,FALSE)*$E17)</f>
        <v>0</v>
      </c>
      <c r="T17" s="65" t="s">
        <v>35</v>
      </c>
      <c r="U17" s="66">
        <f>IF(T17="",0,VLOOKUP(T17,Table!$A$6:$B$16,2,FALSE)*$E17)</f>
        <v>978.26400000000012</v>
      </c>
      <c r="V17" s="65"/>
      <c r="W17" s="66">
        <f>IF(V17="",0,VLOOKUP(V17,Table!$A$6:$B$16,2,FALSE)*$E17)</f>
        <v>0</v>
      </c>
      <c r="X17" s="65"/>
      <c r="Y17" s="66">
        <f>IF(X17="",0,VLOOKUP(X17,Table!$A$6:$B$16,2,FALSE)*$E17)</f>
        <v>0</v>
      </c>
      <c r="Z17" s="65"/>
      <c r="AA17" s="66">
        <f>IF(Z17="",0,VLOOKUP(Z17,Table!$A$6:$B$16,2,FALSE)*$E17)</f>
        <v>0</v>
      </c>
      <c r="AB17" s="65"/>
      <c r="AC17" s="66">
        <f>IF(AB17="",0,VLOOKUP(AB17,Table!$A$6:$B$16,2,FALSE)*$E17)</f>
        <v>0</v>
      </c>
      <c r="AD17" s="65"/>
      <c r="AE17" s="66">
        <f>IF(AD17="",0,VLOOKUP(AD17,Table!$A$6:$B$16,2,FALSE)*$E17)</f>
        <v>0</v>
      </c>
      <c r="AF17" s="65"/>
      <c r="AG17" s="66">
        <f>IF(AF17="",0,VLOOKUP(AF17,Table!$A$6:$B$16,2,FALSE)*$E17)</f>
        <v>0</v>
      </c>
      <c r="AH17" s="65" t="s">
        <v>42</v>
      </c>
      <c r="AI17" s="66">
        <f>IF(AH17="",0,VLOOKUP(AH17,Table!$A$6:$B$16,2,FALSE)*$E17)</f>
        <v>7569.9000000000005</v>
      </c>
      <c r="AJ17" s="65"/>
      <c r="AK17" s="66">
        <f>IF(AJ17="",0,VLOOKUP(AJ17,Table!$A$6:$B$16,2,FALSE)*$E17)</f>
        <v>0</v>
      </c>
    </row>
    <row r="18" spans="1:37" x14ac:dyDescent="0.25">
      <c r="A18" s="61" t="s">
        <v>4</v>
      </c>
      <c r="B18" s="61" t="s">
        <v>89</v>
      </c>
      <c r="C18" s="16">
        <f>Table!$B$2-'BUDGET SYLV CRTE ROTATION'!D18</f>
        <v>2009</v>
      </c>
      <c r="D18" s="63">
        <v>12</v>
      </c>
      <c r="E18" s="64">
        <f>'classe d''age ARGEFO'!C25</f>
        <v>27.747900000000001</v>
      </c>
      <c r="F18" s="65"/>
      <c r="G18" s="66">
        <f>IF(F18="",0,VLOOKUP(F18,Table!$A$6:$B$16,2,FALSE)*E18)</f>
        <v>0</v>
      </c>
      <c r="H18" s="65" t="s">
        <v>34</v>
      </c>
      <c r="I18" s="66">
        <f>IF(H18="",0,VLOOKUP(H18,Table!$A$6:$B$16,2,FALSE)*E18)</f>
        <v>15982.790400000002</v>
      </c>
      <c r="J18" s="65"/>
      <c r="K18" s="66">
        <f>IF(J18="",0,VLOOKUP(J18,Table!$A$6:$B$16,2,FALSE)*E18)</f>
        <v>0</v>
      </c>
      <c r="L18" s="65"/>
      <c r="M18" s="66">
        <f>IF(L18="",0,VLOOKUP(L18,Table!$A$6:$B$16,2,FALSE)*E18)</f>
        <v>0</v>
      </c>
      <c r="N18" s="65"/>
      <c r="O18" s="66">
        <f>IF(N18="",0,VLOOKUP(N18,Table!$A$6:$B$16,2,FALSE)*E18)</f>
        <v>0</v>
      </c>
      <c r="P18" s="65"/>
      <c r="Q18" s="66">
        <f>IF(P18="",0,VLOOKUP(P18,Table!$A$6:$B$16,2,FALSE)*$E18)</f>
        <v>0</v>
      </c>
      <c r="R18" s="65" t="s">
        <v>35</v>
      </c>
      <c r="S18" s="66">
        <f>IF(R18="",0,VLOOKUP(R18,Table!$A$6:$B$16,2,FALSE)*$E18)</f>
        <v>23308.236000000001</v>
      </c>
      <c r="T18" s="65"/>
      <c r="U18" s="66">
        <f>IF(T18="",0,VLOOKUP(T18,Table!$A$6:$B$16,2,FALSE)*$E18)</f>
        <v>0</v>
      </c>
      <c r="V18" s="65"/>
      <c r="W18" s="66">
        <f>IF(V18="",0,VLOOKUP(V18,Table!$A$6:$B$16,2,FALSE)*$E18)</f>
        <v>0</v>
      </c>
      <c r="X18" s="65"/>
      <c r="Y18" s="66">
        <f>IF(X18="",0,VLOOKUP(X18,Table!$A$6:$B$16,2,FALSE)*$E18)</f>
        <v>0</v>
      </c>
      <c r="Z18" s="65"/>
      <c r="AA18" s="66">
        <f>IF(Z18="",0,VLOOKUP(Z18,Table!$A$6:$B$16,2,FALSE)*$E18)</f>
        <v>0</v>
      </c>
      <c r="AB18" s="65"/>
      <c r="AC18" s="66">
        <f>IF(AB18="",0,VLOOKUP(AB18,Table!$A$6:$B$16,2,FALSE)*$E18)</f>
        <v>0</v>
      </c>
      <c r="AD18" s="65"/>
      <c r="AE18" s="66">
        <f>IF(AD18="",0,VLOOKUP(AD18,Table!$A$6:$B$16,2,FALSE)*$E18)</f>
        <v>0</v>
      </c>
      <c r="AF18" s="65" t="s">
        <v>42</v>
      </c>
      <c r="AG18" s="66">
        <f>IF(AF18="",0,VLOOKUP(AF18,Table!$A$6:$B$16,2,FALSE)*$E18)</f>
        <v>180361.35</v>
      </c>
      <c r="AH18" s="65"/>
      <c r="AI18" s="66">
        <f>IF(AH18="",0,VLOOKUP(AH18,Table!$A$6:$B$16,2,FALSE)*$E18)</f>
        <v>0</v>
      </c>
      <c r="AJ18" s="65" t="s">
        <v>23</v>
      </c>
      <c r="AK18" s="66">
        <f>IF(AJ18="",0,VLOOKUP(AJ18,Table!$A$6:$B$16,2,FALSE)*$E18)</f>
        <v>-47171.43</v>
      </c>
    </row>
    <row r="19" spans="1:37" x14ac:dyDescent="0.25">
      <c r="A19" s="61" t="s">
        <v>4</v>
      </c>
      <c r="B19" s="61" t="s">
        <v>89</v>
      </c>
      <c r="C19" s="16">
        <f>Table!$B$2-'BUDGET SYLV CRTE ROTATION'!D19</f>
        <v>2008</v>
      </c>
      <c r="D19" s="63">
        <v>13</v>
      </c>
      <c r="E19" s="64">
        <f>'classe d''age ARGEFO'!C26</f>
        <v>0.57279999999999998</v>
      </c>
      <c r="F19" s="65" t="s">
        <v>34</v>
      </c>
      <c r="G19" s="66">
        <f>IF(F19="",0,VLOOKUP(F19,Table!$A$6:$B$16,2,FALSE)*E19)</f>
        <v>329.93279999999999</v>
      </c>
      <c r="H19" s="65"/>
      <c r="I19" s="66">
        <f>IF(H19="",0,VLOOKUP(H19,Table!$A$6:$B$16,2,FALSE)*E19)</f>
        <v>0</v>
      </c>
      <c r="J19" s="65"/>
      <c r="K19" s="66">
        <f>IF(J19="",0,VLOOKUP(J19,Table!$A$6:$B$16,2,FALSE)*E19)</f>
        <v>0</v>
      </c>
      <c r="L19" s="65"/>
      <c r="M19" s="66">
        <f>IF(L19="",0,VLOOKUP(L19,Table!$A$6:$B$16,2,FALSE)*E19)</f>
        <v>0</v>
      </c>
      <c r="N19" s="65"/>
      <c r="O19" s="66">
        <f>IF(N19="",0,VLOOKUP(N19,Table!$A$6:$B$16,2,FALSE)*E19)</f>
        <v>0</v>
      </c>
      <c r="P19" s="65" t="s">
        <v>35</v>
      </c>
      <c r="Q19" s="66">
        <f>IF(P19="",0,VLOOKUP(P19,Table!$A$6:$B$16,2,FALSE)*$E19)</f>
        <v>481.15199999999999</v>
      </c>
      <c r="R19" s="65"/>
      <c r="S19" s="66">
        <f>IF(R19="",0,VLOOKUP(R19,Table!$A$6:$B$16,2,FALSE)*$E19)</f>
        <v>0</v>
      </c>
      <c r="T19" s="65"/>
      <c r="U19" s="66">
        <f>IF(T19="",0,VLOOKUP(T19,Table!$A$6:$B$16,2,FALSE)*$E19)</f>
        <v>0</v>
      </c>
      <c r="V19" s="65"/>
      <c r="W19" s="66">
        <f>IF(V19="",0,VLOOKUP(V19,Table!$A$6:$B$16,2,FALSE)*$E19)</f>
        <v>0</v>
      </c>
      <c r="X19" s="65"/>
      <c r="Y19" s="66">
        <f>IF(X19="",0,VLOOKUP(X19,Table!$A$6:$B$16,2,FALSE)*$E19)</f>
        <v>0</v>
      </c>
      <c r="Z19" s="65"/>
      <c r="AA19" s="66">
        <f>IF(Z19="",0,VLOOKUP(Z19,Table!$A$6:$B$16,2,FALSE)*$E19)</f>
        <v>0</v>
      </c>
      <c r="AB19" s="65"/>
      <c r="AC19" s="66">
        <f>IF(AB19="",0,VLOOKUP(AB19,Table!$A$6:$B$16,2,FALSE)*$E19)</f>
        <v>0</v>
      </c>
      <c r="AD19" s="65" t="s">
        <v>42</v>
      </c>
      <c r="AE19" s="66">
        <f>IF(AD19="",0,VLOOKUP(AD19,Table!$A$6:$B$16,2,FALSE)*$E19)</f>
        <v>3723.2</v>
      </c>
      <c r="AF19" s="65"/>
      <c r="AG19" s="66">
        <f>IF(AF19="",0,VLOOKUP(AF19,Table!$A$6:$B$16,2,FALSE)*$E19)</f>
        <v>0</v>
      </c>
      <c r="AH19" s="65" t="s">
        <v>23</v>
      </c>
      <c r="AI19" s="66">
        <f>IF(AH19="",0,VLOOKUP(AH19,Table!$A$6:$B$16,2,FALSE)*$E19)</f>
        <v>-973.76</v>
      </c>
      <c r="AJ19" s="65" t="s">
        <v>43</v>
      </c>
      <c r="AK19" s="66">
        <f>IF(AJ19="",0,VLOOKUP(AJ19,Table!$A$6:$B$16,2,FALSE)*$E19)</f>
        <v>-42.96</v>
      </c>
    </row>
    <row r="20" spans="1:37" x14ac:dyDescent="0.25">
      <c r="A20" s="61" t="s">
        <v>10</v>
      </c>
      <c r="B20" s="61" t="s">
        <v>89</v>
      </c>
      <c r="C20" s="16">
        <f>Table!$B$2-'BUDGET SYLV CRTE ROTATION'!D20</f>
        <v>2008</v>
      </c>
      <c r="D20" s="63">
        <v>13</v>
      </c>
      <c r="E20" s="64">
        <f>'classe d''age ARGEFO'!D26</f>
        <v>7.2958999999999996</v>
      </c>
      <c r="F20" s="65" t="s">
        <v>34</v>
      </c>
      <c r="G20" s="66">
        <f>IF(F20="",0,VLOOKUP(F20,Table!$A$6:$B$16,2,FALSE)*E20)</f>
        <v>4202.4384</v>
      </c>
      <c r="H20" s="65"/>
      <c r="I20" s="66">
        <f>IF(H20="",0,VLOOKUP(H20,Table!$A$6:$B$16,2,FALSE)*E20)</f>
        <v>0</v>
      </c>
      <c r="J20" s="65"/>
      <c r="K20" s="66">
        <f>IF(J20="",0,VLOOKUP(J20,Table!$A$6:$B$16,2,FALSE)*E20)</f>
        <v>0</v>
      </c>
      <c r="L20" s="65"/>
      <c r="M20" s="66">
        <f>IF(L20="",0,VLOOKUP(L20,Table!$A$6:$B$16,2,FALSE)*E20)</f>
        <v>0</v>
      </c>
      <c r="N20" s="65"/>
      <c r="O20" s="66">
        <f>IF(N20="",0,VLOOKUP(N20,Table!$A$6:$B$16,2,FALSE)*E20)</f>
        <v>0</v>
      </c>
      <c r="P20" s="65" t="s">
        <v>35</v>
      </c>
      <c r="Q20" s="66">
        <f>IF(P20="",0,VLOOKUP(P20,Table!$A$6:$B$16,2,FALSE)*$E20)</f>
        <v>6128.5559999999996</v>
      </c>
      <c r="R20" s="65"/>
      <c r="S20" s="66">
        <f>IF(R20="",0,VLOOKUP(R20,Table!$A$6:$B$16,2,FALSE)*$E20)</f>
        <v>0</v>
      </c>
      <c r="T20" s="65"/>
      <c r="U20" s="66">
        <f>IF(T20="",0,VLOOKUP(T20,Table!$A$6:$B$16,2,FALSE)*$E20)</f>
        <v>0</v>
      </c>
      <c r="V20" s="65"/>
      <c r="W20" s="66">
        <f>IF(V20="",0,VLOOKUP(V20,Table!$A$6:$B$16,2,FALSE)*$E20)</f>
        <v>0</v>
      </c>
      <c r="X20" s="65"/>
      <c r="Y20" s="66">
        <f>IF(X20="",0,VLOOKUP(X20,Table!$A$6:$B$16,2,FALSE)*$E20)</f>
        <v>0</v>
      </c>
      <c r="Z20" s="65"/>
      <c r="AA20" s="66">
        <f>IF(Z20="",0,VLOOKUP(Z20,Table!$A$6:$B$16,2,FALSE)*$E20)</f>
        <v>0</v>
      </c>
      <c r="AB20" s="65"/>
      <c r="AC20" s="66">
        <f>IF(AB20="",0,VLOOKUP(AB20,Table!$A$6:$B$16,2,FALSE)*$E20)</f>
        <v>0</v>
      </c>
      <c r="AD20" s="65" t="s">
        <v>42</v>
      </c>
      <c r="AE20" s="66">
        <f>IF(AD20="",0,VLOOKUP(AD20,Table!$A$6:$B$16,2,FALSE)*$E20)</f>
        <v>47423.35</v>
      </c>
      <c r="AF20" s="65"/>
      <c r="AG20" s="66">
        <f>IF(AF20="",0,VLOOKUP(AF20,Table!$A$6:$B$16,2,FALSE)*$E20)</f>
        <v>0</v>
      </c>
      <c r="AH20" s="65" t="s">
        <v>23</v>
      </c>
      <c r="AI20" s="66">
        <f>IF(AH20="",0,VLOOKUP(AH20,Table!$A$6:$B$16,2,FALSE)*$E20)</f>
        <v>-12403.029999999999</v>
      </c>
      <c r="AJ20" s="65" t="s">
        <v>43</v>
      </c>
      <c r="AK20" s="66">
        <f>IF(AJ20="",0,VLOOKUP(AJ20,Table!$A$6:$B$16,2,FALSE)*$E20)</f>
        <v>-547.1925</v>
      </c>
    </row>
    <row r="21" spans="1:37" x14ac:dyDescent="0.25">
      <c r="A21" s="61" t="s">
        <v>10</v>
      </c>
      <c r="B21" s="61" t="s">
        <v>89</v>
      </c>
      <c r="C21" s="16">
        <f>Table!$B$2-'BUDGET SYLV CRTE ROTATION'!D21</f>
        <v>2006</v>
      </c>
      <c r="D21" s="63">
        <v>15</v>
      </c>
      <c r="E21" s="64">
        <f>'classe d''age ARGEFO'!D28</f>
        <v>32.357100000000003</v>
      </c>
      <c r="F21" s="65"/>
      <c r="G21" s="66">
        <f>IF(F21="",0,VLOOKUP(F21,Table!$A$6:$B$16,2,FALSE)*E21)</f>
        <v>0</v>
      </c>
      <c r="H21" s="65"/>
      <c r="I21" s="66">
        <f>IF(H21="",0,VLOOKUP(H21,Table!$A$6:$B$16,2,FALSE)*E21)</f>
        <v>0</v>
      </c>
      <c r="J21" s="65"/>
      <c r="K21" s="66">
        <f>IF(J21="",0,VLOOKUP(J21,Table!$A$6:$B$16,2,FALSE)*E21)</f>
        <v>0</v>
      </c>
      <c r="L21" s="65" t="s">
        <v>35</v>
      </c>
      <c r="M21" s="66">
        <f>IF(L21="",0,VLOOKUP(L21,Table!$A$6:$B$16,2,FALSE)*E21)</f>
        <v>27179.964000000004</v>
      </c>
      <c r="N21" s="65"/>
      <c r="O21" s="66">
        <f>IF(N21="",0,VLOOKUP(N21,Table!$A$6:$B$16,2,FALSE)*E21)</f>
        <v>0</v>
      </c>
      <c r="P21" s="65"/>
      <c r="Q21" s="66">
        <f>IF(P21="",0,VLOOKUP(P21,Table!$A$6:$B$16,2,FALSE)*$E21)</f>
        <v>0</v>
      </c>
      <c r="R21" s="65"/>
      <c r="S21" s="66">
        <f>IF(R21="",0,VLOOKUP(R21,Table!$A$6:$B$16,2,FALSE)*$E21)</f>
        <v>0</v>
      </c>
      <c r="T21" s="65"/>
      <c r="U21" s="66">
        <f>IF(T21="",0,VLOOKUP(T21,Table!$A$6:$B$16,2,FALSE)*$E21)</f>
        <v>0</v>
      </c>
      <c r="V21" s="65"/>
      <c r="W21" s="66">
        <f>IF(V21="",0,VLOOKUP(V21,Table!$A$6:$B$16,2,FALSE)*$E21)</f>
        <v>0</v>
      </c>
      <c r="X21" s="65"/>
      <c r="Y21" s="66">
        <f>IF(X21="",0,VLOOKUP(X21,Table!$A$6:$B$16,2,FALSE)*$E21)</f>
        <v>0</v>
      </c>
      <c r="Z21" s="65" t="s">
        <v>42</v>
      </c>
      <c r="AA21" s="66">
        <f>IF(Z21="",0,VLOOKUP(Z21,Table!$A$6:$B$16,2,FALSE)*$E21)</f>
        <v>210321.15000000002</v>
      </c>
      <c r="AB21" s="65"/>
      <c r="AC21" s="66">
        <f>IF(AB21="",0,VLOOKUP(AB21,Table!$A$6:$B$16,2,FALSE)*$E21)</f>
        <v>0</v>
      </c>
      <c r="AD21" s="65" t="s">
        <v>23</v>
      </c>
      <c r="AE21" s="66">
        <f>IF(AD21="",0,VLOOKUP(AD21,Table!$A$6:$B$16,2,FALSE)*$E21)</f>
        <v>-55007.070000000007</v>
      </c>
      <c r="AF21" s="65" t="s">
        <v>43</v>
      </c>
      <c r="AG21" s="66">
        <f>IF(AF21="",0,VLOOKUP(AF21,Table!$A$6:$B$16,2,FALSE)*$E21)</f>
        <v>-2426.7825000000003</v>
      </c>
      <c r="AH21" s="65" t="s">
        <v>24</v>
      </c>
      <c r="AI21" s="66">
        <f>IF(AH21="",0,VLOOKUP(AH21,Table!$A$6:$B$16,2,FALSE)*$E21)</f>
        <v>-2912.1390000000001</v>
      </c>
      <c r="AJ21" s="65"/>
      <c r="AK21" s="66">
        <f>IF(AJ21="",0,VLOOKUP(AJ21,Table!$A$6:$B$16,2,FALSE)*$E21)</f>
        <v>0</v>
      </c>
    </row>
    <row r="22" spans="1:37" x14ac:dyDescent="0.25">
      <c r="A22" s="61" t="s">
        <v>4</v>
      </c>
      <c r="B22" s="61" t="s">
        <v>89</v>
      </c>
      <c r="C22" s="16">
        <f>Table!$B$2-'BUDGET SYLV CRTE ROTATION'!D22</f>
        <v>2005</v>
      </c>
      <c r="D22" s="63">
        <v>16</v>
      </c>
      <c r="E22" s="64">
        <f>'classe d''age ARGEFO'!C29</f>
        <v>80.749700000000004</v>
      </c>
      <c r="F22" s="65"/>
      <c r="G22" s="66">
        <f>IF(F22="",0,VLOOKUP(F22,Table!$A$6:$B$16,2,FALSE)*E22)</f>
        <v>0</v>
      </c>
      <c r="H22" s="65"/>
      <c r="I22" s="66">
        <f>IF(H22="",0,VLOOKUP(H22,Table!$A$6:$B$16,2,FALSE)*E22)</f>
        <v>0</v>
      </c>
      <c r="J22" s="65" t="s">
        <v>35</v>
      </c>
      <c r="K22" s="66">
        <f>IF(J22="",0,VLOOKUP(J22,Table!$A$6:$B$16,2,FALSE)*E22)</f>
        <v>67829.748000000007</v>
      </c>
      <c r="L22" s="65"/>
      <c r="M22" s="66">
        <f>IF(L22="",0,VLOOKUP(L22,Table!$A$6:$B$16,2,FALSE)*E22)</f>
        <v>0</v>
      </c>
      <c r="N22" s="65"/>
      <c r="O22" s="66">
        <f>IF(N22="",0,VLOOKUP(N22,Table!$A$6:$B$16,2,FALSE)*E22)</f>
        <v>0</v>
      </c>
      <c r="P22" s="65"/>
      <c r="Q22" s="66">
        <f>IF(P22="",0,VLOOKUP(P22,Table!$A$6:$B$16,2,FALSE)*$E22)</f>
        <v>0</v>
      </c>
      <c r="R22" s="65"/>
      <c r="S22" s="66">
        <f>IF(R22="",0,VLOOKUP(R22,Table!$A$6:$B$16,2,FALSE)*$E22)</f>
        <v>0</v>
      </c>
      <c r="T22" s="65"/>
      <c r="U22" s="66">
        <f>IF(T22="",0,VLOOKUP(T22,Table!$A$6:$B$16,2,FALSE)*$E22)</f>
        <v>0</v>
      </c>
      <c r="V22" s="65"/>
      <c r="W22" s="66">
        <f>IF(V22="",0,VLOOKUP(V22,Table!$A$6:$B$16,2,FALSE)*$E22)</f>
        <v>0</v>
      </c>
      <c r="X22" s="65" t="s">
        <v>42</v>
      </c>
      <c r="Y22" s="66">
        <f>IF(X22="",0,VLOOKUP(X22,Table!$A$6:$B$16,2,FALSE)*$E22)</f>
        <v>524873.05000000005</v>
      </c>
      <c r="Z22" s="65"/>
      <c r="AA22" s="66">
        <f>IF(Z22="",0,VLOOKUP(Z22,Table!$A$6:$B$16,2,FALSE)*$E22)</f>
        <v>0</v>
      </c>
      <c r="AB22" s="65" t="s">
        <v>23</v>
      </c>
      <c r="AC22" s="66">
        <f>IF(AB22="",0,VLOOKUP(AB22,Table!$A$6:$B$16,2,FALSE)*$E22)</f>
        <v>-137274.49000000002</v>
      </c>
      <c r="AD22" s="65" t="s">
        <v>43</v>
      </c>
      <c r="AE22" s="66">
        <f>IF(AD22="",0,VLOOKUP(AD22,Table!$A$6:$B$16,2,FALSE)*$E22)</f>
        <v>-6056.2275</v>
      </c>
      <c r="AF22" s="65" t="s">
        <v>24</v>
      </c>
      <c r="AG22" s="66">
        <f>IF(AF22="",0,VLOOKUP(AF22,Table!$A$6:$B$16,2,FALSE)*$E22)</f>
        <v>-7267.473</v>
      </c>
      <c r="AH22" s="65"/>
      <c r="AI22" s="66">
        <f>IF(AH22="",0,VLOOKUP(AH22,Table!$A$6:$B$16,2,FALSE)*$E22)</f>
        <v>0</v>
      </c>
      <c r="AJ22" s="65" t="s">
        <v>25</v>
      </c>
      <c r="AK22" s="66">
        <f>IF(AJ22="",0,VLOOKUP(AJ22,Table!$A$6:$B$16,2,FALSE)*$E22)</f>
        <v>-7267.473</v>
      </c>
    </row>
    <row r="23" spans="1:37" x14ac:dyDescent="0.25">
      <c r="A23" s="61" t="s">
        <v>10</v>
      </c>
      <c r="B23" s="61" t="s">
        <v>89</v>
      </c>
      <c r="C23" s="16">
        <f>Table!$B$2-'BUDGET SYLV CRTE ROTATION'!D23</f>
        <v>2004</v>
      </c>
      <c r="D23" s="63">
        <v>17</v>
      </c>
      <c r="E23" s="64">
        <f>'classe d''age ARGEFO'!D30</f>
        <v>18.899100000000001</v>
      </c>
      <c r="F23" s="65"/>
      <c r="G23" s="66">
        <f>IF(F23="",0,VLOOKUP(F23,Table!$A$6:$B$16,2,FALSE)*E23)</f>
        <v>0</v>
      </c>
      <c r="H23" s="65" t="s">
        <v>35</v>
      </c>
      <c r="I23" s="66">
        <f>IF(H23="",0,VLOOKUP(H23,Table!$A$6:$B$16,2,FALSE)*E23)</f>
        <v>15875.244000000001</v>
      </c>
      <c r="J23" s="65"/>
      <c r="K23" s="66">
        <f>IF(J23="",0,VLOOKUP(J23,Table!$A$6:$B$16,2,FALSE)*E23)</f>
        <v>0</v>
      </c>
      <c r="L23" s="65"/>
      <c r="M23" s="66">
        <f>IF(L23="",0,VLOOKUP(L23,Table!$A$6:$B$16,2,FALSE)*E23)</f>
        <v>0</v>
      </c>
      <c r="N23" s="65"/>
      <c r="O23" s="66">
        <f>IF(N23="",0,VLOOKUP(N23,Table!$A$6:$B$16,2,FALSE)*E23)</f>
        <v>0</v>
      </c>
      <c r="P23" s="65"/>
      <c r="Q23" s="66">
        <f>IF(P23="",0,VLOOKUP(P23,Table!$A$6:$B$16,2,FALSE)*$E23)</f>
        <v>0</v>
      </c>
      <c r="R23" s="65"/>
      <c r="S23" s="66">
        <f>IF(R23="",0,VLOOKUP(R23,Table!$A$6:$B$16,2,FALSE)*$E23)</f>
        <v>0</v>
      </c>
      <c r="T23" s="65"/>
      <c r="U23" s="66">
        <f>IF(T23="",0,VLOOKUP(T23,Table!$A$6:$B$16,2,FALSE)*$E23)</f>
        <v>0</v>
      </c>
      <c r="V23" s="65" t="s">
        <v>42</v>
      </c>
      <c r="W23" s="66">
        <f>IF(V23="",0,VLOOKUP(V23,Table!$A$6:$B$16,2,FALSE)*$E23)</f>
        <v>122844.15000000001</v>
      </c>
      <c r="X23" s="65"/>
      <c r="Y23" s="66">
        <f>IF(X23="",0,VLOOKUP(X23,Table!$A$6:$B$16,2,FALSE)*$E23)</f>
        <v>0</v>
      </c>
      <c r="Z23" s="65" t="s">
        <v>23</v>
      </c>
      <c r="AA23" s="66">
        <f>IF(Z23="",0,VLOOKUP(Z23,Table!$A$6:$B$16,2,FALSE)*$E23)</f>
        <v>-32128.47</v>
      </c>
      <c r="AB23" s="65" t="s">
        <v>43</v>
      </c>
      <c r="AC23" s="66">
        <f>IF(AB23="",0,VLOOKUP(AB23,Table!$A$6:$B$16,2,FALSE)*$E23)</f>
        <v>-1417.4325000000001</v>
      </c>
      <c r="AD23" s="65" t="s">
        <v>24</v>
      </c>
      <c r="AE23" s="66">
        <f>IF(AD23="",0,VLOOKUP(AD23,Table!$A$6:$B$16,2,FALSE)*$E23)</f>
        <v>-1700.9190000000001</v>
      </c>
      <c r="AF23" s="65"/>
      <c r="AG23" s="66">
        <f>IF(AF23="",0,VLOOKUP(AF23,Table!$A$6:$B$16,2,FALSE)*$E23)</f>
        <v>0</v>
      </c>
      <c r="AH23" s="65" t="s">
        <v>25</v>
      </c>
      <c r="AI23" s="66">
        <f>IF(AH23="",0,VLOOKUP(AH23,Table!$A$6:$B$16,2,FALSE)*$E23)</f>
        <v>-1700.9190000000001</v>
      </c>
      <c r="AJ23" s="65"/>
      <c r="AK23" s="66">
        <f>IF(AJ23="",0,VLOOKUP(AJ23,Table!$A$6:$B$16,2,FALSE)*$E23)</f>
        <v>0</v>
      </c>
    </row>
    <row r="24" spans="1:37" x14ac:dyDescent="0.25">
      <c r="A24" s="61" t="s">
        <v>4</v>
      </c>
      <c r="B24" s="61" t="s">
        <v>89</v>
      </c>
      <c r="C24" s="16">
        <f>Table!$B$2-'BUDGET SYLV CRTE ROTATION'!D24</f>
        <v>2003</v>
      </c>
      <c r="D24" s="63">
        <v>18</v>
      </c>
      <c r="E24" s="64">
        <f>'classe d''age ARGEFO'!C31</f>
        <v>27.896100000000001</v>
      </c>
      <c r="F24" s="65" t="s">
        <v>35</v>
      </c>
      <c r="G24" s="66">
        <f>IF(F24="",0,VLOOKUP(F24,Table!$A$6:$B$16,2,FALSE)*E24)</f>
        <v>23432.724000000002</v>
      </c>
      <c r="H24" s="65"/>
      <c r="I24" s="66">
        <f>IF(H24="",0,VLOOKUP(H24,Table!$A$6:$B$16,2,FALSE)*E24)</f>
        <v>0</v>
      </c>
      <c r="J24" s="65"/>
      <c r="K24" s="66">
        <f>IF(J24="",0,VLOOKUP(J24,Table!$A$6:$B$16,2,FALSE)*E24)</f>
        <v>0</v>
      </c>
      <c r="L24" s="65"/>
      <c r="M24" s="66">
        <f>IF(L24="",0,VLOOKUP(L24,Table!$A$6:$B$16,2,FALSE)*E24)</f>
        <v>0</v>
      </c>
      <c r="N24" s="65"/>
      <c r="O24" s="66">
        <f>IF(N24="",0,VLOOKUP(N24,Table!$A$6:$B$16,2,FALSE)*E24)</f>
        <v>0</v>
      </c>
      <c r="P24" s="65"/>
      <c r="Q24" s="66">
        <f>IF(P24="",0,VLOOKUP(P24,Table!$A$6:$B$16,2,FALSE)*$E24)</f>
        <v>0</v>
      </c>
      <c r="R24" s="65"/>
      <c r="S24" s="66">
        <f>IF(R24="",0,VLOOKUP(R24,Table!$A$6:$B$16,2,FALSE)*$E24)</f>
        <v>0</v>
      </c>
      <c r="T24" s="65" t="s">
        <v>42</v>
      </c>
      <c r="U24" s="66">
        <f>IF(T24="",0,VLOOKUP(T24,Table!$A$6:$B$16,2,FALSE)*$E24)</f>
        <v>181324.65</v>
      </c>
      <c r="V24" s="65"/>
      <c r="W24" s="66">
        <f>IF(V24="",0,VLOOKUP(V24,Table!$A$6:$B$16,2,FALSE)*$E24)</f>
        <v>0</v>
      </c>
      <c r="X24" s="65" t="s">
        <v>23</v>
      </c>
      <c r="Y24" s="66">
        <f>IF(X24="",0,VLOOKUP(X24,Table!$A$6:$B$16,2,FALSE)*$E24)</f>
        <v>-47423.37</v>
      </c>
      <c r="Z24" s="65" t="s">
        <v>43</v>
      </c>
      <c r="AA24" s="66">
        <f>IF(Z24="",0,VLOOKUP(Z24,Table!$A$6:$B$16,2,FALSE)*$E24)</f>
        <v>-2092.2075</v>
      </c>
      <c r="AB24" s="65" t="s">
        <v>24</v>
      </c>
      <c r="AC24" s="66">
        <f>IF(AB24="",0,VLOOKUP(AB24,Table!$A$6:$B$16,2,FALSE)*$E24)</f>
        <v>-2510.6489999999999</v>
      </c>
      <c r="AD24" s="65"/>
      <c r="AE24" s="66">
        <f>IF(AD24="",0,VLOOKUP(AD24,Table!$A$6:$B$16,2,FALSE)*$E24)</f>
        <v>0</v>
      </c>
      <c r="AF24" s="65" t="s">
        <v>25</v>
      </c>
      <c r="AG24" s="66">
        <f>IF(AF24="",0,VLOOKUP(AF24,Table!$A$6:$B$16,2,FALSE)*$E24)</f>
        <v>-2510.6489999999999</v>
      </c>
      <c r="AH24" s="65"/>
      <c r="AI24" s="66">
        <f>IF(AH24="",0,VLOOKUP(AH24,Table!$A$6:$B$16,2,FALSE)*$E24)</f>
        <v>0</v>
      </c>
      <c r="AJ24" s="65"/>
      <c r="AK24" s="66">
        <f>IF(AJ24="",0,VLOOKUP(AJ24,Table!$A$6:$B$16,2,FALSE)*$E24)</f>
        <v>0</v>
      </c>
    </row>
    <row r="25" spans="1:37" x14ac:dyDescent="0.25">
      <c r="A25" s="61" t="s">
        <v>4</v>
      </c>
      <c r="B25" s="61" t="s">
        <v>89</v>
      </c>
      <c r="C25" s="16">
        <f>Table!$B$2-'BUDGET SYLV CRTE ROTATION'!D25</f>
        <v>2002</v>
      </c>
      <c r="D25" s="63">
        <v>19</v>
      </c>
      <c r="E25" s="64">
        <f>'classe d''age ARGEFO'!C32</f>
        <v>0.86199999999999999</v>
      </c>
      <c r="F25" s="65"/>
      <c r="G25" s="66">
        <f>IF(F25="",0,VLOOKUP(F25,Table!$A$6:$B$16,2,FALSE)*E25)</f>
        <v>0</v>
      </c>
      <c r="H25" s="65"/>
      <c r="I25" s="66">
        <f>IF(H25="",0,VLOOKUP(H25,Table!$A$6:$B$16,2,FALSE)*E25)</f>
        <v>0</v>
      </c>
      <c r="J25" s="65"/>
      <c r="K25" s="66">
        <f>IF(J25="",0,VLOOKUP(J25,Table!$A$6:$B$16,2,FALSE)*E25)</f>
        <v>0</v>
      </c>
      <c r="L25" s="65"/>
      <c r="M25" s="66">
        <f>IF(L25="",0,VLOOKUP(L25,Table!$A$6:$B$16,2,FALSE)*E25)</f>
        <v>0</v>
      </c>
      <c r="N25" s="65"/>
      <c r="O25" s="66">
        <f>IF(N25="",0,VLOOKUP(N25,Table!$A$6:$B$16,2,FALSE)*E25)</f>
        <v>0</v>
      </c>
      <c r="P25" s="65"/>
      <c r="Q25" s="66">
        <f>IF(P25="",0,VLOOKUP(P25,Table!$A$6:$B$16,2,FALSE)*$E25)</f>
        <v>0</v>
      </c>
      <c r="R25" s="65" t="s">
        <v>42</v>
      </c>
      <c r="S25" s="66">
        <f>IF(R25="",0,VLOOKUP(R25,Table!$A$6:$B$16,2,FALSE)*$E25)</f>
        <v>5603</v>
      </c>
      <c r="T25" s="65"/>
      <c r="U25" s="66">
        <f>IF(T25="",0,VLOOKUP(T25,Table!$A$6:$B$16,2,FALSE)*$E25)</f>
        <v>0</v>
      </c>
      <c r="V25" s="65" t="s">
        <v>23</v>
      </c>
      <c r="W25" s="66">
        <f>IF(V25="",0,VLOOKUP(V25,Table!$A$6:$B$16,2,FALSE)*$E25)</f>
        <v>-1465.4</v>
      </c>
      <c r="X25" s="65" t="s">
        <v>43</v>
      </c>
      <c r="Y25" s="66">
        <f>IF(X25="",0,VLOOKUP(X25,Table!$A$6:$B$16,2,FALSE)*$E25)</f>
        <v>-64.650000000000006</v>
      </c>
      <c r="Z25" s="65" t="s">
        <v>24</v>
      </c>
      <c r="AA25" s="66">
        <f>IF(Z25="",0,VLOOKUP(Z25,Table!$A$6:$B$16,2,FALSE)*$E25)</f>
        <v>-77.58</v>
      </c>
      <c r="AB25" s="65"/>
      <c r="AC25" s="66">
        <f>IF(AB25="",0,VLOOKUP(AB25,Table!$A$6:$B$16,2,FALSE)*$E25)</f>
        <v>0</v>
      </c>
      <c r="AD25" s="65" t="s">
        <v>25</v>
      </c>
      <c r="AE25" s="66">
        <f>IF(AD25="",0,VLOOKUP(AD25,Table!$A$6:$B$16,2,FALSE)*$E25)</f>
        <v>-77.58</v>
      </c>
      <c r="AF25" s="65"/>
      <c r="AG25" s="66">
        <f>IF(AF25="",0,VLOOKUP(AF25,Table!$A$6:$B$16,2,FALSE)*$E25)</f>
        <v>0</v>
      </c>
      <c r="AH25" s="65"/>
      <c r="AI25" s="66">
        <f>IF(AH25="",0,VLOOKUP(AH25,Table!$A$6:$B$16,2,FALSE)*$E25)</f>
        <v>0</v>
      </c>
      <c r="AJ25" s="65"/>
      <c r="AK25" s="66">
        <f>IF(AJ25="",0,VLOOKUP(AJ25,Table!$A$6:$B$16,2,FALSE)*$E25)</f>
        <v>0</v>
      </c>
    </row>
    <row r="26" spans="1:37" x14ac:dyDescent="0.25">
      <c r="A26" s="61" t="s">
        <v>4</v>
      </c>
      <c r="B26" s="61" t="s">
        <v>89</v>
      </c>
      <c r="C26" s="16">
        <f>Table!$B$2-'BUDGET SYLV CRTE ROTATION'!D26</f>
        <v>2000</v>
      </c>
      <c r="D26" s="63">
        <v>21</v>
      </c>
      <c r="E26" s="64">
        <f>'classe d''age ARGEFO'!C34</f>
        <v>16.333100000000002</v>
      </c>
      <c r="F26" s="65"/>
      <c r="G26" s="66">
        <f>IF(F26="",0,VLOOKUP(F26,Table!$A$6:$B$16,2,FALSE)*E26)</f>
        <v>0</v>
      </c>
      <c r="H26" s="65"/>
      <c r="I26" s="66">
        <f>IF(H26="",0,VLOOKUP(H26,Table!$A$6:$B$16,2,FALSE)*E26)</f>
        <v>0</v>
      </c>
      <c r="J26" s="65"/>
      <c r="K26" s="66">
        <f>IF(J26="",0,VLOOKUP(J26,Table!$A$6:$B$16,2,FALSE)*E26)</f>
        <v>0</v>
      </c>
      <c r="L26" s="65"/>
      <c r="M26" s="66">
        <f>IF(L26="",0,VLOOKUP(L26,Table!$A$6:$B$16,2,FALSE)*E26)</f>
        <v>0</v>
      </c>
      <c r="N26" s="65" t="s">
        <v>42</v>
      </c>
      <c r="O26" s="66">
        <f>IF(N26="",0,VLOOKUP(N26,Table!$A$6:$B$16,2,FALSE)*E26)</f>
        <v>106165.15000000001</v>
      </c>
      <c r="P26" s="65"/>
      <c r="Q26" s="66">
        <f>IF(P26="",0,VLOOKUP(P26,Table!$A$6:$B$16,2,FALSE)*$E26)</f>
        <v>0</v>
      </c>
      <c r="R26" s="65" t="s">
        <v>23</v>
      </c>
      <c r="S26" s="66">
        <f>IF(R26="",0,VLOOKUP(R26,Table!$A$6:$B$16,2,FALSE)*$E26)</f>
        <v>-27766.270000000004</v>
      </c>
      <c r="T26" s="65" t="s">
        <v>43</v>
      </c>
      <c r="U26" s="66">
        <f>IF(T26="",0,VLOOKUP(T26,Table!$A$6:$B$16,2,FALSE)*$E26)</f>
        <v>-1224.9825000000001</v>
      </c>
      <c r="V26" s="65" t="s">
        <v>24</v>
      </c>
      <c r="W26" s="66">
        <f>IF(V26="",0,VLOOKUP(V26,Table!$A$6:$B$16,2,FALSE)*$E26)</f>
        <v>-1469.9790000000003</v>
      </c>
      <c r="X26" s="65"/>
      <c r="Y26" s="66">
        <f>IF(X26="",0,VLOOKUP(X26,Table!$A$6:$B$16,2,FALSE)*$E26)</f>
        <v>0</v>
      </c>
      <c r="Z26" s="65" t="s">
        <v>25</v>
      </c>
      <c r="AA26" s="66">
        <f>IF(Z26="",0,VLOOKUP(Z26,Table!$A$6:$B$16,2,FALSE)*$E26)</f>
        <v>-1469.9790000000003</v>
      </c>
      <c r="AB26" s="65"/>
      <c r="AC26" s="66">
        <f>IF(AB26="",0,VLOOKUP(AB26,Table!$A$6:$B$16,2,FALSE)*$E26)</f>
        <v>0</v>
      </c>
      <c r="AD26" s="65"/>
      <c r="AE26" s="66">
        <f>IF(AD26="",0,VLOOKUP(AD26,Table!$A$6:$B$16,2,FALSE)*$E26)</f>
        <v>0</v>
      </c>
      <c r="AF26" s="65"/>
      <c r="AG26" s="66">
        <f>IF(AF26="",0,VLOOKUP(AF26,Table!$A$6:$B$16,2,FALSE)*$E26)</f>
        <v>0</v>
      </c>
      <c r="AH26" s="65"/>
      <c r="AI26" s="66">
        <f>IF(AH26="",0,VLOOKUP(AH26,Table!$A$6:$B$16,2,FALSE)*$E26)</f>
        <v>0</v>
      </c>
      <c r="AJ26" s="65"/>
      <c r="AK26" s="66">
        <f>IF(AJ26="",0,VLOOKUP(AJ26,Table!$A$6:$B$16,2,FALSE)*$E26)</f>
        <v>0</v>
      </c>
    </row>
    <row r="27" spans="1:37" x14ac:dyDescent="0.25">
      <c r="A27" s="61" t="s">
        <v>4</v>
      </c>
      <c r="B27" s="61" t="s">
        <v>89</v>
      </c>
      <c r="C27" s="16">
        <f>Table!$B$2-'BUDGET SYLV CRTE ROTATION'!D27</f>
        <v>1999</v>
      </c>
      <c r="D27" s="63">
        <v>22</v>
      </c>
      <c r="E27" s="64">
        <f>'classe d''age ARGEFO'!C35</f>
        <v>12.0358</v>
      </c>
      <c r="F27" s="65"/>
      <c r="G27" s="66">
        <f>IF(F27="",0,VLOOKUP(F27,Table!$A$6:$B$16,2,FALSE)*E27)</f>
        <v>0</v>
      </c>
      <c r="H27" s="65"/>
      <c r="I27" s="66">
        <f>IF(H27="",0,VLOOKUP(H27,Table!$A$6:$B$16,2,FALSE)*E27)</f>
        <v>0</v>
      </c>
      <c r="J27" s="65"/>
      <c r="K27" s="66">
        <f>IF(J27="",0,VLOOKUP(J27,Table!$A$6:$B$16,2,FALSE)*E27)</f>
        <v>0</v>
      </c>
      <c r="L27" s="65" t="s">
        <v>42</v>
      </c>
      <c r="M27" s="66">
        <f>IF(L27="",0,VLOOKUP(L27,Table!$A$6:$B$16,2,FALSE)*E27)</f>
        <v>78232.7</v>
      </c>
      <c r="N27" s="65"/>
      <c r="O27" s="66">
        <f>IF(N27="",0,VLOOKUP(N27,Table!$A$6:$B$16,2,FALSE)*E27)</f>
        <v>0</v>
      </c>
      <c r="P27" s="65" t="s">
        <v>23</v>
      </c>
      <c r="Q27" s="66">
        <f>IF(P27="",0,VLOOKUP(P27,Table!$A$6:$B$16,2,FALSE)*$E27)</f>
        <v>-20460.86</v>
      </c>
      <c r="R27" s="65" t="s">
        <v>43</v>
      </c>
      <c r="S27" s="66">
        <f>IF(R27="",0,VLOOKUP(R27,Table!$A$6:$B$16,2,FALSE)*$E27)</f>
        <v>-902.68500000000006</v>
      </c>
      <c r="T27" s="65" t="s">
        <v>24</v>
      </c>
      <c r="U27" s="66">
        <f>IF(T27="",0,VLOOKUP(T27,Table!$A$6:$B$16,2,FALSE)*$E27)</f>
        <v>-1083.222</v>
      </c>
      <c r="V27" s="65"/>
      <c r="W27" s="66">
        <f>IF(V27="",0,VLOOKUP(V27,Table!$A$6:$B$16,2,FALSE)*$E27)</f>
        <v>0</v>
      </c>
      <c r="X27" s="65" t="s">
        <v>25</v>
      </c>
      <c r="Y27" s="66">
        <f>IF(X27="",0,VLOOKUP(X27,Table!$A$6:$B$16,2,FALSE)*$E27)</f>
        <v>-1083.222</v>
      </c>
      <c r="Z27" s="65"/>
      <c r="AA27" s="66">
        <f>IF(Z27="",0,VLOOKUP(Z27,Table!$A$6:$B$16,2,FALSE)*$E27)</f>
        <v>0</v>
      </c>
      <c r="AB27" s="65"/>
      <c r="AC27" s="66">
        <f>IF(AB27="",0,VLOOKUP(AB27,Table!$A$6:$B$16,2,FALSE)*$E27)</f>
        <v>0</v>
      </c>
      <c r="AD27" s="65"/>
      <c r="AE27" s="66">
        <f>IF(AD27="",0,VLOOKUP(AD27,Table!$A$6:$B$16,2,FALSE)*$E27)</f>
        <v>0</v>
      </c>
      <c r="AF27" s="65"/>
      <c r="AG27" s="66">
        <f>IF(AF27="",0,VLOOKUP(AF27,Table!$A$6:$B$16,2,FALSE)*$E27)</f>
        <v>0</v>
      </c>
      <c r="AH27" s="65"/>
      <c r="AI27" s="66">
        <f>IF(AH27="",0,VLOOKUP(AH27,Table!$A$6:$B$16,2,FALSE)*$E27)</f>
        <v>0</v>
      </c>
      <c r="AJ27" s="65"/>
      <c r="AK27" s="66">
        <f>IF(AJ27="",0,VLOOKUP(AJ27,Table!$A$6:$B$16,2,FALSE)*$E27)</f>
        <v>0</v>
      </c>
    </row>
    <row r="28" spans="1:37" x14ac:dyDescent="0.25">
      <c r="A28" s="5" t="s">
        <v>4</v>
      </c>
      <c r="B28" s="5" t="s">
        <v>89</v>
      </c>
      <c r="C28" s="7">
        <f>Table!$B$2-'BUDGET SYLV CRTE ROTATION'!D28</f>
        <v>1998</v>
      </c>
      <c r="D28" s="6">
        <v>23</v>
      </c>
      <c r="E28" s="25">
        <f>'classe d''age ARGEFO'!C36</f>
        <v>52.951000000000001</v>
      </c>
      <c r="F28" s="4" t="s">
        <v>36</v>
      </c>
      <c r="G28" s="15">
        <f>IF(F28="",0,VLOOKUP(F28,Table!$A$6:$B$16,2,FALSE)*E28)</f>
        <v>74555.008000000002</v>
      </c>
      <c r="H28" s="4"/>
      <c r="I28" s="15">
        <f>IF(H28="",0,VLOOKUP(H28,Table!$A$6:$B$16,2,FALSE)*E28)</f>
        <v>0</v>
      </c>
      <c r="J28" s="4"/>
      <c r="K28" s="15">
        <f>IF(J28="",0,VLOOKUP(J28,Table!$A$6:$B$16,2,FALSE)*E28)</f>
        <v>0</v>
      </c>
      <c r="L28" s="4"/>
      <c r="M28" s="15">
        <f>IF(L28="",0,VLOOKUP(L28,Table!$A$6:$B$16,2,FALSE)*E28)</f>
        <v>0</v>
      </c>
      <c r="N28" s="4"/>
      <c r="O28" s="15">
        <f>IF(N28="",0,VLOOKUP(N28,Table!$A$6:$B$16,2,FALSE)*E28)</f>
        <v>0</v>
      </c>
      <c r="P28" s="4" t="s">
        <v>37</v>
      </c>
      <c r="Q28" s="15">
        <f>IF(P28="",0,VLOOKUP(P28,Table!$A$6:$B$16,2,FALSE)*$E28)</f>
        <v>67777.279999999999</v>
      </c>
      <c r="R28" s="4"/>
      <c r="S28" s="15">
        <f>IF(R28="",0,VLOOKUP(R28,Table!$A$6:$B$16,2,FALSE)*$E28)</f>
        <v>0</v>
      </c>
      <c r="T28" s="4"/>
      <c r="U28" s="15">
        <f>IF(T28="",0,VLOOKUP(T28,Table!$A$6:$B$16,2,FALSE)*$E28)</f>
        <v>0</v>
      </c>
      <c r="V28" s="4"/>
      <c r="W28" s="15">
        <f>IF(V28="",0,VLOOKUP(V28,Table!$A$6:$B$16,2,FALSE)*$E28)</f>
        <v>0</v>
      </c>
      <c r="X28" s="4"/>
      <c r="Y28" s="15">
        <f>IF(X28="",0,VLOOKUP(X28,Table!$A$6:$B$16,2,FALSE)*$E28)</f>
        <v>0</v>
      </c>
      <c r="Z28" s="4"/>
      <c r="AA28" s="15">
        <f>IF(Z28="",0,VLOOKUP(Z28,Table!$A$6:$B$16,2,FALSE)*$E28)</f>
        <v>0</v>
      </c>
      <c r="AB28" s="4"/>
      <c r="AC28" s="15">
        <f>IF(AB28="",0,VLOOKUP(AB28,Table!$A$6:$B$16,2,FALSE)*$E28)</f>
        <v>0</v>
      </c>
      <c r="AD28" s="4" t="s">
        <v>20</v>
      </c>
      <c r="AE28" s="15">
        <f>IF(AD28="",0,VLOOKUP(AD28,Table!$A$6:$B$16,2,FALSE)*$E28)</f>
        <v>465968.8</v>
      </c>
      <c r="AF28" s="4"/>
      <c r="AG28" s="15">
        <f>IF(AF28="",0,VLOOKUP(AF28,Table!$A$6:$B$16,2,FALSE)*$E28)</f>
        <v>0</v>
      </c>
      <c r="AH28" s="4" t="s">
        <v>23</v>
      </c>
      <c r="AI28" s="15">
        <f>IF(AH28="",0,VLOOKUP(AH28,Table!$A$6:$B$16,2,FALSE)*$E28)</f>
        <v>-90016.7</v>
      </c>
      <c r="AJ28" s="4" t="s">
        <v>43</v>
      </c>
      <c r="AK28" s="15">
        <f>IF(AJ28="",0,VLOOKUP(AJ28,Table!$A$6:$B$16,2,FALSE)*$E28)</f>
        <v>-3971.3249999999998</v>
      </c>
    </row>
    <row r="29" spans="1:37" x14ac:dyDescent="0.25">
      <c r="A29" s="5" t="s">
        <v>4</v>
      </c>
      <c r="B29" s="5" t="s">
        <v>89</v>
      </c>
      <c r="C29" s="7">
        <f>Table!$B$2-'BUDGET SYLV CRTE ROTATION'!D29</f>
        <v>1997</v>
      </c>
      <c r="D29" s="6">
        <v>24</v>
      </c>
      <c r="E29" s="25">
        <f>'classe d''age ARGEFO'!C37</f>
        <v>32.406999999999996</v>
      </c>
      <c r="F29" s="4"/>
      <c r="G29" s="15">
        <f>IF(F29="",0,VLOOKUP(F29,Table!$A$6:$B$16,2,FALSE)*E29)</f>
        <v>0</v>
      </c>
      <c r="H29" s="4"/>
      <c r="I29" s="15">
        <f>IF(H29="",0,VLOOKUP(H29,Table!$A$6:$B$16,2,FALSE)*E29)</f>
        <v>0</v>
      </c>
      <c r="J29" s="4"/>
      <c r="K29" s="15">
        <f>IF(J29="",0,VLOOKUP(J29,Table!$A$6:$B$16,2,FALSE)*E29)</f>
        <v>0</v>
      </c>
      <c r="L29" s="4"/>
      <c r="M29" s="15">
        <f>IF(L29="",0,VLOOKUP(L29,Table!$A$6:$B$16,2,FALSE)*E29)</f>
        <v>0</v>
      </c>
      <c r="N29" s="4" t="s">
        <v>37</v>
      </c>
      <c r="O29" s="15">
        <f>IF(N29="",0,VLOOKUP(N29,Table!$A$6:$B$16,2,FALSE)*E29)</f>
        <v>41480.959999999992</v>
      </c>
      <c r="P29" s="4"/>
      <c r="Q29" s="15">
        <f>IF(P29="",0,VLOOKUP(P29,Table!$A$6:$B$16,2,FALSE)*$E29)</f>
        <v>0</v>
      </c>
      <c r="R29" s="4"/>
      <c r="S29" s="15">
        <f>IF(R29="",0,VLOOKUP(R29,Table!$A$6:$B$16,2,FALSE)*$E29)</f>
        <v>0</v>
      </c>
      <c r="T29" s="4"/>
      <c r="U29" s="15">
        <f>IF(T29="",0,VLOOKUP(T29,Table!$A$6:$B$16,2,FALSE)*$E29)</f>
        <v>0</v>
      </c>
      <c r="V29" s="4"/>
      <c r="W29" s="15">
        <f>IF(V29="",0,VLOOKUP(V29,Table!$A$6:$B$16,2,FALSE)*$E29)</f>
        <v>0</v>
      </c>
      <c r="X29" s="4"/>
      <c r="Y29" s="15">
        <f>IF(X29="",0,VLOOKUP(X29,Table!$A$6:$B$16,2,FALSE)*$E29)</f>
        <v>0</v>
      </c>
      <c r="Z29" s="4"/>
      <c r="AA29" s="15">
        <f>IF(Z29="",0,VLOOKUP(Z29,Table!$A$6:$B$16,2,FALSE)*$E29)</f>
        <v>0</v>
      </c>
      <c r="AB29" s="4" t="s">
        <v>20</v>
      </c>
      <c r="AC29" s="15">
        <f>IF(AB29="",0,VLOOKUP(AB29,Table!$A$6:$B$16,2,FALSE)*$E29)</f>
        <v>285181.59999999998</v>
      </c>
      <c r="AD29" s="4"/>
      <c r="AE29" s="15">
        <f>IF(AD29="",0,VLOOKUP(AD29,Table!$A$6:$B$16,2,FALSE)*$E29)</f>
        <v>0</v>
      </c>
      <c r="AF29" s="4" t="s">
        <v>23</v>
      </c>
      <c r="AG29" s="15">
        <f>IF(AF29="",0,VLOOKUP(AF29,Table!$A$6:$B$16,2,FALSE)*$E29)</f>
        <v>-55091.899999999994</v>
      </c>
      <c r="AH29" s="4" t="s">
        <v>43</v>
      </c>
      <c r="AI29" s="15">
        <f>IF(AH29="",0,VLOOKUP(AH29,Table!$A$6:$B$16,2,FALSE)*$E29)</f>
        <v>-2430.5249999999996</v>
      </c>
      <c r="AJ29" s="4" t="s">
        <v>24</v>
      </c>
      <c r="AK29" s="15">
        <f>IF(AJ29="",0,VLOOKUP(AJ29,Table!$A$6:$B$16,2,FALSE)*$E29)</f>
        <v>-2916.6299999999997</v>
      </c>
    </row>
    <row r="30" spans="1:37" x14ac:dyDescent="0.25">
      <c r="A30" s="5" t="s">
        <v>4</v>
      </c>
      <c r="B30" s="5" t="s">
        <v>89</v>
      </c>
      <c r="C30" s="7">
        <f>Table!$B$2-'BUDGET SYLV CRTE ROTATION'!D30</f>
        <v>1995</v>
      </c>
      <c r="D30" s="6">
        <v>26</v>
      </c>
      <c r="E30" s="25">
        <f>'classe d''age ARGEFO'!C39</f>
        <v>10.647399999999999</v>
      </c>
      <c r="F30" s="4"/>
      <c r="G30" s="15">
        <f>IF(F30="",0,VLOOKUP(F30,Table!$A$6:$B$16,2,FALSE)*E30)</f>
        <v>0</v>
      </c>
      <c r="H30" s="4"/>
      <c r="I30" s="15">
        <f>IF(H30="",0,VLOOKUP(H30,Table!$A$6:$B$16,2,FALSE)*E30)</f>
        <v>0</v>
      </c>
      <c r="J30" s="4" t="s">
        <v>37</v>
      </c>
      <c r="K30" s="15">
        <f>IF(J30="",0,VLOOKUP(J30,Table!$A$6:$B$16,2,FALSE)*E30)</f>
        <v>13628.671999999999</v>
      </c>
      <c r="L30" s="4"/>
      <c r="M30" s="15">
        <f>IF(L30="",0,VLOOKUP(L30,Table!$A$6:$B$16,2,FALSE)*E30)</f>
        <v>0</v>
      </c>
      <c r="N30" s="4"/>
      <c r="O30" s="15">
        <f>IF(N30="",0,VLOOKUP(N30,Table!$A$6:$B$16,2,FALSE)*E30)</f>
        <v>0</v>
      </c>
      <c r="P30" s="4"/>
      <c r="Q30" s="15">
        <f>IF(P30="",0,VLOOKUP(P30,Table!$A$6:$B$16,2,FALSE)*$E30)</f>
        <v>0</v>
      </c>
      <c r="R30" s="4"/>
      <c r="S30" s="15">
        <f>IF(R30="",0,VLOOKUP(R30,Table!$A$6:$B$16,2,FALSE)*$E30)</f>
        <v>0</v>
      </c>
      <c r="T30" s="4"/>
      <c r="U30" s="15">
        <f>IF(T30="",0,VLOOKUP(T30,Table!$A$6:$B$16,2,FALSE)*$E30)</f>
        <v>0</v>
      </c>
      <c r="V30" s="4"/>
      <c r="W30" s="15">
        <f>IF(V30="",0,VLOOKUP(V30,Table!$A$6:$B$16,2,FALSE)*$E30)</f>
        <v>0</v>
      </c>
      <c r="X30" s="4" t="s">
        <v>20</v>
      </c>
      <c r="Y30" s="15">
        <f>IF(X30="",0,VLOOKUP(X30,Table!$A$6:$B$16,2,FALSE)*$E30)</f>
        <v>93697.12</v>
      </c>
      <c r="Z30" s="4"/>
      <c r="AA30" s="15">
        <f>IF(Z30="",0,VLOOKUP(Z30,Table!$A$6:$B$16,2,FALSE)*$E30)</f>
        <v>0</v>
      </c>
      <c r="AB30" s="4" t="s">
        <v>23</v>
      </c>
      <c r="AC30" s="15">
        <f>IF(AB30="",0,VLOOKUP(AB30,Table!$A$6:$B$16,2,FALSE)*$E30)</f>
        <v>-18100.579999999998</v>
      </c>
      <c r="AD30" s="4" t="s">
        <v>43</v>
      </c>
      <c r="AE30" s="15">
        <f>IF(AD30="",0,VLOOKUP(AD30,Table!$A$6:$B$16,2,FALSE)*$E30)</f>
        <v>-798.55499999999995</v>
      </c>
      <c r="AF30" s="4" t="s">
        <v>24</v>
      </c>
      <c r="AG30" s="15">
        <f>IF(AF30="",0,VLOOKUP(AF30,Table!$A$6:$B$16,2,FALSE)*$E30)</f>
        <v>-958.26599999999996</v>
      </c>
      <c r="AH30" s="4"/>
      <c r="AI30" s="15">
        <f>IF(AH30="",0,VLOOKUP(AH30,Table!$A$6:$B$16,2,FALSE)*$E30)</f>
        <v>0</v>
      </c>
      <c r="AJ30" s="4" t="s">
        <v>25</v>
      </c>
      <c r="AK30" s="15">
        <f>IF(AJ30="",0,VLOOKUP(AJ30,Table!$A$6:$B$16,2,FALSE)*$E30)</f>
        <v>-958.26599999999996</v>
      </c>
    </row>
    <row r="31" spans="1:37" x14ac:dyDescent="0.25">
      <c r="A31" s="5" t="s">
        <v>4</v>
      </c>
      <c r="B31" s="5" t="s">
        <v>89</v>
      </c>
      <c r="C31" s="7">
        <f>Table!$B$2-'BUDGET SYLV CRTE ROTATION'!D31</f>
        <v>1993</v>
      </c>
      <c r="D31" s="6">
        <v>28</v>
      </c>
      <c r="E31" s="25">
        <f>'classe d''age ARGEFO'!C41</f>
        <v>3.8868</v>
      </c>
      <c r="F31" s="4" t="s">
        <v>37</v>
      </c>
      <c r="G31" s="15">
        <f>IF(F31="",0,VLOOKUP(F31,Table!$A$6:$B$16,2,FALSE)*E31)</f>
        <v>4975.1040000000003</v>
      </c>
      <c r="H31" s="4"/>
      <c r="I31" s="15">
        <f>IF(H31="",0,VLOOKUP(H31,Table!$A$6:$B$16,2,FALSE)*E31)</f>
        <v>0</v>
      </c>
      <c r="J31" s="4"/>
      <c r="K31" s="15">
        <f>IF(J31="",0,VLOOKUP(J31,Table!$A$6:$B$16,2,FALSE)*E31)</f>
        <v>0</v>
      </c>
      <c r="L31" s="4"/>
      <c r="M31" s="15">
        <f>IF(L31="",0,VLOOKUP(L31,Table!$A$6:$B$16,2,FALSE)*E31)</f>
        <v>0</v>
      </c>
      <c r="N31" s="4"/>
      <c r="O31" s="15">
        <f>IF(N31="",0,VLOOKUP(N31,Table!$A$6:$B$16,2,FALSE)*E31)</f>
        <v>0</v>
      </c>
      <c r="P31" s="4"/>
      <c r="Q31" s="15">
        <f>IF(P31="",0,VLOOKUP(P31,Table!$A$6:$B$16,2,FALSE)*$E31)</f>
        <v>0</v>
      </c>
      <c r="R31" s="4"/>
      <c r="S31" s="15">
        <f>IF(R31="",0,VLOOKUP(R31,Table!$A$6:$B$16,2,FALSE)*$E31)</f>
        <v>0</v>
      </c>
      <c r="T31" s="4" t="s">
        <v>20</v>
      </c>
      <c r="U31" s="15">
        <f>IF(T31="",0,VLOOKUP(T31,Table!$A$6:$B$16,2,FALSE)*$E31)</f>
        <v>34203.840000000004</v>
      </c>
      <c r="V31" s="4"/>
      <c r="W31" s="15">
        <f>IF(V31="",0,VLOOKUP(V31,Table!$A$6:$B$16,2,FALSE)*$E31)</f>
        <v>0</v>
      </c>
      <c r="X31" s="4" t="s">
        <v>23</v>
      </c>
      <c r="Y31" s="15">
        <f>IF(X31="",0,VLOOKUP(X31,Table!$A$6:$B$16,2,FALSE)*$E31)</f>
        <v>-6607.56</v>
      </c>
      <c r="Z31" s="4" t="s">
        <v>43</v>
      </c>
      <c r="AA31" s="15">
        <f>IF(Z31="",0,VLOOKUP(Z31,Table!$A$6:$B$16,2,FALSE)*$E31)</f>
        <v>-291.51</v>
      </c>
      <c r="AB31" s="4" t="s">
        <v>24</v>
      </c>
      <c r="AC31" s="15">
        <f>IF(AB31="",0,VLOOKUP(AB31,Table!$A$6:$B$16,2,FALSE)*$E31)</f>
        <v>-349.81200000000001</v>
      </c>
      <c r="AD31" s="4"/>
      <c r="AE31" s="15">
        <f>IF(AD31="",0,VLOOKUP(AD31,Table!$A$6:$B$16,2,FALSE)*$E31)</f>
        <v>0</v>
      </c>
      <c r="AF31" s="4" t="s">
        <v>25</v>
      </c>
      <c r="AG31" s="15">
        <f>IF(AF31="",0,VLOOKUP(AF31,Table!$A$6:$B$16,2,FALSE)*$E31)</f>
        <v>-349.81200000000001</v>
      </c>
      <c r="AH31" s="4"/>
      <c r="AI31" s="15">
        <f>IF(AH31="",0,VLOOKUP(AH31,Table!$A$6:$B$16,2,FALSE)*$E31)</f>
        <v>0</v>
      </c>
      <c r="AJ31" s="4"/>
      <c r="AK31" s="15">
        <f>IF(AJ31="",0,VLOOKUP(AJ31,Table!$A$6:$B$16,2,FALSE)*$E31)</f>
        <v>0</v>
      </c>
    </row>
    <row r="32" spans="1:37" x14ac:dyDescent="0.25">
      <c r="A32" s="5" t="s">
        <v>4</v>
      </c>
      <c r="B32" s="5" t="s">
        <v>89</v>
      </c>
      <c r="C32" s="7">
        <f>Table!$B$2-'BUDGET SYLV CRTE ROTATION'!D32</f>
        <v>1990</v>
      </c>
      <c r="D32" s="6">
        <v>31</v>
      </c>
      <c r="E32" s="25">
        <f>'classe d''age ARGEFO'!C44</f>
        <v>8.5400000000000004E-2</v>
      </c>
      <c r="F32" s="4"/>
      <c r="G32" s="15">
        <f>IF(F32="",0,VLOOKUP(F32,Table!$A$6:$B$16,2,FALSE)*E32)</f>
        <v>0</v>
      </c>
      <c r="H32" s="4"/>
      <c r="I32" s="15">
        <f>IF(H32="",0,VLOOKUP(H32,Table!$A$6:$B$16,2,FALSE)*E32)</f>
        <v>0</v>
      </c>
      <c r="J32" s="4"/>
      <c r="K32" s="15">
        <f>IF(J32="",0,VLOOKUP(J32,Table!$A$6:$B$16,2,FALSE)*E32)</f>
        <v>0</v>
      </c>
      <c r="L32" s="4"/>
      <c r="M32" s="15">
        <f>IF(L32="",0,VLOOKUP(L32,Table!$A$6:$B$16,2,FALSE)*E32)</f>
        <v>0</v>
      </c>
      <c r="N32" s="4" t="s">
        <v>20</v>
      </c>
      <c r="O32" s="15">
        <f>IF(N32="",0,VLOOKUP(N32,Table!$A$6:$B$16,2,FALSE)*E32)</f>
        <v>751.52</v>
      </c>
      <c r="P32" s="4"/>
      <c r="Q32" s="15">
        <f>IF(P32="",0,VLOOKUP(P32,Table!$A$6:$B$16,2,FALSE)*$E32)</f>
        <v>0</v>
      </c>
      <c r="R32" s="4" t="s">
        <v>23</v>
      </c>
      <c r="S32" s="15">
        <f>IF(R32="",0,VLOOKUP(R32,Table!$A$6:$B$16,2,FALSE)*$E32)</f>
        <v>-145.18</v>
      </c>
      <c r="T32" s="4" t="s">
        <v>43</v>
      </c>
      <c r="U32" s="15">
        <f>IF(T32="",0,VLOOKUP(T32,Table!$A$6:$B$16,2,FALSE)*$E32)</f>
        <v>-6.4050000000000002</v>
      </c>
      <c r="V32" s="4" t="s">
        <v>24</v>
      </c>
      <c r="W32" s="15">
        <f>IF(V32="",0,VLOOKUP(V32,Table!$A$6:$B$16,2,FALSE)*$E32)</f>
        <v>-7.6859999999999999</v>
      </c>
      <c r="X32" s="4"/>
      <c r="Y32" s="15">
        <f>IF(X32="",0,VLOOKUP(X32,Table!$A$6:$B$16,2,FALSE)*$E32)</f>
        <v>0</v>
      </c>
      <c r="Z32" s="4" t="s">
        <v>25</v>
      </c>
      <c r="AA32" s="15">
        <f>IF(Z32="",0,VLOOKUP(Z32,Table!$A$6:$B$16,2,FALSE)*$E32)</f>
        <v>-7.6859999999999999</v>
      </c>
      <c r="AB32" s="4"/>
      <c r="AC32" s="15">
        <f>IF(AB32="",0,VLOOKUP(AB32,Table!$A$6:$B$16,2,FALSE)*$E32)</f>
        <v>0</v>
      </c>
      <c r="AD32" s="4"/>
      <c r="AE32" s="15">
        <f>IF(AD32="",0,VLOOKUP(AD32,Table!$A$6:$B$16,2,FALSE)*$E32)</f>
        <v>0</v>
      </c>
      <c r="AF32" s="4"/>
      <c r="AG32" s="15">
        <f>IF(AF32="",0,VLOOKUP(AF32,Table!$A$6:$B$16,2,FALSE)*$E32)</f>
        <v>0</v>
      </c>
      <c r="AH32" s="4"/>
      <c r="AI32" s="15">
        <f>IF(AH32="",0,VLOOKUP(AH32,Table!$A$6:$B$16,2,FALSE)*$E32)</f>
        <v>0</v>
      </c>
      <c r="AJ32" s="4"/>
      <c r="AK32" s="15">
        <f>IF(AJ32="",0,VLOOKUP(AJ32,Table!$A$6:$B$16,2,FALSE)*$E32)</f>
        <v>0</v>
      </c>
    </row>
    <row r="33" spans="1:37" x14ac:dyDescent="0.25">
      <c r="A33" s="5" t="s">
        <v>4</v>
      </c>
      <c r="B33" s="5" t="s">
        <v>89</v>
      </c>
      <c r="C33" s="7">
        <f>Table!$B$2-'BUDGET SYLV CRTE ROTATION'!D33</f>
        <v>1988</v>
      </c>
      <c r="D33" s="6">
        <v>33</v>
      </c>
      <c r="E33" s="25">
        <f>'classe d''age ARGEFO'!C46</f>
        <v>3.2961</v>
      </c>
      <c r="F33" s="4"/>
      <c r="G33" s="15">
        <f>IF(F33="",0,VLOOKUP(F33,Table!$A$6:$B$16,2,FALSE)*E33)</f>
        <v>0</v>
      </c>
      <c r="H33" s="4"/>
      <c r="I33" s="15">
        <f>IF(H33="",0,VLOOKUP(H33,Table!$A$6:$B$16,2,FALSE)*E33)</f>
        <v>0</v>
      </c>
      <c r="J33" s="4" t="s">
        <v>20</v>
      </c>
      <c r="K33" s="15">
        <f>IF(J33="",0,VLOOKUP(J33,Table!$A$6:$B$16,2,FALSE)*E33)</f>
        <v>29005.68</v>
      </c>
      <c r="L33" s="4"/>
      <c r="M33" s="15">
        <f>IF(L33="",0,VLOOKUP(L33,Table!$A$6:$B$16,2,FALSE)*E33)</f>
        <v>0</v>
      </c>
      <c r="N33" s="4" t="s">
        <v>23</v>
      </c>
      <c r="O33" s="15">
        <f>IF(N33="",0,VLOOKUP(N33,Table!$A$6:$B$16,2,FALSE)*E33)</f>
        <v>-5603.37</v>
      </c>
      <c r="P33" s="4" t="s">
        <v>43</v>
      </c>
      <c r="Q33" s="15">
        <f>IF(P33="",0,VLOOKUP(P33,Table!$A$6:$B$16,2,FALSE)*$E33)</f>
        <v>-247.20750000000001</v>
      </c>
      <c r="R33" s="4" t="s">
        <v>24</v>
      </c>
      <c r="S33" s="15">
        <f>IF(R33="",0,VLOOKUP(R33,Table!$A$6:$B$16,2,FALSE)*$E33)</f>
        <v>-296.649</v>
      </c>
      <c r="T33" s="4"/>
      <c r="U33" s="15">
        <f>IF(T33="",0,VLOOKUP(T33,Table!$A$6:$B$16,2,FALSE)*$E33)</f>
        <v>0</v>
      </c>
      <c r="V33" s="4" t="s">
        <v>25</v>
      </c>
      <c r="W33" s="15">
        <f>IF(V33="",0,VLOOKUP(V33,Table!$A$6:$B$16,2,FALSE)*$E33)</f>
        <v>-296.649</v>
      </c>
      <c r="X33" s="4"/>
      <c r="Y33" s="15">
        <f>IF(X33="",0,VLOOKUP(X33,Table!$A$6:$B$16,2,FALSE)*$E33)</f>
        <v>0</v>
      </c>
      <c r="Z33" s="4"/>
      <c r="AA33" s="15">
        <f>IF(Z33="",0,VLOOKUP(Z33,Table!$A$6:$B$16,2,FALSE)*$E33)</f>
        <v>0</v>
      </c>
      <c r="AB33" s="4"/>
      <c r="AC33" s="15">
        <f>IF(AB33="",0,VLOOKUP(AB33,Table!$A$6:$B$16,2,FALSE)*$E33)</f>
        <v>0</v>
      </c>
      <c r="AD33" s="4"/>
      <c r="AE33" s="15">
        <f>IF(AD33="",0,VLOOKUP(AD33,Table!$A$6:$B$16,2,FALSE)*$E33)</f>
        <v>0</v>
      </c>
      <c r="AF33" s="4"/>
      <c r="AG33" s="15">
        <f>IF(AF33="",0,VLOOKUP(AF33,Table!$A$6:$B$16,2,FALSE)*$E33)</f>
        <v>0</v>
      </c>
      <c r="AH33" s="4"/>
      <c r="AI33" s="15">
        <f>IF(AH33="",0,VLOOKUP(AH33,Table!$A$6:$B$16,2,FALSE)*$E33)</f>
        <v>0</v>
      </c>
      <c r="AJ33" s="4"/>
      <c r="AK33" s="15">
        <f>IF(AJ33="",0,VLOOKUP(AJ33,Table!$A$6:$B$16,2,FALSE)*$E33)</f>
        <v>0</v>
      </c>
    </row>
    <row r="34" spans="1:37" x14ac:dyDescent="0.25">
      <c r="A34" s="5" t="s">
        <v>10</v>
      </c>
      <c r="B34" s="5" t="s">
        <v>89</v>
      </c>
      <c r="C34" s="7">
        <f>Table!$B$2-'BUDGET SYLV CRTE ROTATION'!D34</f>
        <v>1987</v>
      </c>
      <c r="D34" s="6">
        <v>34</v>
      </c>
      <c r="E34" s="25">
        <f>'classe d''age ARGEFO'!D47</f>
        <v>12.225099999999999</v>
      </c>
      <c r="F34" s="4"/>
      <c r="G34" s="15">
        <f>IF(F34="",0,VLOOKUP(F34,Table!$A$6:$B$16,2,FALSE)*E34)</f>
        <v>0</v>
      </c>
      <c r="H34" s="4" t="s">
        <v>20</v>
      </c>
      <c r="I34" s="15">
        <f>IF(H34="",0,VLOOKUP(H34,Table!$A$6:$B$16,2,FALSE)*E34)</f>
        <v>107580.87999999999</v>
      </c>
      <c r="J34" s="4"/>
      <c r="K34" s="15">
        <f>IF(J34="",0,VLOOKUP(J34,Table!$A$6:$B$16,2,FALSE)*E34)</f>
        <v>0</v>
      </c>
      <c r="L34" s="4" t="s">
        <v>23</v>
      </c>
      <c r="M34" s="15">
        <f>IF(L34="",0,VLOOKUP(L34,Table!$A$6:$B$16,2,FALSE)*E34)</f>
        <v>-20782.669999999998</v>
      </c>
      <c r="N34" s="4" t="s">
        <v>43</v>
      </c>
      <c r="O34" s="15">
        <f>IF(N34="",0,VLOOKUP(N34,Table!$A$6:$B$16,2,FALSE)*E34)</f>
        <v>-916.88249999999994</v>
      </c>
      <c r="P34" s="4" t="s">
        <v>24</v>
      </c>
      <c r="Q34" s="15">
        <f>IF(P34="",0,VLOOKUP(P34,Table!$A$6:$B$16,2,FALSE)*$E34)</f>
        <v>-1100.259</v>
      </c>
      <c r="R34" s="4"/>
      <c r="S34" s="15">
        <f>IF(R34="",0,VLOOKUP(R34,Table!$A$6:$B$16,2,FALSE)*$E34)</f>
        <v>0</v>
      </c>
      <c r="T34" s="4" t="s">
        <v>25</v>
      </c>
      <c r="U34" s="15">
        <f>IF(T34="",0,VLOOKUP(T34,Table!$A$6:$B$16,2,FALSE)*$E34)</f>
        <v>-1100.259</v>
      </c>
      <c r="V34" s="4"/>
      <c r="W34" s="15">
        <f>IF(V34="",0,VLOOKUP(V34,Table!$A$6:$B$16,2,FALSE)*$E34)</f>
        <v>0</v>
      </c>
      <c r="X34" s="4"/>
      <c r="Y34" s="15">
        <f>IF(X34="",0,VLOOKUP(X34,Table!$A$6:$B$16,2,FALSE)*$E34)</f>
        <v>0</v>
      </c>
      <c r="Z34" s="4"/>
      <c r="AA34" s="15">
        <f>IF(Z34="",0,VLOOKUP(Z34,Table!$A$6:$B$16,2,FALSE)*$E34)</f>
        <v>0</v>
      </c>
      <c r="AB34" s="4"/>
      <c r="AC34" s="15">
        <f>IF(AB34="",0,VLOOKUP(AB34,Table!$A$6:$B$16,2,FALSE)*$E34)</f>
        <v>0</v>
      </c>
      <c r="AD34" s="4"/>
      <c r="AE34" s="15">
        <f>IF(AD34="",0,VLOOKUP(AD34,Table!$A$6:$B$16,2,FALSE)*$E34)</f>
        <v>0</v>
      </c>
      <c r="AF34" s="4"/>
      <c r="AG34" s="15">
        <f>IF(AF34="",0,VLOOKUP(AF34,Table!$A$6:$B$16,2,FALSE)*$E34)</f>
        <v>0</v>
      </c>
      <c r="AH34" s="4"/>
      <c r="AI34" s="15">
        <f>IF(AH34="",0,VLOOKUP(AH34,Table!$A$6:$B$16,2,FALSE)*$E34)</f>
        <v>0</v>
      </c>
      <c r="AJ34" s="4"/>
      <c r="AK34" s="15">
        <f>IF(AJ34="",0,VLOOKUP(AJ34,Table!$A$6:$B$16,2,FALSE)*$E34)</f>
        <v>0</v>
      </c>
    </row>
    <row r="35" spans="1:37" x14ac:dyDescent="0.25">
      <c r="A35" s="5" t="s">
        <v>10</v>
      </c>
      <c r="B35" s="5" t="s">
        <v>89</v>
      </c>
      <c r="C35" s="7">
        <f>Table!$B$2-'BUDGET SYLV CRTE ROTATION'!D35</f>
        <v>1984</v>
      </c>
      <c r="D35" s="6">
        <v>37</v>
      </c>
      <c r="E35" s="25">
        <f>'classe d''age ARGEFO'!D50</f>
        <v>0.90339999999999998</v>
      </c>
      <c r="F35" s="4" t="s">
        <v>20</v>
      </c>
      <c r="G35" s="15">
        <f>IF(F35="",0,VLOOKUP(F35,Table!$A$6:$B$16,2,FALSE)*E35)</f>
        <v>7949.92</v>
      </c>
      <c r="H35" s="4"/>
      <c r="I35" s="15">
        <f>IF(H35="",0,VLOOKUP(H35,Table!$A$6:$B$16,2,FALSE)*E35)</f>
        <v>0</v>
      </c>
      <c r="J35" s="4" t="s">
        <v>23</v>
      </c>
      <c r="K35" s="15">
        <f>IF(J35="",0,VLOOKUP(J35,Table!$A$6:$B$16,2,FALSE)*E35)</f>
        <v>-1535.78</v>
      </c>
      <c r="L35" s="4" t="s">
        <v>43</v>
      </c>
      <c r="M35" s="15">
        <f>IF(L35="",0,VLOOKUP(L35,Table!$A$6:$B$16,2,FALSE)*E35)</f>
        <v>-67.754999999999995</v>
      </c>
      <c r="N35" s="4" t="s">
        <v>24</v>
      </c>
      <c r="O35" s="15">
        <f>IF(N35="",0,VLOOKUP(N35,Table!$A$6:$B$16,2,FALSE)*E35)</f>
        <v>-81.305999999999997</v>
      </c>
      <c r="P35" s="4"/>
      <c r="Q35" s="15">
        <f>IF(P35="",0,VLOOKUP(P35,Table!$A$6:$B$16,2,FALSE)*$E35)</f>
        <v>0</v>
      </c>
      <c r="R35" s="4" t="s">
        <v>25</v>
      </c>
      <c r="S35" s="15">
        <f>IF(R35="",0,VLOOKUP(R35,Table!$A$6:$B$16,2,FALSE)*$E35)</f>
        <v>-81.305999999999997</v>
      </c>
      <c r="T35" s="4"/>
      <c r="U35" s="15">
        <f>IF(T35="",0,VLOOKUP(T35,Table!$A$6:$B$16,2,FALSE)*$E35)</f>
        <v>0</v>
      </c>
      <c r="V35" s="4"/>
      <c r="W35" s="15">
        <f>IF(V35="",0,VLOOKUP(V35,Table!$A$6:$B$16,2,FALSE)*$E35)</f>
        <v>0</v>
      </c>
      <c r="X35" s="4"/>
      <c r="Y35" s="15">
        <f>IF(X35="",0,VLOOKUP(X35,Table!$A$6:$B$16,2,FALSE)*$E35)</f>
        <v>0</v>
      </c>
      <c r="Z35" s="4"/>
      <c r="AA35" s="15">
        <f>IF(Z35="",0,VLOOKUP(Z35,Table!$A$6:$B$16,2,FALSE)*$E35)</f>
        <v>0</v>
      </c>
      <c r="AB35" s="4"/>
      <c r="AC35" s="15">
        <f>IF(AB35="",0,VLOOKUP(AB35,Table!$A$6:$B$16,2,FALSE)*$E35)</f>
        <v>0</v>
      </c>
      <c r="AD35" s="4"/>
      <c r="AE35" s="15">
        <f>IF(AD35="",0,VLOOKUP(AD35,Table!$A$6:$B$16,2,FALSE)*$E35)</f>
        <v>0</v>
      </c>
      <c r="AF35" s="4"/>
      <c r="AG35" s="15">
        <f>IF(AF35="",0,VLOOKUP(AF35,Table!$A$6:$B$16,2,FALSE)*$E35)</f>
        <v>0</v>
      </c>
      <c r="AH35" s="4"/>
      <c r="AI35" s="15">
        <f>IF(AH35="",0,VLOOKUP(AH35,Table!$A$6:$B$16,2,FALSE)*$E35)</f>
        <v>0</v>
      </c>
      <c r="AJ35" s="4"/>
      <c r="AK35" s="15">
        <f>IF(AJ35="",0,VLOOKUP(AJ35,Table!$A$6:$B$16,2,FALSE)*$E35)</f>
        <v>0</v>
      </c>
    </row>
    <row r="36" spans="1:37" x14ac:dyDescent="0.25">
      <c r="E36" s="76">
        <f>SUM(E6:E35)</f>
        <v>722.05360000000019</v>
      </c>
      <c r="F36" s="75">
        <f>F3</f>
        <v>2021</v>
      </c>
      <c r="G36" s="75"/>
      <c r="H36" s="75">
        <f>H3</f>
        <v>2022</v>
      </c>
      <c r="I36" s="75"/>
      <c r="J36" s="75">
        <f>J3</f>
        <v>2023</v>
      </c>
      <c r="K36" s="75"/>
      <c r="L36" s="75">
        <f>L3</f>
        <v>2024</v>
      </c>
      <c r="M36" s="75"/>
      <c r="N36" s="75">
        <f>N3</f>
        <v>2025</v>
      </c>
      <c r="O36" s="75"/>
      <c r="P36" s="75">
        <f>P3</f>
        <v>2026</v>
      </c>
      <c r="Q36" s="75"/>
      <c r="R36" s="75">
        <f>R3</f>
        <v>2027</v>
      </c>
      <c r="S36" s="75"/>
      <c r="T36" s="75">
        <f>T3</f>
        <v>2028</v>
      </c>
      <c r="U36" s="75"/>
      <c r="V36" s="75">
        <f>V3</f>
        <v>2029</v>
      </c>
      <c r="W36" s="75"/>
      <c r="X36" s="75">
        <f>X3</f>
        <v>2030</v>
      </c>
      <c r="Y36" s="75"/>
      <c r="Z36" s="75">
        <f>Z3</f>
        <v>2031</v>
      </c>
      <c r="AA36" s="75"/>
      <c r="AB36" s="75">
        <f>AB3</f>
        <v>2032</v>
      </c>
      <c r="AC36" s="75"/>
      <c r="AD36" s="75">
        <f>AD3</f>
        <v>2033</v>
      </c>
      <c r="AE36" s="75"/>
      <c r="AF36" s="75">
        <f>AF3</f>
        <v>2034</v>
      </c>
      <c r="AG36" s="75"/>
      <c r="AH36" s="75">
        <f>AH3</f>
        <v>2035</v>
      </c>
      <c r="AI36" s="75"/>
      <c r="AJ36" s="75">
        <f>AJ3</f>
        <v>2036</v>
      </c>
      <c r="AK36" s="75"/>
    </row>
    <row r="37" spans="1:37" x14ac:dyDescent="0.25">
      <c r="E37" s="76"/>
      <c r="F37" s="74">
        <f>SUM(G5:G35)</f>
        <v>108624.89270000001</v>
      </c>
      <c r="G37" s="74"/>
      <c r="H37" s="74">
        <f t="shared" ref="H37" si="0">SUM(I5:I35)</f>
        <v>112360.47439999999</v>
      </c>
      <c r="I37" s="74"/>
      <c r="J37" s="74">
        <f t="shared" ref="J37" si="1">SUM(K5:K35)</f>
        <v>114064.84109999999</v>
      </c>
      <c r="K37" s="74"/>
      <c r="L37" s="74">
        <f t="shared" ref="L37" si="2">SUM(M5:M35)</f>
        <v>82996.599000000002</v>
      </c>
      <c r="M37" s="74"/>
      <c r="N37" s="74">
        <f t="shared" ref="N37" si="3">SUM(O5:O35)</f>
        <v>189143.50189999997</v>
      </c>
      <c r="O37" s="74"/>
      <c r="P37" s="74">
        <f t="shared" ref="P37" si="4">SUM(Q5:Q35)</f>
        <v>55867.925700000007</v>
      </c>
      <c r="Q37" s="74"/>
      <c r="R37" s="74">
        <f t="shared" ref="R37" si="5">SUM(S5:S35)</f>
        <v>39603.459600000002</v>
      </c>
      <c r="S37" s="74"/>
      <c r="T37" s="74">
        <f t="shared" ref="T37" si="6">SUM(U5:U35)</f>
        <v>284686.68629999994</v>
      </c>
      <c r="U37" s="74"/>
      <c r="V37" s="74">
        <f t="shared" ref="V37" si="7">SUM(W5:W35)</f>
        <v>119604.436</v>
      </c>
      <c r="W37" s="74"/>
      <c r="X37" s="74">
        <f t="shared" ref="X37" si="8">SUM(Y5:Y35)</f>
        <v>632439.70400000003</v>
      </c>
      <c r="Y37" s="74"/>
      <c r="Z37" s="74">
        <f t="shared" ref="Z37" si="9">SUM(AA5:AA35)</f>
        <v>207267.50790000006</v>
      </c>
      <c r="AA37" s="74"/>
      <c r="AB37" s="74">
        <f t="shared" ref="AB37" si="10">SUM(AC5:AC35)</f>
        <v>198751.11009999996</v>
      </c>
      <c r="AC37" s="74"/>
      <c r="AD37" s="74">
        <f t="shared" ref="AD37" si="11">SUM(AE5:AE35)</f>
        <v>556692.13689999992</v>
      </c>
      <c r="AE37" s="74"/>
      <c r="AF37" s="74">
        <f t="shared" ref="AF37" si="12">SUM(AG5:AG35)</f>
        <v>113490.74590000001</v>
      </c>
      <c r="AG37" s="74"/>
      <c r="AH37" s="74">
        <f t="shared" ref="AH37" si="13">SUM(AI5:AI35)</f>
        <v>-4020.1053999999913</v>
      </c>
      <c r="AI37" s="74"/>
      <c r="AJ37" s="74">
        <f t="shared" ref="AJ37" si="14">SUM(AK5:AK35)</f>
        <v>-24478.960500000001</v>
      </c>
      <c r="AK37" s="74"/>
    </row>
    <row r="38" spans="1:37" x14ac:dyDescent="0.25">
      <c r="E38" s="76"/>
      <c r="F38" s="74">
        <f>Table!$B$23</f>
        <v>-30000</v>
      </c>
      <c r="G38" s="75"/>
      <c r="H38" s="74">
        <f>Table!$B$23</f>
        <v>-30000</v>
      </c>
      <c r="I38" s="75"/>
      <c r="J38" s="74">
        <f>Table!$B$23</f>
        <v>-30000</v>
      </c>
      <c r="K38" s="75"/>
      <c r="L38" s="74">
        <f>Table!$B$23</f>
        <v>-30000</v>
      </c>
      <c r="M38" s="75"/>
      <c r="N38" s="74">
        <f>Table!$B$23</f>
        <v>-30000</v>
      </c>
      <c r="O38" s="75"/>
      <c r="P38" s="74">
        <f>Table!$B$23</f>
        <v>-30000</v>
      </c>
      <c r="Q38" s="75"/>
      <c r="R38" s="74">
        <f>Table!$B$23</f>
        <v>-30000</v>
      </c>
      <c r="S38" s="75"/>
      <c r="T38" s="74">
        <f>Table!$B$23</f>
        <v>-30000</v>
      </c>
      <c r="U38" s="75"/>
      <c r="V38" s="74">
        <f>Table!$B$23</f>
        <v>-30000</v>
      </c>
      <c r="W38" s="75"/>
      <c r="X38" s="74">
        <f>Table!$B$23</f>
        <v>-30000</v>
      </c>
      <c r="Y38" s="75"/>
      <c r="Z38" s="74">
        <f>Table!$B$23</f>
        <v>-30000</v>
      </c>
      <c r="AA38" s="75"/>
      <c r="AB38" s="74">
        <f>Table!$B$23</f>
        <v>-30000</v>
      </c>
      <c r="AC38" s="75"/>
      <c r="AD38" s="74">
        <f>Table!$B$23</f>
        <v>-30000</v>
      </c>
      <c r="AE38" s="75"/>
      <c r="AF38" s="74">
        <f>Table!$B$23</f>
        <v>-30000</v>
      </c>
      <c r="AG38" s="75"/>
      <c r="AH38" s="74">
        <f>Table!$B$23</f>
        <v>-30000</v>
      </c>
      <c r="AI38" s="75"/>
      <c r="AJ38" s="74">
        <f>Table!$B$23</f>
        <v>-30000</v>
      </c>
      <c r="AK38" s="75"/>
    </row>
    <row r="39" spans="1:37" ht="13.5" customHeight="1" x14ac:dyDescent="0.25">
      <c r="E39" s="76"/>
      <c r="F39" s="82">
        <f>F37+F38</f>
        <v>78624.892700000011</v>
      </c>
      <c r="G39" s="83"/>
      <c r="H39" s="82">
        <f>H37+H38</f>
        <v>82360.474399999992</v>
      </c>
      <c r="I39" s="83"/>
      <c r="J39" s="82">
        <f>J37+J38</f>
        <v>84064.841099999991</v>
      </c>
      <c r="K39" s="83"/>
      <c r="L39" s="82">
        <f>L37+L38</f>
        <v>52996.599000000002</v>
      </c>
      <c r="M39" s="83"/>
      <c r="N39" s="82">
        <f>N37+N38</f>
        <v>159143.50189999997</v>
      </c>
      <c r="O39" s="83"/>
      <c r="P39" s="82">
        <f>P37+P38</f>
        <v>25867.925700000007</v>
      </c>
      <c r="Q39" s="83"/>
      <c r="R39" s="82">
        <f>R37+R38</f>
        <v>9603.459600000002</v>
      </c>
      <c r="S39" s="83"/>
      <c r="T39" s="82">
        <f>T37+T38</f>
        <v>254686.68629999994</v>
      </c>
      <c r="U39" s="83"/>
      <c r="V39" s="82">
        <f>V37+V38</f>
        <v>89604.436000000002</v>
      </c>
      <c r="W39" s="83"/>
      <c r="X39" s="82">
        <f>X37+X38</f>
        <v>602439.70400000003</v>
      </c>
      <c r="Y39" s="83"/>
      <c r="Z39" s="82">
        <f>Z37+Z38</f>
        <v>177267.50790000006</v>
      </c>
      <c r="AA39" s="83"/>
      <c r="AB39" s="82">
        <f>AB37+AB38</f>
        <v>168751.11009999996</v>
      </c>
      <c r="AC39" s="83"/>
      <c r="AD39" s="82">
        <f>AD37+AD38</f>
        <v>526692.13689999992</v>
      </c>
      <c r="AE39" s="83"/>
      <c r="AF39" s="82">
        <f>AF37+AF38</f>
        <v>83490.745900000009</v>
      </c>
      <c r="AG39" s="83"/>
      <c r="AH39" s="82">
        <f>AH37+AH38</f>
        <v>-34020.105399999993</v>
      </c>
      <c r="AI39" s="83"/>
      <c r="AJ39" s="82">
        <f>AJ37+AJ38</f>
        <v>-54478.960500000001</v>
      </c>
      <c r="AK39" s="83"/>
    </row>
    <row r="40" spans="1:37" ht="5.25" hidden="1" customHeight="1" x14ac:dyDescent="0.25">
      <c r="A40" s="7">
        <f>'Budget annuel'!A5</f>
        <v>2021</v>
      </c>
      <c r="B40" s="26">
        <f>F39</f>
        <v>78624.892700000011</v>
      </c>
    </row>
    <row r="41" spans="1:37" hidden="1" x14ac:dyDescent="0.25">
      <c r="A41" s="7">
        <f>'Budget annuel'!A6</f>
        <v>2022</v>
      </c>
      <c r="B41" s="26">
        <f>H39</f>
        <v>82360.474399999992</v>
      </c>
    </row>
    <row r="42" spans="1:37" hidden="1" x14ac:dyDescent="0.25">
      <c r="A42" s="7">
        <f>'Budget annuel'!A7</f>
        <v>2023</v>
      </c>
      <c r="B42" s="26">
        <f>J39</f>
        <v>84064.841099999991</v>
      </c>
    </row>
    <row r="43" spans="1:37" hidden="1" x14ac:dyDescent="0.25">
      <c r="A43" s="7">
        <f>'Budget annuel'!A8</f>
        <v>2024</v>
      </c>
      <c r="B43" s="26">
        <f>L39</f>
        <v>52996.599000000002</v>
      </c>
    </row>
    <row r="44" spans="1:37" hidden="1" x14ac:dyDescent="0.25">
      <c r="A44" s="7">
        <f>'Budget annuel'!A9</f>
        <v>2025</v>
      </c>
      <c r="B44" s="26">
        <f>N39</f>
        <v>159143.50189999997</v>
      </c>
    </row>
    <row r="45" spans="1:37" hidden="1" x14ac:dyDescent="0.25">
      <c r="A45" s="7">
        <f>'Budget annuel'!A10</f>
        <v>2026</v>
      </c>
      <c r="B45" s="26">
        <f>P39</f>
        <v>25867.925700000007</v>
      </c>
    </row>
    <row r="46" spans="1:37" hidden="1" x14ac:dyDescent="0.25">
      <c r="A46" s="7">
        <f>'Budget annuel'!A11</f>
        <v>2027</v>
      </c>
      <c r="B46" s="26">
        <f>R39</f>
        <v>9603.459600000002</v>
      </c>
    </row>
    <row r="47" spans="1:37" hidden="1" x14ac:dyDescent="0.25">
      <c r="A47" s="7">
        <f>'Budget annuel'!A12</f>
        <v>2028</v>
      </c>
      <c r="B47" s="26">
        <f>T39</f>
        <v>254686.68629999994</v>
      </c>
    </row>
    <row r="48" spans="1:37" hidden="1" x14ac:dyDescent="0.25">
      <c r="A48" s="7">
        <f>'Budget annuel'!A13</f>
        <v>2029</v>
      </c>
      <c r="B48" s="26">
        <f>V39</f>
        <v>89604.436000000002</v>
      </c>
    </row>
    <row r="49" spans="1:2" hidden="1" x14ac:dyDescent="0.25">
      <c r="A49" s="7">
        <f>'Budget annuel'!A14</f>
        <v>2030</v>
      </c>
      <c r="B49" s="26">
        <f>X39</f>
        <v>602439.70400000003</v>
      </c>
    </row>
    <row r="50" spans="1:2" hidden="1" x14ac:dyDescent="0.25">
      <c r="A50" s="7">
        <f>'Budget annuel'!A15</f>
        <v>2031</v>
      </c>
      <c r="B50" s="26">
        <f>Z39</f>
        <v>177267.50790000006</v>
      </c>
    </row>
    <row r="51" spans="1:2" hidden="1" x14ac:dyDescent="0.25">
      <c r="A51" s="7">
        <f>'Budget annuel'!A16</f>
        <v>2032</v>
      </c>
      <c r="B51" s="26">
        <f>AB39</f>
        <v>168751.11009999996</v>
      </c>
    </row>
    <row r="52" spans="1:2" hidden="1" x14ac:dyDescent="0.25">
      <c r="A52" s="7">
        <f>'Budget annuel'!A17</f>
        <v>2033</v>
      </c>
      <c r="B52" s="26">
        <f>AD39</f>
        <v>526692.13689999992</v>
      </c>
    </row>
    <row r="53" spans="1:2" hidden="1" x14ac:dyDescent="0.25">
      <c r="A53" s="7">
        <f>'Budget annuel'!A18</f>
        <v>2034</v>
      </c>
      <c r="B53" s="26">
        <f>AF39</f>
        <v>83490.745900000009</v>
      </c>
    </row>
    <row r="54" spans="1:2" hidden="1" x14ac:dyDescent="0.25">
      <c r="A54" s="7">
        <f>'Budget annuel'!A19</f>
        <v>2035</v>
      </c>
      <c r="B54" s="26">
        <f>AH39</f>
        <v>-34020.105399999993</v>
      </c>
    </row>
    <row r="55" spans="1:2" hidden="1" x14ac:dyDescent="0.25">
      <c r="A55" s="7">
        <f>'Budget annuel'!A20</f>
        <v>2036</v>
      </c>
      <c r="B55" s="26">
        <f>AJ39</f>
        <v>-54478.960500000001</v>
      </c>
    </row>
    <row r="56" spans="1:2" ht="45" hidden="1" customHeight="1" x14ac:dyDescent="0.25">
      <c r="B56" s="27">
        <f>SUM(B40:B55)</f>
        <v>2307094.9556</v>
      </c>
    </row>
    <row r="57" spans="1:2" hidden="1" x14ac:dyDescent="0.25"/>
  </sheetData>
  <autoFilter ref="A4:E37" xr:uid="{00000000-0009-0000-0000-000001000000}"/>
  <mergeCells count="87">
    <mergeCell ref="R1:X1"/>
    <mergeCell ref="P37:Q37"/>
    <mergeCell ref="R37:S37"/>
    <mergeCell ref="T37:U37"/>
    <mergeCell ref="AH37:AI37"/>
    <mergeCell ref="V37:W37"/>
    <mergeCell ref="X37:Y37"/>
    <mergeCell ref="Z37:AA37"/>
    <mergeCell ref="AB37:AC37"/>
    <mergeCell ref="AD37:AE37"/>
    <mergeCell ref="AF37:AG37"/>
    <mergeCell ref="R3:S3"/>
    <mergeCell ref="T3:U3"/>
    <mergeCell ref="AH3:AI3"/>
    <mergeCell ref="AJ37:AK37"/>
    <mergeCell ref="F36:G36"/>
    <mergeCell ref="H36:I36"/>
    <mergeCell ref="J36:K36"/>
    <mergeCell ref="L36:M36"/>
    <mergeCell ref="N36:O36"/>
    <mergeCell ref="P36:Q36"/>
    <mergeCell ref="R36:S36"/>
    <mergeCell ref="T36:U36"/>
    <mergeCell ref="V36:W36"/>
    <mergeCell ref="AF36:AG36"/>
    <mergeCell ref="AH36:AI36"/>
    <mergeCell ref="F37:G37"/>
    <mergeCell ref="H37:I37"/>
    <mergeCell ref="J37:K37"/>
    <mergeCell ref="L37:M37"/>
    <mergeCell ref="AJ3:AK3"/>
    <mergeCell ref="C3:C4"/>
    <mergeCell ref="AJ36:AK36"/>
    <mergeCell ref="X36:Y36"/>
    <mergeCell ref="Z36:AA36"/>
    <mergeCell ref="AB36:AC36"/>
    <mergeCell ref="AD36:AE36"/>
    <mergeCell ref="V3:W3"/>
    <mergeCell ref="X3:Y3"/>
    <mergeCell ref="Z3:AA3"/>
    <mergeCell ref="AB3:AC3"/>
    <mergeCell ref="AD3:AE3"/>
    <mergeCell ref="AF3:AG3"/>
    <mergeCell ref="J3:K3"/>
    <mergeCell ref="L3:M3"/>
    <mergeCell ref="P3:Q3"/>
    <mergeCell ref="N37:O37"/>
    <mergeCell ref="E3:E4"/>
    <mergeCell ref="P38:Q38"/>
    <mergeCell ref="E36:E39"/>
    <mergeCell ref="H38:I38"/>
    <mergeCell ref="J38:K38"/>
    <mergeCell ref="B3:B4"/>
    <mergeCell ref="A3:A4"/>
    <mergeCell ref="F3:G3"/>
    <mergeCell ref="H3:I3"/>
    <mergeCell ref="N3:O3"/>
    <mergeCell ref="D3:D4"/>
    <mergeCell ref="H39:I39"/>
    <mergeCell ref="J39:K39"/>
    <mergeCell ref="F38:G38"/>
    <mergeCell ref="V38:W38"/>
    <mergeCell ref="X38:Y38"/>
    <mergeCell ref="F39:G39"/>
    <mergeCell ref="R38:S38"/>
    <mergeCell ref="T38:U38"/>
    <mergeCell ref="L38:M38"/>
    <mergeCell ref="N38:O38"/>
    <mergeCell ref="AF39:AG39"/>
    <mergeCell ref="AH39:AI39"/>
    <mergeCell ref="AJ39:AK39"/>
    <mergeCell ref="AD38:AE38"/>
    <mergeCell ref="AF38:AG38"/>
    <mergeCell ref="AH38:AI38"/>
    <mergeCell ref="AJ38:AK38"/>
    <mergeCell ref="AD39:AE39"/>
    <mergeCell ref="AB39:AC39"/>
    <mergeCell ref="Z38:AA38"/>
    <mergeCell ref="AB38:AC38"/>
    <mergeCell ref="N39:O39"/>
    <mergeCell ref="L39:M39"/>
    <mergeCell ref="P39:Q39"/>
    <mergeCell ref="Z39:AA39"/>
    <mergeCell ref="X39:Y39"/>
    <mergeCell ref="V39:W39"/>
    <mergeCell ref="T39:U39"/>
    <mergeCell ref="R39:S39"/>
  </mergeCells>
  <pageMargins left="0.25" right="0.25" top="0.75" bottom="0.75" header="0.3" footer="0.3"/>
  <pageSetup paperSize="8" scale="6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2"/>
  <sheetViews>
    <sheetView topLeftCell="A4" zoomScale="88" zoomScaleNormal="88" workbookViewId="0">
      <selection activeCell="D20" sqref="D20"/>
    </sheetView>
  </sheetViews>
  <sheetFormatPr baseColWidth="10" defaultRowHeight="15" x14ac:dyDescent="0.25"/>
  <cols>
    <col min="1" max="1" width="23.5703125" bestFit="1" customWidth="1"/>
    <col min="2" max="11" width="10" bestFit="1" customWidth="1"/>
    <col min="12" max="17" width="11.7109375" bestFit="1" customWidth="1"/>
    <col min="19" max="19" width="17.5703125" bestFit="1" customWidth="1"/>
  </cols>
  <sheetData>
    <row r="1" spans="1:19" ht="19.5" thickBot="1" x14ac:dyDescent="0.35">
      <c r="B1" s="77" t="s">
        <v>78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</row>
    <row r="2" spans="1:19" x14ac:dyDescent="0.25">
      <c r="A2" s="43" t="s">
        <v>85</v>
      </c>
      <c r="B2" s="44">
        <v>2021</v>
      </c>
      <c r="C2" s="44">
        <v>2022</v>
      </c>
      <c r="D2" s="44">
        <v>2023</v>
      </c>
      <c r="E2" s="44">
        <v>2024</v>
      </c>
      <c r="F2" s="44">
        <v>2025</v>
      </c>
      <c r="G2" s="44">
        <v>2026</v>
      </c>
      <c r="H2" s="44">
        <v>2027</v>
      </c>
      <c r="I2" s="44">
        <v>2028</v>
      </c>
      <c r="J2" s="44">
        <v>2029</v>
      </c>
      <c r="K2" s="44">
        <v>2030</v>
      </c>
      <c r="L2" s="44">
        <v>2031</v>
      </c>
      <c r="M2" s="44">
        <v>2032</v>
      </c>
      <c r="N2" s="44">
        <v>2033</v>
      </c>
      <c r="O2" s="44">
        <v>2034</v>
      </c>
      <c r="P2" s="44">
        <v>2035</v>
      </c>
      <c r="Q2" s="45">
        <v>2036</v>
      </c>
    </row>
    <row r="3" spans="1:19" x14ac:dyDescent="0.25">
      <c r="A3" s="46" t="s">
        <v>83</v>
      </c>
      <c r="B3" s="41">
        <f>SUM('BUDGET SYLV CRTE ROTATION'!G5:G35)</f>
        <v>108624.89270000001</v>
      </c>
      <c r="C3" s="41">
        <f>SUM('BUDGET SYLV CRTE ROTATION'!I5:I35)</f>
        <v>112360.47439999999</v>
      </c>
      <c r="D3" s="41">
        <f>SUM('BUDGET SYLV CRTE ROTATION'!K5:K35)</f>
        <v>114064.84109999999</v>
      </c>
      <c r="E3" s="41">
        <f>SUM('BUDGET SYLV CRTE ROTATION'!M5:M35)</f>
        <v>82996.599000000002</v>
      </c>
      <c r="F3" s="41">
        <f>SUM('BUDGET SYLV CRTE ROTATION'!O5:O35)</f>
        <v>189143.50189999997</v>
      </c>
      <c r="G3" s="41">
        <f>SUM('BUDGET SYLV CRTE ROTATION'!Q5:Q35)</f>
        <v>55867.925700000007</v>
      </c>
      <c r="H3" s="41">
        <f>SUM('BUDGET SYLV CRTE ROTATION'!S5:S35)</f>
        <v>39603.459600000002</v>
      </c>
      <c r="I3" s="41">
        <f>SUM('BUDGET SYLV CRTE ROTATION'!U5:U35)</f>
        <v>284686.68629999994</v>
      </c>
      <c r="J3" s="41">
        <f>SUM('BUDGET SYLV CRTE ROTATION'!W5:W35)</f>
        <v>119604.436</v>
      </c>
      <c r="K3" s="41">
        <f>SUM('BUDGET SYLV CRTE ROTATION'!Y5:Y35)</f>
        <v>632439.70400000003</v>
      </c>
      <c r="L3" s="41">
        <f>SUM('BUDGET SYLV CRTE ROTATION'!AA5:AA35)</f>
        <v>207267.50790000006</v>
      </c>
      <c r="M3" s="41">
        <f>SUM('BUDGET SYLV CRTE ROTATION'!AC5:AC35)</f>
        <v>198751.11009999996</v>
      </c>
      <c r="N3" s="41">
        <f>SUM('BUDGET SYLV CRTE ROTATION'!AE5:AE35)</f>
        <v>556692.13689999992</v>
      </c>
      <c r="O3" s="41">
        <f>SUM('BUDGET SYLV CRTE ROTATION'!AG5:AG35)</f>
        <v>113490.74590000001</v>
      </c>
      <c r="P3" s="41">
        <f>SUM('BUDGET SYLV CRTE ROTATION'!AI5:AI35)</f>
        <v>-4020.1053999999913</v>
      </c>
      <c r="Q3" s="47">
        <f>SUM('BUDGET SYLV CRTE ROTATION'!AK5:AK35)</f>
        <v>-24478.960500000001</v>
      </c>
    </row>
    <row r="4" spans="1:19" x14ac:dyDescent="0.25">
      <c r="A4" s="46" t="s">
        <v>82</v>
      </c>
      <c r="B4" s="41">
        <v>-30000</v>
      </c>
      <c r="C4" s="41">
        <v>-30000</v>
      </c>
      <c r="D4" s="41">
        <v>-30000</v>
      </c>
      <c r="E4" s="41">
        <v>-30000</v>
      </c>
      <c r="F4" s="41">
        <v>-30000</v>
      </c>
      <c r="G4" s="41">
        <v>-30000</v>
      </c>
      <c r="H4" s="41">
        <v>-30000</v>
      </c>
      <c r="I4" s="41">
        <v>-30000</v>
      </c>
      <c r="J4" s="41">
        <v>-30000</v>
      </c>
      <c r="K4" s="41">
        <v>-30000</v>
      </c>
      <c r="L4" s="41">
        <v>-30000</v>
      </c>
      <c r="M4" s="41">
        <v>-30000</v>
      </c>
      <c r="N4" s="41">
        <v>-30000</v>
      </c>
      <c r="O4" s="41">
        <v>-30000</v>
      </c>
      <c r="P4" s="41">
        <v>-30000</v>
      </c>
      <c r="Q4" s="47">
        <v>-30000</v>
      </c>
    </row>
    <row r="5" spans="1:19" x14ac:dyDescent="0.25">
      <c r="A5" s="46" t="s">
        <v>84</v>
      </c>
      <c r="B5" s="41">
        <f>SUM(B3:B4)</f>
        <v>78624.892700000011</v>
      </c>
      <c r="C5" s="41">
        <f t="shared" ref="C5:Q5" si="0">SUM(C3:C4)</f>
        <v>82360.474399999992</v>
      </c>
      <c r="D5" s="41">
        <f t="shared" si="0"/>
        <v>84064.841099999991</v>
      </c>
      <c r="E5" s="41">
        <f t="shared" si="0"/>
        <v>52996.599000000002</v>
      </c>
      <c r="F5" s="41">
        <f t="shared" si="0"/>
        <v>159143.50189999997</v>
      </c>
      <c r="G5" s="41">
        <f t="shared" si="0"/>
        <v>25867.925700000007</v>
      </c>
      <c r="H5" s="41">
        <f t="shared" si="0"/>
        <v>9603.459600000002</v>
      </c>
      <c r="I5" s="41">
        <f t="shared" si="0"/>
        <v>254686.68629999994</v>
      </c>
      <c r="J5" s="41">
        <f t="shared" si="0"/>
        <v>89604.436000000002</v>
      </c>
      <c r="K5" s="41">
        <f t="shared" si="0"/>
        <v>602439.70400000003</v>
      </c>
      <c r="L5" s="41">
        <f t="shared" si="0"/>
        <v>177267.50790000006</v>
      </c>
      <c r="M5" s="41">
        <f t="shared" si="0"/>
        <v>168751.11009999996</v>
      </c>
      <c r="N5" s="41">
        <f t="shared" si="0"/>
        <v>526692.13689999992</v>
      </c>
      <c r="O5" s="41">
        <f t="shared" si="0"/>
        <v>83490.745900000009</v>
      </c>
      <c r="P5" s="41">
        <f t="shared" si="0"/>
        <v>-34020.105399999993</v>
      </c>
      <c r="Q5" s="47">
        <f t="shared" si="0"/>
        <v>-54478.960500000001</v>
      </c>
    </row>
    <row r="6" spans="1:19" x14ac:dyDescent="0.25">
      <c r="A6" s="46" t="s">
        <v>79</v>
      </c>
      <c r="B6" s="41">
        <v>-77000</v>
      </c>
      <c r="C6" s="41">
        <v>-77000</v>
      </c>
      <c r="D6" s="41">
        <v>-77000</v>
      </c>
      <c r="E6" s="41">
        <v>-77000</v>
      </c>
      <c r="F6" s="41">
        <v>-77000</v>
      </c>
      <c r="G6" s="41">
        <v>-77000</v>
      </c>
      <c r="H6" s="41">
        <v>-77000</v>
      </c>
      <c r="I6" s="41">
        <v>-77000</v>
      </c>
      <c r="J6" s="41">
        <v>-77000</v>
      </c>
      <c r="K6" s="41">
        <v>-77000</v>
      </c>
      <c r="L6" s="41">
        <v>-77000</v>
      </c>
      <c r="M6" s="41">
        <v>-77000</v>
      </c>
      <c r="N6" s="41">
        <v>-77000</v>
      </c>
      <c r="O6" s="41">
        <v>-77000</v>
      </c>
      <c r="P6" s="41">
        <v>-77000</v>
      </c>
      <c r="Q6" s="47">
        <v>-77000</v>
      </c>
    </row>
    <row r="7" spans="1:19" x14ac:dyDescent="0.25">
      <c r="A7" s="46" t="s">
        <v>80</v>
      </c>
      <c r="B7" s="50">
        <v>200000</v>
      </c>
      <c r="C7" s="42">
        <f>B9</f>
        <v>181624.89270000003</v>
      </c>
      <c r="D7" s="42">
        <f>C9</f>
        <v>166985.36710000003</v>
      </c>
      <c r="E7" s="42">
        <f t="shared" ref="E7:Q7" si="1">D9</f>
        <v>154050.20820000002</v>
      </c>
      <c r="F7" s="42">
        <f t="shared" si="1"/>
        <v>110046.80720000002</v>
      </c>
      <c r="G7" s="42">
        <f t="shared" si="1"/>
        <v>172190.30910000001</v>
      </c>
      <c r="H7" s="42">
        <f t="shared" si="1"/>
        <v>101058.23480000002</v>
      </c>
      <c r="I7" s="42">
        <f t="shared" si="1"/>
        <v>13661.694400000022</v>
      </c>
      <c r="J7" s="42">
        <f t="shared" si="1"/>
        <v>171348.38069999998</v>
      </c>
      <c r="K7" s="42">
        <f t="shared" si="1"/>
        <v>163952.81669999997</v>
      </c>
      <c r="L7" s="42">
        <f t="shared" si="1"/>
        <v>669392.52069999999</v>
      </c>
      <c r="M7" s="42">
        <f t="shared" si="1"/>
        <v>749660.02860000008</v>
      </c>
      <c r="N7" s="42">
        <f t="shared" si="1"/>
        <v>821411.13870000001</v>
      </c>
      <c r="O7" s="42">
        <f>N9</f>
        <v>1251103.2755999998</v>
      </c>
      <c r="P7" s="42">
        <f t="shared" si="1"/>
        <v>1237594.0214999998</v>
      </c>
      <c r="Q7" s="48">
        <f t="shared" si="1"/>
        <v>1106573.9160999998</v>
      </c>
    </row>
    <row r="8" spans="1:19" x14ac:dyDescent="0.25">
      <c r="A8" s="54" t="s">
        <v>87</v>
      </c>
      <c r="B8" s="55">
        <v>20000</v>
      </c>
      <c r="C8" s="55">
        <v>20000</v>
      </c>
      <c r="D8" s="55">
        <v>20000</v>
      </c>
      <c r="E8" s="55">
        <v>20000</v>
      </c>
      <c r="F8" s="55">
        <v>20000</v>
      </c>
      <c r="G8" s="55">
        <v>20000</v>
      </c>
      <c r="H8" s="55">
        <v>20000</v>
      </c>
      <c r="I8" s="55">
        <v>20000</v>
      </c>
      <c r="J8" s="55">
        <v>20000</v>
      </c>
      <c r="K8" s="55">
        <v>20000</v>
      </c>
      <c r="L8" s="55">
        <v>20000</v>
      </c>
      <c r="M8" s="55">
        <v>20000</v>
      </c>
      <c r="N8" s="55">
        <v>20000</v>
      </c>
      <c r="O8" s="55">
        <v>20000</v>
      </c>
      <c r="P8" s="55">
        <v>20000</v>
      </c>
      <c r="Q8" s="56">
        <v>20000</v>
      </c>
    </row>
    <row r="9" spans="1:19" ht="18.75" thickBot="1" x14ac:dyDescent="0.3">
      <c r="A9" s="49" t="s">
        <v>81</v>
      </c>
      <c r="B9" s="51">
        <f>B7+B6+B5-B8</f>
        <v>181624.89270000003</v>
      </c>
      <c r="C9" s="51">
        <f t="shared" ref="C9:Q9" si="2">C7+C6+C5-C8</f>
        <v>166985.36710000003</v>
      </c>
      <c r="D9" s="51">
        <f t="shared" si="2"/>
        <v>154050.20820000002</v>
      </c>
      <c r="E9" s="51">
        <f t="shared" si="2"/>
        <v>110046.80720000002</v>
      </c>
      <c r="F9" s="51">
        <f t="shared" si="2"/>
        <v>172190.30910000001</v>
      </c>
      <c r="G9" s="51">
        <f t="shared" si="2"/>
        <v>101058.23480000002</v>
      </c>
      <c r="H9" s="51">
        <f t="shared" si="2"/>
        <v>13661.694400000022</v>
      </c>
      <c r="I9" s="51">
        <f t="shared" si="2"/>
        <v>171348.38069999998</v>
      </c>
      <c r="J9" s="51">
        <f t="shared" si="2"/>
        <v>163952.81669999997</v>
      </c>
      <c r="K9" s="51">
        <f t="shared" si="2"/>
        <v>669392.52069999999</v>
      </c>
      <c r="L9" s="51">
        <f t="shared" si="2"/>
        <v>749660.02860000008</v>
      </c>
      <c r="M9" s="51">
        <f t="shared" si="2"/>
        <v>821411.13870000001</v>
      </c>
      <c r="N9" s="51">
        <f t="shared" si="2"/>
        <v>1251103.2755999998</v>
      </c>
      <c r="O9" s="51">
        <f t="shared" si="2"/>
        <v>1237594.0214999998</v>
      </c>
      <c r="P9" s="51">
        <f t="shared" si="2"/>
        <v>1106573.9160999998</v>
      </c>
      <c r="Q9" s="51">
        <f t="shared" si="2"/>
        <v>955094.95559999975</v>
      </c>
      <c r="S9" s="72"/>
    </row>
    <row r="10" spans="1:19" ht="15.75" x14ac:dyDescent="0.25">
      <c r="S10" s="70"/>
    </row>
    <row r="11" spans="1:19" ht="15.75" x14ac:dyDescent="0.25">
      <c r="S11" s="71"/>
    </row>
    <row r="12" spans="1:19" ht="19.5" thickBot="1" x14ac:dyDescent="0.35">
      <c r="B12" s="77" t="s">
        <v>86</v>
      </c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S12" s="71"/>
    </row>
    <row r="13" spans="1:19" ht="15.75" x14ac:dyDescent="0.25">
      <c r="A13" s="43" t="s">
        <v>85</v>
      </c>
      <c r="B13" s="44">
        <v>2021</v>
      </c>
      <c r="C13" s="44">
        <v>2022</v>
      </c>
      <c r="D13" s="44">
        <v>2023</v>
      </c>
      <c r="E13" s="44">
        <v>2024</v>
      </c>
      <c r="F13" s="44">
        <v>2025</v>
      </c>
      <c r="G13" s="44">
        <v>2026</v>
      </c>
      <c r="H13" s="44">
        <v>2027</v>
      </c>
      <c r="I13" s="44">
        <v>2028</v>
      </c>
      <c r="J13" s="44">
        <v>2029</v>
      </c>
      <c r="K13" s="44">
        <v>2030</v>
      </c>
      <c r="L13" s="44">
        <v>2031</v>
      </c>
      <c r="M13" s="44">
        <v>2032</v>
      </c>
      <c r="N13" s="44">
        <v>2033</v>
      </c>
      <c r="O13" s="44">
        <v>2034</v>
      </c>
      <c r="P13" s="44">
        <v>2035</v>
      </c>
      <c r="Q13" s="45">
        <v>2036</v>
      </c>
      <c r="S13" s="71"/>
    </row>
    <row r="14" spans="1:19" ht="15.75" x14ac:dyDescent="0.25">
      <c r="A14" s="46" t="s">
        <v>83</v>
      </c>
      <c r="B14" s="41">
        <f>SUM('BUDGET SYLV CLASSIQUE'!G5:G35)</f>
        <v>108624.89270000001</v>
      </c>
      <c r="C14" s="41">
        <f>SUM('BUDGET SYLV CLASSIQUE'!I5:I35)</f>
        <v>129306.88079999998</v>
      </c>
      <c r="D14" s="41">
        <f>SUM('BUDGET SYLV CLASSIQUE'!K5:K35)</f>
        <v>137061.84589999999</v>
      </c>
      <c r="E14" s="41">
        <f>SUM('BUDGET SYLV CLASSIQUE'!M5:M35)</f>
        <v>4763.8990000000058</v>
      </c>
      <c r="F14" s="41">
        <f>SUM('BUDGET SYLV CLASSIQUE'!O5:O35)</f>
        <v>84192.04789999999</v>
      </c>
      <c r="G14" s="41">
        <f>SUM('BUDGET SYLV CLASSIQUE'!Q5:Q35)</f>
        <v>115606.49449999999</v>
      </c>
      <c r="H14" s="41">
        <f>SUM('BUDGET SYLV CLASSIQUE'!S5:S35)</f>
        <v>104685.17140000001</v>
      </c>
      <c r="I14" s="41">
        <f>SUM('BUDGET SYLV CLASSIQUE'!U5:U35)</f>
        <v>240272.18640000004</v>
      </c>
      <c r="J14" s="41">
        <f>SUM('BUDGET SYLV CLASSIQUE'!W5:W35)</f>
        <v>45254.461800000005</v>
      </c>
      <c r="K14" s="41">
        <f>SUM('BUDGET SYLV CLASSIQUE'!Y5:Y35)</f>
        <v>157241.25599999999</v>
      </c>
      <c r="L14" s="41">
        <f>SUM('BUDGET SYLV CLASSIQUE'!AA5:AA35)</f>
        <v>79500.732000000004</v>
      </c>
      <c r="M14" s="41">
        <f>SUM('BUDGET SYLV CLASSIQUE'!AC5:AC35)</f>
        <v>403213.57279999997</v>
      </c>
      <c r="N14" s="41">
        <f>SUM('BUDGET SYLV CLASSIQUE'!AE5:AE35)</f>
        <v>693003.71619999991</v>
      </c>
      <c r="O14" s="41">
        <f>SUM('BUDGET SYLV CLASSIQUE'!AG5:AG35)</f>
        <v>92666.428400000004</v>
      </c>
      <c r="P14" s="41">
        <f>SUM('BUDGET SYLV CLASSIQUE'!AI5:AI35)</f>
        <v>175308.03580000004</v>
      </c>
      <c r="Q14" s="47">
        <f>SUM('BUDGET SYLV CLASSIQUE'!AK5:AK35)</f>
        <v>-7029.9994000000024</v>
      </c>
      <c r="S14" s="71"/>
    </row>
    <row r="15" spans="1:19" ht="15.75" x14ac:dyDescent="0.25">
      <c r="A15" s="46" t="s">
        <v>82</v>
      </c>
      <c r="B15" s="41">
        <v>-30000</v>
      </c>
      <c r="C15" s="41">
        <v>-30000</v>
      </c>
      <c r="D15" s="41">
        <v>-30000</v>
      </c>
      <c r="E15" s="41">
        <v>-30000</v>
      </c>
      <c r="F15" s="41">
        <v>-30000</v>
      </c>
      <c r="G15" s="41">
        <v>-30000</v>
      </c>
      <c r="H15" s="41">
        <v>-30000</v>
      </c>
      <c r="I15" s="41">
        <v>-30000</v>
      </c>
      <c r="J15" s="41">
        <v>-30000</v>
      </c>
      <c r="K15" s="41">
        <v>-30000</v>
      </c>
      <c r="L15" s="41">
        <v>-30000</v>
      </c>
      <c r="M15" s="41">
        <v>-30000</v>
      </c>
      <c r="N15" s="41">
        <v>-30000</v>
      </c>
      <c r="O15" s="41">
        <v>-30000</v>
      </c>
      <c r="P15" s="41">
        <v>-30000</v>
      </c>
      <c r="Q15" s="47">
        <v>-30000</v>
      </c>
      <c r="S15" s="71"/>
    </row>
    <row r="16" spans="1:19" ht="15.75" x14ac:dyDescent="0.25">
      <c r="A16" s="46" t="s">
        <v>84</v>
      </c>
      <c r="B16" s="41">
        <f>SUM(B14:B15)</f>
        <v>78624.892700000011</v>
      </c>
      <c r="C16" s="41">
        <f t="shared" ref="C16:Q16" si="3">SUM(C14:C15)</f>
        <v>99306.880799999984</v>
      </c>
      <c r="D16" s="41">
        <f t="shared" si="3"/>
        <v>107061.84589999999</v>
      </c>
      <c r="E16" s="41">
        <f t="shared" si="3"/>
        <v>-25236.100999999995</v>
      </c>
      <c r="F16" s="41">
        <f t="shared" si="3"/>
        <v>54192.04789999999</v>
      </c>
      <c r="G16" s="41">
        <f t="shared" si="3"/>
        <v>85606.494499999986</v>
      </c>
      <c r="H16" s="41">
        <f t="shared" si="3"/>
        <v>74685.171400000007</v>
      </c>
      <c r="I16" s="41">
        <f t="shared" si="3"/>
        <v>210272.18640000004</v>
      </c>
      <c r="J16" s="41">
        <f t="shared" si="3"/>
        <v>15254.461800000005</v>
      </c>
      <c r="K16" s="41">
        <f t="shared" si="3"/>
        <v>127241.25599999999</v>
      </c>
      <c r="L16" s="41">
        <f t="shared" si="3"/>
        <v>49500.732000000004</v>
      </c>
      <c r="M16" s="41">
        <f t="shared" si="3"/>
        <v>373213.57279999997</v>
      </c>
      <c r="N16" s="41">
        <f t="shared" si="3"/>
        <v>663003.71619999991</v>
      </c>
      <c r="O16" s="41">
        <f t="shared" si="3"/>
        <v>62666.428400000004</v>
      </c>
      <c r="P16" s="41">
        <f t="shared" si="3"/>
        <v>145308.03580000004</v>
      </c>
      <c r="Q16" s="41">
        <f t="shared" si="3"/>
        <v>-37029.999400000001</v>
      </c>
      <c r="S16" s="71"/>
    </row>
    <row r="17" spans="1:19" ht="15.75" x14ac:dyDescent="0.25">
      <c r="A17" s="46" t="s">
        <v>79</v>
      </c>
      <c r="B17" s="41">
        <v>-77000</v>
      </c>
      <c r="C17" s="41">
        <v>-77000</v>
      </c>
      <c r="D17" s="41">
        <v>-77000</v>
      </c>
      <c r="E17" s="41">
        <v>-77000</v>
      </c>
      <c r="F17" s="41">
        <v>-77000</v>
      </c>
      <c r="G17" s="41">
        <v>-77000</v>
      </c>
      <c r="H17" s="41">
        <v>-77000</v>
      </c>
      <c r="I17" s="41">
        <v>-77000</v>
      </c>
      <c r="J17" s="41">
        <v>-77000</v>
      </c>
      <c r="K17" s="41">
        <v>-77000</v>
      </c>
      <c r="L17" s="41">
        <v>-77000</v>
      </c>
      <c r="M17" s="41">
        <v>-77000</v>
      </c>
      <c r="N17" s="41">
        <v>-77000</v>
      </c>
      <c r="O17" s="41">
        <v>-77000</v>
      </c>
      <c r="P17" s="41">
        <v>-77000</v>
      </c>
      <c r="Q17" s="47">
        <v>-77000</v>
      </c>
      <c r="S17" s="71"/>
    </row>
    <row r="18" spans="1:19" ht="15.75" x14ac:dyDescent="0.25">
      <c r="A18" s="46" t="s">
        <v>80</v>
      </c>
      <c r="B18" s="50">
        <v>200000</v>
      </c>
      <c r="C18" s="41">
        <f>B20</f>
        <v>181624.89270000003</v>
      </c>
      <c r="D18" s="41">
        <f t="shared" ref="D18:Q18" si="4">C20</f>
        <v>183931.77350000001</v>
      </c>
      <c r="E18" s="41">
        <f t="shared" si="4"/>
        <v>193993.6194</v>
      </c>
      <c r="F18" s="41">
        <f t="shared" si="4"/>
        <v>71757.518400000001</v>
      </c>
      <c r="G18" s="41">
        <f t="shared" si="4"/>
        <v>28949.566299999991</v>
      </c>
      <c r="H18" s="41">
        <f t="shared" si="4"/>
        <v>17556.060799999977</v>
      </c>
      <c r="I18" s="41">
        <f t="shared" si="4"/>
        <v>-4758.767800000016</v>
      </c>
      <c r="J18" s="41">
        <f t="shared" si="4"/>
        <v>108513.41860000002</v>
      </c>
      <c r="K18" s="41">
        <f t="shared" si="4"/>
        <v>26767.880400000024</v>
      </c>
      <c r="L18" s="41">
        <f t="shared" si="4"/>
        <v>57009.136400000018</v>
      </c>
      <c r="M18" s="41">
        <f t="shared" si="4"/>
        <v>9509.8684000000212</v>
      </c>
      <c r="N18" s="41">
        <f t="shared" si="4"/>
        <v>285723.4412</v>
      </c>
      <c r="O18" s="41">
        <f t="shared" si="4"/>
        <v>851727.15739999991</v>
      </c>
      <c r="P18" s="41">
        <f t="shared" si="4"/>
        <v>817393.58579999988</v>
      </c>
      <c r="Q18" s="47">
        <f t="shared" si="4"/>
        <v>865701.62159999995</v>
      </c>
      <c r="S18" s="71"/>
    </row>
    <row r="19" spans="1:19" ht="15.75" x14ac:dyDescent="0.25">
      <c r="A19" s="54" t="str">
        <f>A8</f>
        <v>Dividende</v>
      </c>
      <c r="B19" s="55">
        <f>B8</f>
        <v>20000</v>
      </c>
      <c r="C19" s="55">
        <f t="shared" ref="C19:Q19" si="5">C8</f>
        <v>20000</v>
      </c>
      <c r="D19" s="55">
        <f t="shared" si="5"/>
        <v>20000</v>
      </c>
      <c r="E19" s="55">
        <f t="shared" si="5"/>
        <v>20000</v>
      </c>
      <c r="F19" s="55">
        <f t="shared" si="5"/>
        <v>20000</v>
      </c>
      <c r="G19" s="55">
        <f t="shared" si="5"/>
        <v>20000</v>
      </c>
      <c r="H19" s="55">
        <f t="shared" si="5"/>
        <v>20000</v>
      </c>
      <c r="I19" s="55">
        <f t="shared" si="5"/>
        <v>20000</v>
      </c>
      <c r="J19" s="55">
        <f t="shared" si="5"/>
        <v>20000</v>
      </c>
      <c r="K19" s="55">
        <f t="shared" si="5"/>
        <v>20000</v>
      </c>
      <c r="L19" s="55">
        <f t="shared" si="5"/>
        <v>20000</v>
      </c>
      <c r="M19" s="55">
        <f t="shared" si="5"/>
        <v>20000</v>
      </c>
      <c r="N19" s="55">
        <f t="shared" si="5"/>
        <v>20000</v>
      </c>
      <c r="O19" s="55">
        <f t="shared" si="5"/>
        <v>20000</v>
      </c>
      <c r="P19" s="55">
        <f t="shared" si="5"/>
        <v>20000</v>
      </c>
      <c r="Q19" s="56">
        <f t="shared" si="5"/>
        <v>20000</v>
      </c>
      <c r="S19" s="71"/>
    </row>
    <row r="20" spans="1:19" ht="16.5" thickBot="1" x14ac:dyDescent="0.3">
      <c r="A20" s="49" t="s">
        <v>81</v>
      </c>
      <c r="B20" s="51">
        <f>B16+B17+B18-B19</f>
        <v>181624.89270000003</v>
      </c>
      <c r="C20" s="51">
        <f t="shared" ref="C20:Q20" si="6">C16+C17+C18-C19</f>
        <v>183931.77350000001</v>
      </c>
      <c r="D20" s="51">
        <f>D16+D17+D18-D19</f>
        <v>193993.6194</v>
      </c>
      <c r="E20" s="51">
        <f t="shared" si="6"/>
        <v>71757.518400000001</v>
      </c>
      <c r="F20" s="51">
        <f t="shared" si="6"/>
        <v>28949.566299999991</v>
      </c>
      <c r="G20" s="51">
        <f t="shared" si="6"/>
        <v>17556.060799999977</v>
      </c>
      <c r="H20" s="51">
        <f t="shared" si="6"/>
        <v>-4758.767800000016</v>
      </c>
      <c r="I20" s="51">
        <f t="shared" si="6"/>
        <v>108513.41860000002</v>
      </c>
      <c r="J20" s="51">
        <f t="shared" si="6"/>
        <v>26767.880400000024</v>
      </c>
      <c r="K20" s="51">
        <f t="shared" si="6"/>
        <v>57009.136400000018</v>
      </c>
      <c r="L20" s="51">
        <f t="shared" si="6"/>
        <v>9509.8684000000212</v>
      </c>
      <c r="M20" s="51">
        <f t="shared" si="6"/>
        <v>285723.4412</v>
      </c>
      <c r="N20" s="51">
        <f t="shared" si="6"/>
        <v>851727.15739999991</v>
      </c>
      <c r="O20" s="51">
        <f t="shared" si="6"/>
        <v>817393.58579999988</v>
      </c>
      <c r="P20" s="51">
        <f t="shared" si="6"/>
        <v>865701.62159999995</v>
      </c>
      <c r="Q20" s="51">
        <f t="shared" si="6"/>
        <v>731671.62219999998</v>
      </c>
      <c r="S20" s="71"/>
    </row>
    <row r="21" spans="1:19" ht="18" x14ac:dyDescent="0.25">
      <c r="S21" s="73"/>
    </row>
    <row r="22" spans="1:19" ht="15.75" x14ac:dyDescent="0.25">
      <c r="S22" s="70"/>
    </row>
  </sheetData>
  <mergeCells count="2">
    <mergeCell ref="B12:Q12"/>
    <mergeCell ref="B1:Q1"/>
  </mergeCells>
  <pageMargins left="0.25" right="0.25" top="0.75" bottom="0.75" header="0.3" footer="0.3"/>
  <pageSetup paperSize="8" scale="87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3"/>
  <sheetViews>
    <sheetView workbookViewId="0">
      <selection activeCell="D28" sqref="D28"/>
    </sheetView>
  </sheetViews>
  <sheetFormatPr baseColWidth="10" defaultRowHeight="15" x14ac:dyDescent="0.25"/>
  <cols>
    <col min="1" max="1" width="15.5703125" customWidth="1"/>
    <col min="2" max="2" width="17.85546875" customWidth="1"/>
    <col min="3" max="3" width="17.7109375" customWidth="1"/>
    <col min="4" max="4" width="24.28515625" bestFit="1" customWidth="1"/>
    <col min="7" max="7" width="15.85546875" customWidth="1"/>
    <col min="8" max="8" width="20.85546875" customWidth="1"/>
    <col min="9" max="9" width="28" customWidth="1"/>
    <col min="10" max="10" width="24.28515625" bestFit="1" customWidth="1"/>
  </cols>
  <sheetData>
    <row r="1" spans="1:11" ht="15.75" thickBot="1" x14ac:dyDescent="0.3"/>
    <row r="2" spans="1:11" ht="42" customHeight="1" thickBot="1" x14ac:dyDescent="0.3">
      <c r="B2" s="88" t="s">
        <v>62</v>
      </c>
      <c r="C2" s="89"/>
      <c r="D2" s="68"/>
      <c r="H2" s="85" t="s">
        <v>96</v>
      </c>
      <c r="I2" s="86"/>
      <c r="J2" s="87"/>
    </row>
    <row r="3" spans="1:11" x14ac:dyDescent="0.25">
      <c r="B3" s="59"/>
    </row>
    <row r="4" spans="1:11" x14ac:dyDescent="0.25">
      <c r="A4" s="5" t="s">
        <v>85</v>
      </c>
      <c r="B4" s="6" t="s">
        <v>61</v>
      </c>
      <c r="C4" s="6" t="s">
        <v>60</v>
      </c>
      <c r="D4" s="6" t="s">
        <v>77</v>
      </c>
      <c r="E4" s="6" t="s">
        <v>93</v>
      </c>
      <c r="G4" s="5" t="s">
        <v>85</v>
      </c>
      <c r="H4" s="6" t="s">
        <v>61</v>
      </c>
      <c r="I4" s="57" t="s">
        <v>60</v>
      </c>
      <c r="J4" s="5" t="s">
        <v>77</v>
      </c>
      <c r="K4" s="5" t="s">
        <v>93</v>
      </c>
    </row>
    <row r="5" spans="1:11" x14ac:dyDescent="0.25">
      <c r="A5" s="6">
        <v>2021</v>
      </c>
      <c r="B5" s="14">
        <f>'BUDGET SYLV CLASSIQUE'!B60</f>
        <v>78624.892700000011</v>
      </c>
      <c r="C5" s="14">
        <f>B5</f>
        <v>78624.892700000011</v>
      </c>
      <c r="D5" s="14">
        <v>77000</v>
      </c>
      <c r="E5" s="27">
        <f t="shared" ref="E5:E20" si="0">B5-D5</f>
        <v>1624.8927000000112</v>
      </c>
      <c r="F5" s="3"/>
      <c r="G5" s="6">
        <v>2021</v>
      </c>
      <c r="H5" s="28">
        <f>'BUDGET SYLV CRTE ROTATION'!B40</f>
        <v>78624.892700000011</v>
      </c>
      <c r="I5" s="28">
        <f>H5</f>
        <v>78624.892700000011</v>
      </c>
      <c r="J5" s="58">
        <v>77000</v>
      </c>
      <c r="K5" s="27">
        <f>H5-J5</f>
        <v>1624.8927000000112</v>
      </c>
    </row>
    <row r="6" spans="1:11" x14ac:dyDescent="0.25">
      <c r="A6" s="6">
        <v>2022</v>
      </c>
      <c r="B6" s="14">
        <f>'BUDGET SYLV CLASSIQUE'!B61</f>
        <v>99306.880799999984</v>
      </c>
      <c r="C6" s="14">
        <f>B6+C5</f>
        <v>177931.77350000001</v>
      </c>
      <c r="D6" s="14">
        <v>77000</v>
      </c>
      <c r="E6" s="27">
        <f t="shared" si="0"/>
        <v>22306.880799999984</v>
      </c>
      <c r="G6" s="6">
        <v>2022</v>
      </c>
      <c r="H6" s="28">
        <f>'BUDGET SYLV CRTE ROTATION'!B41</f>
        <v>82360.474399999992</v>
      </c>
      <c r="I6" s="28">
        <f>H6+I5</f>
        <v>160985.3671</v>
      </c>
      <c r="J6" s="58">
        <v>77000</v>
      </c>
      <c r="K6" s="27">
        <f t="shared" ref="K6:K20" si="1">H6-J6</f>
        <v>5360.4743999999919</v>
      </c>
    </row>
    <row r="7" spans="1:11" x14ac:dyDescent="0.25">
      <c r="A7" s="6">
        <v>2023</v>
      </c>
      <c r="B7" s="14">
        <f>'BUDGET SYLV CLASSIQUE'!B62</f>
        <v>107061.84589999999</v>
      </c>
      <c r="C7" s="14">
        <f t="shared" ref="C7:C20" si="2">B7+C6</f>
        <v>284993.61939999997</v>
      </c>
      <c r="D7" s="14">
        <v>77000</v>
      </c>
      <c r="E7" s="27">
        <f t="shared" si="0"/>
        <v>30061.845899999986</v>
      </c>
      <c r="G7" s="6">
        <v>2023</v>
      </c>
      <c r="H7" s="28">
        <f>'BUDGET SYLV CRTE ROTATION'!B42</f>
        <v>84064.841099999991</v>
      </c>
      <c r="I7" s="28">
        <f t="shared" ref="I7:I20" si="3">H7+I6</f>
        <v>245050.20819999999</v>
      </c>
      <c r="J7" s="58">
        <v>77000</v>
      </c>
      <c r="K7" s="27">
        <f t="shared" si="1"/>
        <v>7064.8410999999905</v>
      </c>
    </row>
    <row r="8" spans="1:11" x14ac:dyDescent="0.25">
      <c r="A8" s="6">
        <v>2024</v>
      </c>
      <c r="B8" s="14">
        <f>'BUDGET SYLV CLASSIQUE'!B63</f>
        <v>-25236.100999999995</v>
      </c>
      <c r="C8" s="14">
        <f t="shared" si="2"/>
        <v>259757.51839999997</v>
      </c>
      <c r="D8" s="14">
        <v>77000</v>
      </c>
      <c r="E8" s="27">
        <f t="shared" si="0"/>
        <v>-102236.101</v>
      </c>
      <c r="G8" s="6">
        <v>2024</v>
      </c>
      <c r="H8" s="28">
        <f>'BUDGET SYLV CRTE ROTATION'!B43</f>
        <v>52996.599000000002</v>
      </c>
      <c r="I8" s="28">
        <f t="shared" si="3"/>
        <v>298046.80719999998</v>
      </c>
      <c r="J8" s="58">
        <v>77000</v>
      </c>
      <c r="K8" s="27">
        <f t="shared" si="1"/>
        <v>-24003.400999999998</v>
      </c>
    </row>
    <row r="9" spans="1:11" x14ac:dyDescent="0.25">
      <c r="A9" s="6">
        <v>2025</v>
      </c>
      <c r="B9" s="14">
        <f>'BUDGET SYLV CLASSIQUE'!B64</f>
        <v>54192.04789999999</v>
      </c>
      <c r="C9" s="14">
        <f t="shared" si="2"/>
        <v>313949.56629999995</v>
      </c>
      <c r="D9" s="14">
        <v>77000</v>
      </c>
      <c r="E9" s="27">
        <f t="shared" si="0"/>
        <v>-22807.95210000001</v>
      </c>
      <c r="G9" s="6">
        <v>2025</v>
      </c>
      <c r="H9" s="28">
        <f>'BUDGET SYLV CRTE ROTATION'!B44</f>
        <v>159143.50189999997</v>
      </c>
      <c r="I9" s="28">
        <f t="shared" si="3"/>
        <v>457190.30909999995</v>
      </c>
      <c r="J9" s="58">
        <v>77000</v>
      </c>
      <c r="K9" s="27">
        <f t="shared" si="1"/>
        <v>82143.501899999974</v>
      </c>
    </row>
    <row r="10" spans="1:11" x14ac:dyDescent="0.25">
      <c r="A10" s="6">
        <v>2026</v>
      </c>
      <c r="B10" s="14">
        <f>'BUDGET SYLV CLASSIQUE'!B65</f>
        <v>85606.494499999986</v>
      </c>
      <c r="C10" s="14">
        <f t="shared" si="2"/>
        <v>399556.06079999992</v>
      </c>
      <c r="D10" s="14">
        <v>77000</v>
      </c>
      <c r="E10" s="27">
        <f t="shared" si="0"/>
        <v>8606.4944999999861</v>
      </c>
      <c r="G10" s="6">
        <v>2026</v>
      </c>
      <c r="H10" s="28">
        <f>'BUDGET SYLV CRTE ROTATION'!B45</f>
        <v>25867.925700000007</v>
      </c>
      <c r="I10" s="28">
        <f t="shared" si="3"/>
        <v>483058.23479999998</v>
      </c>
      <c r="J10" s="58">
        <v>77000</v>
      </c>
      <c r="K10" s="27">
        <f t="shared" si="1"/>
        <v>-51132.074299999993</v>
      </c>
    </row>
    <row r="11" spans="1:11" x14ac:dyDescent="0.25">
      <c r="A11" s="6">
        <v>2027</v>
      </c>
      <c r="B11" s="14">
        <f>'BUDGET SYLV CLASSIQUE'!B66</f>
        <v>74685.171400000007</v>
      </c>
      <c r="C11" s="14">
        <f t="shared" si="2"/>
        <v>474241.23219999991</v>
      </c>
      <c r="D11" s="14">
        <v>77000</v>
      </c>
      <c r="E11" s="27">
        <f t="shared" si="0"/>
        <v>-2314.8285999999935</v>
      </c>
      <c r="G11" s="6">
        <v>2027</v>
      </c>
      <c r="H11" s="28">
        <f>'BUDGET SYLV CRTE ROTATION'!B46</f>
        <v>9603.459600000002</v>
      </c>
      <c r="I11" s="28">
        <f t="shared" si="3"/>
        <v>492661.69439999998</v>
      </c>
      <c r="J11" s="58">
        <v>77000</v>
      </c>
      <c r="K11" s="27">
        <f t="shared" si="1"/>
        <v>-67396.540399999998</v>
      </c>
    </row>
    <row r="12" spans="1:11" x14ac:dyDescent="0.25">
      <c r="A12" s="6">
        <v>2028</v>
      </c>
      <c r="B12" s="14">
        <f>'BUDGET SYLV CLASSIQUE'!B67</f>
        <v>210272.18640000004</v>
      </c>
      <c r="C12" s="14">
        <f t="shared" si="2"/>
        <v>684513.41859999998</v>
      </c>
      <c r="D12" s="14">
        <v>77000</v>
      </c>
      <c r="E12" s="27">
        <f t="shared" si="0"/>
        <v>133272.18640000004</v>
      </c>
      <c r="G12" s="6">
        <v>2028</v>
      </c>
      <c r="H12" s="28">
        <f>'BUDGET SYLV CRTE ROTATION'!B47</f>
        <v>254686.68629999994</v>
      </c>
      <c r="I12" s="28">
        <f t="shared" si="3"/>
        <v>747348.38069999986</v>
      </c>
      <c r="J12" s="58">
        <v>77000</v>
      </c>
      <c r="K12" s="27">
        <f t="shared" si="1"/>
        <v>177686.68629999994</v>
      </c>
    </row>
    <row r="13" spans="1:11" x14ac:dyDescent="0.25">
      <c r="A13" s="6">
        <v>2029</v>
      </c>
      <c r="B13" s="14">
        <f>'BUDGET SYLV CLASSIQUE'!B68</f>
        <v>15254.461800000005</v>
      </c>
      <c r="C13" s="14">
        <f t="shared" si="2"/>
        <v>699767.88040000002</v>
      </c>
      <c r="D13" s="14">
        <v>77000</v>
      </c>
      <c r="E13" s="27">
        <f t="shared" si="0"/>
        <v>-61745.538199999995</v>
      </c>
      <c r="G13" s="6">
        <v>2029</v>
      </c>
      <c r="H13" s="28">
        <f>'BUDGET SYLV CRTE ROTATION'!B48</f>
        <v>89604.436000000002</v>
      </c>
      <c r="I13" s="28">
        <f t="shared" si="3"/>
        <v>836952.81669999985</v>
      </c>
      <c r="J13" s="58">
        <v>77000</v>
      </c>
      <c r="K13" s="27">
        <f t="shared" si="1"/>
        <v>12604.436000000002</v>
      </c>
    </row>
    <row r="14" spans="1:11" x14ac:dyDescent="0.25">
      <c r="A14" s="6">
        <v>2030</v>
      </c>
      <c r="B14" s="14">
        <f>'BUDGET SYLV CLASSIQUE'!B69</f>
        <v>127241.25599999999</v>
      </c>
      <c r="C14" s="14">
        <f t="shared" si="2"/>
        <v>827009.13639999996</v>
      </c>
      <c r="D14" s="14">
        <v>77000</v>
      </c>
      <c r="E14" s="27">
        <f t="shared" si="0"/>
        <v>50241.255999999994</v>
      </c>
      <c r="G14" s="6">
        <v>2030</v>
      </c>
      <c r="H14" s="28">
        <f>'BUDGET SYLV CRTE ROTATION'!B49</f>
        <v>602439.70400000003</v>
      </c>
      <c r="I14" s="28">
        <f t="shared" si="3"/>
        <v>1439392.5206999998</v>
      </c>
      <c r="J14" s="58">
        <v>77000</v>
      </c>
      <c r="K14" s="27">
        <f t="shared" si="1"/>
        <v>525439.70400000003</v>
      </c>
    </row>
    <row r="15" spans="1:11" x14ac:dyDescent="0.25">
      <c r="A15" s="6">
        <v>2031</v>
      </c>
      <c r="B15" s="14">
        <f>'BUDGET SYLV CLASSIQUE'!B70</f>
        <v>49500.732000000004</v>
      </c>
      <c r="C15" s="14">
        <f t="shared" si="2"/>
        <v>876509.86839999992</v>
      </c>
      <c r="D15" s="14">
        <v>77000</v>
      </c>
      <c r="E15" s="27">
        <f t="shared" si="0"/>
        <v>-27499.267999999996</v>
      </c>
      <c r="G15" s="6">
        <v>2031</v>
      </c>
      <c r="H15" s="28">
        <f>'BUDGET SYLV CRTE ROTATION'!B50</f>
        <v>177267.50790000006</v>
      </c>
      <c r="I15" s="28">
        <f t="shared" si="3"/>
        <v>1616660.0285999998</v>
      </c>
      <c r="J15" s="58">
        <v>77000</v>
      </c>
      <c r="K15" s="27">
        <f t="shared" si="1"/>
        <v>100267.50790000006</v>
      </c>
    </row>
    <row r="16" spans="1:11" x14ac:dyDescent="0.25">
      <c r="A16" s="6">
        <v>2032</v>
      </c>
      <c r="B16" s="14">
        <f>'BUDGET SYLV CLASSIQUE'!B71</f>
        <v>373213.57279999997</v>
      </c>
      <c r="C16" s="14">
        <f t="shared" si="2"/>
        <v>1249723.4411999998</v>
      </c>
      <c r="D16" s="14">
        <v>77000</v>
      </c>
      <c r="E16" s="27">
        <f t="shared" si="0"/>
        <v>296213.57279999997</v>
      </c>
      <c r="G16" s="6">
        <v>2032</v>
      </c>
      <c r="H16" s="28">
        <f>'BUDGET SYLV CRTE ROTATION'!B51</f>
        <v>168751.11009999996</v>
      </c>
      <c r="I16" s="28">
        <f t="shared" si="3"/>
        <v>1785411.1386999998</v>
      </c>
      <c r="J16" s="58">
        <v>77000</v>
      </c>
      <c r="K16" s="27">
        <f t="shared" si="1"/>
        <v>91751.110099999962</v>
      </c>
    </row>
    <row r="17" spans="1:11" x14ac:dyDescent="0.25">
      <c r="A17" s="6">
        <v>2033</v>
      </c>
      <c r="B17" s="14">
        <f>'BUDGET SYLV CLASSIQUE'!B72</f>
        <v>663003.71619999991</v>
      </c>
      <c r="C17" s="14">
        <f t="shared" si="2"/>
        <v>1912727.1573999997</v>
      </c>
      <c r="D17" s="14">
        <v>77000</v>
      </c>
      <c r="E17" s="27">
        <f t="shared" si="0"/>
        <v>586003.71619999991</v>
      </c>
      <c r="G17" s="6">
        <v>2033</v>
      </c>
      <c r="H17" s="28">
        <f>'BUDGET SYLV CRTE ROTATION'!B52</f>
        <v>526692.13689999992</v>
      </c>
      <c r="I17" s="28">
        <f t="shared" si="3"/>
        <v>2312103.2755999998</v>
      </c>
      <c r="J17" s="58">
        <v>77000</v>
      </c>
      <c r="K17" s="27">
        <f t="shared" si="1"/>
        <v>449692.13689999992</v>
      </c>
    </row>
    <row r="18" spans="1:11" x14ac:dyDescent="0.25">
      <c r="A18" s="6">
        <v>2034</v>
      </c>
      <c r="B18" s="14">
        <f>'BUDGET SYLV CLASSIQUE'!B73</f>
        <v>62666.428400000004</v>
      </c>
      <c r="C18" s="14">
        <f t="shared" si="2"/>
        <v>1975393.5857999998</v>
      </c>
      <c r="D18" s="14">
        <v>77000</v>
      </c>
      <c r="E18" s="27">
        <f t="shared" si="0"/>
        <v>-14333.571599999996</v>
      </c>
      <c r="G18" s="6">
        <v>2034</v>
      </c>
      <c r="H18" s="28">
        <f>'BUDGET SYLV CRTE ROTATION'!B53</f>
        <v>83490.745900000009</v>
      </c>
      <c r="I18" s="28">
        <f t="shared" si="3"/>
        <v>2395594.0214999998</v>
      </c>
      <c r="J18" s="58">
        <v>77000</v>
      </c>
      <c r="K18" s="27">
        <f t="shared" si="1"/>
        <v>6490.745900000009</v>
      </c>
    </row>
    <row r="19" spans="1:11" x14ac:dyDescent="0.25">
      <c r="A19" s="6">
        <v>2035</v>
      </c>
      <c r="B19" s="14">
        <f>'BUDGET SYLV CLASSIQUE'!B74</f>
        <v>145308.03580000004</v>
      </c>
      <c r="C19" s="14">
        <f t="shared" si="2"/>
        <v>2120701.6215999997</v>
      </c>
      <c r="D19" s="14">
        <v>77000</v>
      </c>
      <c r="E19" s="27">
        <f t="shared" si="0"/>
        <v>68308.035800000041</v>
      </c>
      <c r="G19" s="6">
        <v>2035</v>
      </c>
      <c r="H19" s="28">
        <f>'BUDGET SYLV CRTE ROTATION'!B54</f>
        <v>-34020.105399999993</v>
      </c>
      <c r="I19" s="28">
        <f t="shared" si="3"/>
        <v>2361573.9161</v>
      </c>
      <c r="J19" s="58">
        <v>77000</v>
      </c>
      <c r="K19" s="27">
        <f t="shared" si="1"/>
        <v>-111020.1054</v>
      </c>
    </row>
    <row r="20" spans="1:11" x14ac:dyDescent="0.25">
      <c r="A20" s="6">
        <v>2036</v>
      </c>
      <c r="B20" s="14">
        <f>'BUDGET SYLV CLASSIQUE'!B75</f>
        <v>-37029.999400000001</v>
      </c>
      <c r="C20" s="14">
        <f t="shared" si="2"/>
        <v>2083671.6221999996</v>
      </c>
      <c r="D20" s="14">
        <v>77000</v>
      </c>
      <c r="E20" s="27">
        <f t="shared" si="0"/>
        <v>-114029.9994</v>
      </c>
      <c r="G20" s="6">
        <v>2036</v>
      </c>
      <c r="H20" s="28">
        <f>'BUDGET SYLV CRTE ROTATION'!B55</f>
        <v>-54478.960500000001</v>
      </c>
      <c r="I20" s="28">
        <f t="shared" si="3"/>
        <v>2307094.9556</v>
      </c>
      <c r="J20" s="58">
        <v>77000</v>
      </c>
      <c r="K20" s="27">
        <f t="shared" si="1"/>
        <v>-131478.96049999999</v>
      </c>
    </row>
    <row r="21" spans="1:11" x14ac:dyDescent="0.25">
      <c r="A21" s="5" t="s">
        <v>94</v>
      </c>
      <c r="B21" s="14">
        <f>SUM(B5:B20)</f>
        <v>2083671.6221999996</v>
      </c>
      <c r="C21" s="7" t="s">
        <v>95</v>
      </c>
      <c r="D21" s="26">
        <f>SUM(D5:D20)</f>
        <v>1232000</v>
      </c>
      <c r="E21" s="27">
        <f>SUM(E5:E20)</f>
        <v>851671.62219999998</v>
      </c>
      <c r="G21" s="5" t="s">
        <v>94</v>
      </c>
      <c r="H21" s="14">
        <f>SUM(H5:H20)</f>
        <v>2307094.9556</v>
      </c>
      <c r="I21" s="6" t="s">
        <v>95</v>
      </c>
      <c r="J21" s="58">
        <f>SUM(J5:J20)</f>
        <v>1232000</v>
      </c>
      <c r="K21" s="27">
        <f>SUM(K5:K20)</f>
        <v>1075094.9555999998</v>
      </c>
    </row>
    <row r="23" spans="1:11" x14ac:dyDescent="0.25">
      <c r="G23" s="29"/>
    </row>
  </sheetData>
  <mergeCells count="2">
    <mergeCell ref="H2:J2"/>
    <mergeCell ref="B2:C2"/>
  </mergeCells>
  <pageMargins left="0.25" right="0.25" top="0.75" bottom="0.75" header="0.3" footer="0.3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23"/>
  <sheetViews>
    <sheetView workbookViewId="0">
      <selection activeCell="D27" sqref="D27"/>
    </sheetView>
  </sheetViews>
  <sheetFormatPr baseColWidth="10" defaultRowHeight="15" x14ac:dyDescent="0.25"/>
  <cols>
    <col min="1" max="1" width="18.140625" customWidth="1"/>
    <col min="2" max="2" width="12.7109375" customWidth="1"/>
    <col min="3" max="3" width="22.5703125" customWidth="1"/>
    <col min="5" max="5" width="14.140625" bestFit="1" customWidth="1"/>
  </cols>
  <sheetData>
    <row r="2" spans="1:14" x14ac:dyDescent="0.25">
      <c r="A2" t="s">
        <v>45</v>
      </c>
      <c r="B2" s="2">
        <v>2021</v>
      </c>
    </row>
    <row r="4" spans="1:14" ht="18.75" x14ac:dyDescent="0.3">
      <c r="A4" s="10" t="s">
        <v>14</v>
      </c>
      <c r="K4" s="90" t="s">
        <v>72</v>
      </c>
      <c r="L4" s="90"/>
    </row>
    <row r="5" spans="1:14" x14ac:dyDescent="0.25">
      <c r="A5" s="5" t="s">
        <v>15</v>
      </c>
      <c r="B5" s="13" t="s">
        <v>30</v>
      </c>
      <c r="C5" s="12">
        <v>0.8</v>
      </c>
      <c r="D5" s="11"/>
      <c r="E5" s="8" t="s">
        <v>90</v>
      </c>
      <c r="F5" s="8" t="s">
        <v>19</v>
      </c>
      <c r="G5" s="8" t="s">
        <v>63</v>
      </c>
      <c r="H5" s="8" t="s">
        <v>64</v>
      </c>
      <c r="I5" s="8" t="s">
        <v>68</v>
      </c>
      <c r="J5" s="8" t="s">
        <v>69</v>
      </c>
      <c r="K5" s="35" t="s">
        <v>70</v>
      </c>
      <c r="L5" s="35" t="s">
        <v>71</v>
      </c>
      <c r="M5" s="8" t="s">
        <v>73</v>
      </c>
      <c r="N5" s="8"/>
    </row>
    <row r="6" spans="1:14" x14ac:dyDescent="0.25">
      <c r="A6" s="5" t="s">
        <v>34</v>
      </c>
      <c r="B6" s="14">
        <f>E6*F6*$C$5</f>
        <v>576</v>
      </c>
      <c r="C6" t="s">
        <v>13</v>
      </c>
      <c r="D6" s="1" t="s">
        <v>5</v>
      </c>
      <c r="E6" s="2">
        <v>60</v>
      </c>
      <c r="F6" s="9">
        <v>12</v>
      </c>
      <c r="G6" s="1">
        <f>E6*0.55</f>
        <v>33</v>
      </c>
      <c r="H6" s="33">
        <f>F6/0.55</f>
        <v>21.818181818181817</v>
      </c>
      <c r="I6" s="34">
        <f t="shared" ref="I6:I11" si="0">E6*$I$22</f>
        <v>37.200000000000003</v>
      </c>
      <c r="J6" s="33">
        <f t="shared" ref="J6:J11" si="1">F6/$I$22</f>
        <v>19.35483870967742</v>
      </c>
      <c r="K6" s="36">
        <v>12</v>
      </c>
      <c r="L6" s="37">
        <f>K6/0.62</f>
        <v>19.35483870967742</v>
      </c>
      <c r="M6" s="30">
        <f>K6/0.55</f>
        <v>21.818181818181817</v>
      </c>
    </row>
    <row r="7" spans="1:14" x14ac:dyDescent="0.25">
      <c r="A7" s="5" t="s">
        <v>35</v>
      </c>
      <c r="B7" s="14">
        <f>E7*F7*$C$5</f>
        <v>840</v>
      </c>
      <c r="C7" t="s">
        <v>16</v>
      </c>
      <c r="D7" s="1" t="s">
        <v>6</v>
      </c>
      <c r="E7" s="2">
        <v>70</v>
      </c>
      <c r="F7" s="9">
        <v>15</v>
      </c>
      <c r="G7" s="1">
        <f t="shared" ref="G7:G9" si="2">E7*0.55</f>
        <v>38.5</v>
      </c>
      <c r="H7" s="33">
        <f t="shared" ref="H7:H9" si="3">F7/0.55</f>
        <v>27.27272727272727</v>
      </c>
      <c r="I7" s="34">
        <f t="shared" si="0"/>
        <v>43.4</v>
      </c>
      <c r="J7" s="33">
        <f t="shared" si="1"/>
        <v>24.193548387096776</v>
      </c>
      <c r="K7" s="36">
        <v>15</v>
      </c>
      <c r="L7" s="37">
        <f t="shared" ref="L7:L8" si="4">K7/0.62</f>
        <v>24.193548387096776</v>
      </c>
    </row>
    <row r="8" spans="1:14" x14ac:dyDescent="0.25">
      <c r="A8" s="5" t="s">
        <v>36</v>
      </c>
      <c r="B8" s="14">
        <f>E8*F8*$C$5</f>
        <v>1408</v>
      </c>
      <c r="C8" t="s">
        <v>17</v>
      </c>
      <c r="D8" s="1" t="s">
        <v>7</v>
      </c>
      <c r="E8" s="2">
        <v>80</v>
      </c>
      <c r="F8" s="9">
        <v>22</v>
      </c>
      <c r="G8" s="1">
        <f t="shared" si="2"/>
        <v>44</v>
      </c>
      <c r="H8" s="33">
        <f t="shared" si="3"/>
        <v>40</v>
      </c>
      <c r="I8" s="34">
        <f t="shared" si="0"/>
        <v>49.6</v>
      </c>
      <c r="J8" s="33">
        <f t="shared" si="1"/>
        <v>35.483870967741936</v>
      </c>
      <c r="K8" s="36">
        <v>22</v>
      </c>
      <c r="L8" s="37">
        <f t="shared" si="4"/>
        <v>35.483870967741936</v>
      </c>
    </row>
    <row r="9" spans="1:14" x14ac:dyDescent="0.25">
      <c r="A9" s="5" t="s">
        <v>37</v>
      </c>
      <c r="B9" s="14">
        <f>E9*F9*$C$5</f>
        <v>1280</v>
      </c>
      <c r="C9" t="s">
        <v>18</v>
      </c>
      <c r="D9" s="1" t="s">
        <v>8</v>
      </c>
      <c r="E9" s="2">
        <v>64</v>
      </c>
      <c r="F9" s="9">
        <v>25</v>
      </c>
      <c r="G9" s="1">
        <f t="shared" si="2"/>
        <v>35.200000000000003</v>
      </c>
      <c r="H9" s="33">
        <f t="shared" si="3"/>
        <v>45.454545454545453</v>
      </c>
      <c r="I9" s="34">
        <f t="shared" si="0"/>
        <v>39.68</v>
      </c>
      <c r="J9" s="33">
        <f t="shared" si="1"/>
        <v>40.322580645161288</v>
      </c>
      <c r="K9" s="37">
        <f>L9*0.62</f>
        <v>24.8</v>
      </c>
      <c r="L9" s="36">
        <v>40</v>
      </c>
    </row>
    <row r="10" spans="1:14" x14ac:dyDescent="0.25">
      <c r="A10" s="5" t="s">
        <v>20</v>
      </c>
      <c r="B10" s="14">
        <f>E10*F10*$C$5</f>
        <v>8800</v>
      </c>
      <c r="C10" t="s">
        <v>31</v>
      </c>
      <c r="D10" s="1" t="s">
        <v>9</v>
      </c>
      <c r="E10" s="2">
        <v>250</v>
      </c>
      <c r="F10" s="9">
        <v>44</v>
      </c>
      <c r="G10" s="1">
        <f>E10*0.65</f>
        <v>162.5</v>
      </c>
      <c r="H10" s="33">
        <f t="shared" ref="H10" si="5">F10/0.55</f>
        <v>80</v>
      </c>
      <c r="I10" s="34">
        <f t="shared" si="0"/>
        <v>155</v>
      </c>
      <c r="J10" s="33">
        <f t="shared" si="1"/>
        <v>70.967741935483872</v>
      </c>
      <c r="K10" s="37">
        <f t="shared" ref="K10:K11" si="6">L10*0.62</f>
        <v>27.28</v>
      </c>
      <c r="L10" s="36">
        <v>44</v>
      </c>
    </row>
    <row r="11" spans="1:14" ht="14.45" customHeight="1" x14ac:dyDescent="0.25">
      <c r="A11" s="93" t="s">
        <v>42</v>
      </c>
      <c r="B11" s="91">
        <f>E11*F11</f>
        <v>6500</v>
      </c>
      <c r="C11" s="94" t="s">
        <v>21</v>
      </c>
      <c r="D11" s="92" t="s">
        <v>22</v>
      </c>
      <c r="E11" s="92">
        <v>250</v>
      </c>
      <c r="F11" s="9">
        <v>26</v>
      </c>
      <c r="G11" s="31">
        <f>E11*0.55</f>
        <v>137.5</v>
      </c>
      <c r="H11" s="32">
        <v>26.5</v>
      </c>
      <c r="I11" s="34">
        <f t="shared" si="0"/>
        <v>155</v>
      </c>
      <c r="J11" s="33">
        <f t="shared" si="1"/>
        <v>41.935483870967744</v>
      </c>
      <c r="K11" s="37">
        <f t="shared" si="6"/>
        <v>21.7</v>
      </c>
      <c r="L11" s="36">
        <v>35</v>
      </c>
      <c r="M11" s="36">
        <f>26.5</f>
        <v>26.5</v>
      </c>
    </row>
    <row r="12" spans="1:14" x14ac:dyDescent="0.25">
      <c r="A12" s="93"/>
      <c r="B12" s="91"/>
      <c r="C12" s="94"/>
      <c r="D12" s="92"/>
      <c r="E12" s="92"/>
      <c r="F12" s="9"/>
    </row>
    <row r="13" spans="1:14" x14ac:dyDescent="0.25">
      <c r="A13" s="5" t="s">
        <v>23</v>
      </c>
      <c r="B13" s="14">
        <v>-1700</v>
      </c>
      <c r="C13" t="s">
        <v>26</v>
      </c>
      <c r="F13" s="38">
        <f>H13*0.55</f>
        <v>14.575000000000001</v>
      </c>
      <c r="H13" s="38">
        <f>26.5</f>
        <v>26.5</v>
      </c>
      <c r="J13" s="38">
        <f>H13*1.13</f>
        <v>29.944999999999997</v>
      </c>
    </row>
    <row r="14" spans="1:14" x14ac:dyDescent="0.25">
      <c r="A14" s="5" t="s">
        <v>43</v>
      </c>
      <c r="B14" s="14">
        <v>-75</v>
      </c>
      <c r="C14" t="s">
        <v>26</v>
      </c>
      <c r="D14" t="s">
        <v>41</v>
      </c>
      <c r="H14" s="39"/>
    </row>
    <row r="15" spans="1:14" x14ac:dyDescent="0.25">
      <c r="A15" s="5" t="s">
        <v>24</v>
      </c>
      <c r="B15" s="14">
        <v>-90</v>
      </c>
      <c r="C15" t="s">
        <v>26</v>
      </c>
      <c r="D15" t="s">
        <v>39</v>
      </c>
    </row>
    <row r="16" spans="1:14" x14ac:dyDescent="0.25">
      <c r="A16" s="5" t="s">
        <v>25</v>
      </c>
      <c r="B16" s="14">
        <v>-90</v>
      </c>
      <c r="C16" t="s">
        <v>26</v>
      </c>
      <c r="D16" t="s">
        <v>40</v>
      </c>
    </row>
    <row r="18" spans="1:9" x14ac:dyDescent="0.25">
      <c r="A18" t="s">
        <v>27</v>
      </c>
      <c r="B18" s="9">
        <v>-6500</v>
      </c>
      <c r="C18" t="s">
        <v>29</v>
      </c>
    </row>
    <row r="19" spans="1:9" x14ac:dyDescent="0.25">
      <c r="A19" t="s">
        <v>28</v>
      </c>
      <c r="B19" s="9">
        <v>-10000</v>
      </c>
      <c r="C19" t="s">
        <v>29</v>
      </c>
      <c r="G19" s="7" t="s">
        <v>65</v>
      </c>
      <c r="H19" s="7" t="s">
        <v>66</v>
      </c>
      <c r="I19" s="7" t="s">
        <v>67</v>
      </c>
    </row>
    <row r="20" spans="1:9" x14ac:dyDescent="0.25">
      <c r="A20" t="s">
        <v>32</v>
      </c>
      <c r="B20" s="9">
        <v>-6000</v>
      </c>
      <c r="C20" t="s">
        <v>29</v>
      </c>
      <c r="G20" s="7">
        <v>1.8</v>
      </c>
      <c r="H20" s="7">
        <v>1000</v>
      </c>
      <c r="I20" s="7">
        <v>1.1299999999999999</v>
      </c>
    </row>
    <row r="21" spans="1:9" x14ac:dyDescent="0.25">
      <c r="A21" t="s">
        <v>33</v>
      </c>
      <c r="B21" s="9">
        <v>-2500</v>
      </c>
      <c r="C21" t="s">
        <v>29</v>
      </c>
      <c r="G21" s="7">
        <v>1.6</v>
      </c>
      <c r="H21" s="7">
        <v>884</v>
      </c>
      <c r="I21" s="7">
        <v>1</v>
      </c>
    </row>
    <row r="22" spans="1:9" x14ac:dyDescent="0.25">
      <c r="A22" t="s">
        <v>38</v>
      </c>
      <c r="B22" s="9">
        <v>-5000</v>
      </c>
      <c r="C22" t="s">
        <v>29</v>
      </c>
      <c r="G22" s="7">
        <v>1</v>
      </c>
      <c r="H22" s="7">
        <v>550</v>
      </c>
      <c r="I22" s="7">
        <v>0.62</v>
      </c>
    </row>
    <row r="23" spans="1:9" x14ac:dyDescent="0.25">
      <c r="B23" s="9">
        <f>SUM(B18:B22)</f>
        <v>-30000</v>
      </c>
    </row>
  </sheetData>
  <mergeCells count="6">
    <mergeCell ref="K4:L4"/>
    <mergeCell ref="B11:B12"/>
    <mergeCell ref="E11:E12"/>
    <mergeCell ref="D11:D12"/>
    <mergeCell ref="A11:A12"/>
    <mergeCell ref="C11:C12"/>
  </mergeCells>
  <pageMargins left="0.7" right="0.7" top="0.75" bottom="0.75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C7" sqref="C7"/>
    </sheetView>
  </sheetViews>
  <sheetFormatPr baseColWidth="10" defaultRowHeight="15" x14ac:dyDescent="0.25"/>
  <cols>
    <col min="4" max="4" width="28.85546875" bestFit="1" customWidth="1"/>
  </cols>
  <sheetData>
    <row r="1" spans="1:4" x14ac:dyDescent="0.25">
      <c r="A1" s="1"/>
      <c r="B1" s="1" t="s">
        <v>74</v>
      </c>
      <c r="C1" s="1" t="s">
        <v>75</v>
      </c>
      <c r="D1" s="1" t="s">
        <v>76</v>
      </c>
    </row>
    <row r="2" spans="1:4" x14ac:dyDescent="0.25">
      <c r="A2" s="40">
        <v>1000000</v>
      </c>
      <c r="B2" s="40">
        <f>A2*(1.5/100)</f>
        <v>15000</v>
      </c>
      <c r="C2" s="40">
        <f>B2*10</f>
        <v>150000</v>
      </c>
      <c r="D2" s="40">
        <f>(A2+C2)/20</f>
        <v>57500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3:AH53"/>
  <sheetViews>
    <sheetView topLeftCell="A27" workbookViewId="0">
      <selection activeCell="J56" sqref="J56"/>
    </sheetView>
  </sheetViews>
  <sheetFormatPr baseColWidth="10" defaultRowHeight="15" x14ac:dyDescent="0.25"/>
  <cols>
    <col min="2" max="2" width="24.5703125" bestFit="1" customWidth="1"/>
    <col min="3" max="3" width="17.5703125" bestFit="1" customWidth="1"/>
    <col min="4" max="4" width="22.140625" bestFit="1" customWidth="1"/>
    <col min="5" max="5" width="11.28515625" bestFit="1" customWidth="1"/>
    <col min="6" max="6" width="7.28515625" bestFit="1" customWidth="1"/>
    <col min="7" max="8" width="8.42578125" bestFit="1" customWidth="1"/>
    <col min="9" max="9" width="8" bestFit="1" customWidth="1"/>
    <col min="10" max="10" width="8.5703125" bestFit="1" customWidth="1"/>
    <col min="11" max="11" width="8" bestFit="1" customWidth="1"/>
    <col min="12" max="12" width="7.28515625" bestFit="1" customWidth="1"/>
    <col min="13" max="13" width="8" bestFit="1" customWidth="1"/>
    <col min="14" max="15" width="8.42578125" bestFit="1" customWidth="1"/>
    <col min="16" max="16" width="7.28515625" bestFit="1" customWidth="1"/>
    <col min="17" max="20" width="8.42578125" bestFit="1" customWidth="1"/>
    <col min="21" max="21" width="7.28515625" bestFit="1" customWidth="1"/>
    <col min="22" max="23" width="8" bestFit="1" customWidth="1"/>
    <col min="24" max="25" width="7.5703125" bestFit="1" customWidth="1"/>
    <col min="26" max="26" width="8" bestFit="1" customWidth="1"/>
    <col min="27" max="29" width="7.28515625" bestFit="1" customWidth="1"/>
    <col min="30" max="30" width="8" bestFit="1" customWidth="1"/>
    <col min="31" max="32" width="10.140625" bestFit="1" customWidth="1"/>
    <col min="33" max="34" width="8.42578125" bestFit="1" customWidth="1"/>
  </cols>
  <sheetData>
    <row r="3" spans="2:34" ht="15.75" x14ac:dyDescent="0.25">
      <c r="B3" s="17"/>
      <c r="C3" s="17" t="s">
        <v>46</v>
      </c>
      <c r="D3" s="17" t="s">
        <v>47</v>
      </c>
      <c r="E3" s="17" t="s">
        <v>20</v>
      </c>
      <c r="F3" s="96" t="s">
        <v>48</v>
      </c>
      <c r="G3" s="97"/>
      <c r="H3" s="97"/>
      <c r="I3" s="98"/>
      <c r="J3" s="99" t="s">
        <v>49</v>
      </c>
      <c r="K3" s="100"/>
      <c r="L3" s="100"/>
      <c r="M3" s="101"/>
      <c r="N3" s="96" t="s">
        <v>50</v>
      </c>
      <c r="O3" s="97"/>
      <c r="P3" s="98"/>
      <c r="Q3" s="96" t="s">
        <v>51</v>
      </c>
      <c r="R3" s="97"/>
      <c r="S3" s="97"/>
      <c r="T3" s="97"/>
      <c r="U3" s="98"/>
      <c r="V3" s="96" t="s">
        <v>52</v>
      </c>
      <c r="W3" s="97"/>
      <c r="X3" s="97"/>
      <c r="Y3" s="98"/>
      <c r="Z3" s="96" t="s">
        <v>53</v>
      </c>
      <c r="AA3" s="98"/>
      <c r="AB3" s="96" t="s">
        <v>54</v>
      </c>
      <c r="AC3" s="97"/>
      <c r="AD3" s="98"/>
      <c r="AE3" s="18" t="s">
        <v>55</v>
      </c>
      <c r="AF3" s="18" t="s">
        <v>56</v>
      </c>
      <c r="AG3" s="17" t="s">
        <v>57</v>
      </c>
      <c r="AH3" s="17" t="s">
        <v>58</v>
      </c>
    </row>
    <row r="4" spans="2:34" ht="15.75" x14ac:dyDescent="0.25">
      <c r="B4" s="17"/>
      <c r="C4" s="17"/>
      <c r="D4" s="17"/>
      <c r="E4" s="17"/>
      <c r="F4" s="17">
        <v>1</v>
      </c>
      <c r="G4" s="17">
        <v>2</v>
      </c>
      <c r="H4" s="17">
        <v>3</v>
      </c>
      <c r="I4" s="17">
        <v>4</v>
      </c>
      <c r="J4" s="17">
        <v>6</v>
      </c>
      <c r="K4" s="17">
        <v>7</v>
      </c>
      <c r="L4" s="17">
        <v>8</v>
      </c>
      <c r="M4" s="17">
        <v>9</v>
      </c>
      <c r="N4" s="19">
        <v>11</v>
      </c>
      <c r="O4" s="19">
        <v>12</v>
      </c>
      <c r="P4" s="19">
        <v>13</v>
      </c>
      <c r="Q4" s="17">
        <v>15</v>
      </c>
      <c r="R4" s="17">
        <v>16</v>
      </c>
      <c r="S4" s="17">
        <v>17</v>
      </c>
      <c r="T4" s="17">
        <v>18</v>
      </c>
      <c r="U4" s="17">
        <v>19</v>
      </c>
      <c r="V4" s="7">
        <v>21</v>
      </c>
      <c r="W4" s="7">
        <v>22</v>
      </c>
      <c r="X4" s="7">
        <v>23</v>
      </c>
      <c r="Y4" s="7">
        <v>24</v>
      </c>
      <c r="Z4" s="7">
        <v>26</v>
      </c>
      <c r="AA4" s="7">
        <v>28</v>
      </c>
      <c r="AB4" s="7">
        <v>31</v>
      </c>
      <c r="AC4" s="7">
        <v>33</v>
      </c>
      <c r="AD4" s="7">
        <v>34</v>
      </c>
      <c r="AE4" s="7">
        <v>37</v>
      </c>
      <c r="AF4" s="7">
        <v>48</v>
      </c>
      <c r="AG4" s="17"/>
      <c r="AH4" s="17"/>
    </row>
    <row r="5" spans="2:34" ht="15.75" x14ac:dyDescent="0.25">
      <c r="B5" s="17" t="s">
        <v>4</v>
      </c>
      <c r="C5" s="20">
        <f>D5+AG5+AH5</f>
        <v>614.78470000000016</v>
      </c>
      <c r="D5" s="20">
        <f>SUM(E5:AF5)</f>
        <v>569.68240000000014</v>
      </c>
      <c r="E5" s="20">
        <v>8.4085999999999999</v>
      </c>
      <c r="F5" s="20">
        <v>0</v>
      </c>
      <c r="G5" s="20">
        <v>14.340199999999999</v>
      </c>
      <c r="H5" s="20">
        <v>0</v>
      </c>
      <c r="I5" s="7">
        <v>45.709899999999998</v>
      </c>
      <c r="J5" s="7">
        <v>58.417900000000003</v>
      </c>
      <c r="K5" s="7">
        <v>69.243600000000001</v>
      </c>
      <c r="L5" s="7">
        <v>7.9581999999999997</v>
      </c>
      <c r="M5" s="7">
        <v>82.200400000000002</v>
      </c>
      <c r="N5" s="20">
        <v>13.932499999999999</v>
      </c>
      <c r="O5" s="20">
        <v>27.747900000000001</v>
      </c>
      <c r="P5" s="20">
        <v>0.57279999999999998</v>
      </c>
      <c r="Q5" s="20">
        <v>0</v>
      </c>
      <c r="R5" s="20">
        <v>80.749700000000004</v>
      </c>
      <c r="S5" s="20">
        <v>0</v>
      </c>
      <c r="T5" s="20">
        <v>27.896100000000001</v>
      </c>
      <c r="U5" s="20">
        <v>0.86199999999999999</v>
      </c>
      <c r="V5" s="7">
        <v>16.333100000000002</v>
      </c>
      <c r="W5" s="7">
        <v>12.0358</v>
      </c>
      <c r="X5" s="7">
        <v>52.951000000000001</v>
      </c>
      <c r="Y5" s="7">
        <v>32.406999999999996</v>
      </c>
      <c r="Z5" s="7">
        <v>10.647399999999999</v>
      </c>
      <c r="AA5" s="7">
        <v>3.8868</v>
      </c>
      <c r="AB5" s="7">
        <v>8.5400000000000004E-2</v>
      </c>
      <c r="AC5" s="7">
        <v>3.2961</v>
      </c>
      <c r="AD5" s="20">
        <v>0</v>
      </c>
      <c r="AE5" s="20">
        <v>0</v>
      </c>
      <c r="AF5" s="20">
        <v>0</v>
      </c>
      <c r="AG5" s="20">
        <v>13.747</v>
      </c>
      <c r="AH5" s="20">
        <v>31.3553</v>
      </c>
    </row>
    <row r="6" spans="2:34" ht="15.75" x14ac:dyDescent="0.25">
      <c r="B6" s="17" t="s">
        <v>10</v>
      </c>
      <c r="C6" s="20">
        <f>D6+AG6+AH6</f>
        <v>179.69800000000001</v>
      </c>
      <c r="D6" s="20">
        <f>SUM(E6:AF6)</f>
        <v>169.9744</v>
      </c>
      <c r="E6" s="20">
        <v>5.9764999999999997</v>
      </c>
      <c r="F6" s="20">
        <v>3.0108999999999999</v>
      </c>
      <c r="G6" s="20">
        <v>13.2212</v>
      </c>
      <c r="H6" s="20">
        <v>26.142099999999999</v>
      </c>
      <c r="I6" s="20">
        <v>0</v>
      </c>
      <c r="J6" s="20">
        <v>45.560400000000001</v>
      </c>
      <c r="K6" s="20">
        <v>0</v>
      </c>
      <c r="L6" s="20">
        <v>0</v>
      </c>
      <c r="M6" s="20">
        <v>0</v>
      </c>
      <c r="N6" s="20">
        <v>1.1646000000000001</v>
      </c>
      <c r="O6" s="20">
        <v>0</v>
      </c>
      <c r="P6" s="20">
        <v>7.2958999999999996</v>
      </c>
      <c r="Q6" s="20">
        <v>32.357100000000003</v>
      </c>
      <c r="R6" s="20">
        <v>0</v>
      </c>
      <c r="S6" s="20">
        <v>18.899100000000001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7">
        <v>12.225099999999999</v>
      </c>
      <c r="AE6" s="7">
        <v>0.90339999999999998</v>
      </c>
      <c r="AF6" s="7">
        <v>3.2181000000000002</v>
      </c>
      <c r="AG6" s="20">
        <v>0.52829999999999999</v>
      </c>
      <c r="AH6" s="20">
        <v>9.1952999999999996</v>
      </c>
    </row>
    <row r="7" spans="2:34" x14ac:dyDescent="0.25">
      <c r="B7" s="7" t="s">
        <v>59</v>
      </c>
      <c r="C7" s="21">
        <f>C5+C6</f>
        <v>794.48270000000014</v>
      </c>
      <c r="D7" s="21">
        <f t="shared" ref="D7" si="0">D5+D6</f>
        <v>739.6568000000002</v>
      </c>
      <c r="E7" s="21">
        <f>E5+E6</f>
        <v>14.3851</v>
      </c>
      <c r="F7" s="21">
        <f t="shared" ref="F7:AF7" si="1">F5+F6</f>
        <v>3.0108999999999999</v>
      </c>
      <c r="G7" s="21">
        <f t="shared" si="1"/>
        <v>27.561399999999999</v>
      </c>
      <c r="H7" s="21">
        <f t="shared" si="1"/>
        <v>26.142099999999999</v>
      </c>
      <c r="I7" s="21">
        <f t="shared" si="1"/>
        <v>45.709899999999998</v>
      </c>
      <c r="J7" s="21">
        <f t="shared" si="1"/>
        <v>103.9783</v>
      </c>
      <c r="K7" s="21">
        <f t="shared" si="1"/>
        <v>69.243600000000001</v>
      </c>
      <c r="L7" s="21">
        <f t="shared" si="1"/>
        <v>7.9581999999999997</v>
      </c>
      <c r="M7" s="21">
        <f t="shared" si="1"/>
        <v>82.200400000000002</v>
      </c>
      <c r="N7" s="21">
        <f t="shared" si="1"/>
        <v>15.097099999999999</v>
      </c>
      <c r="O7" s="21">
        <f t="shared" si="1"/>
        <v>27.747900000000001</v>
      </c>
      <c r="P7" s="21">
        <f t="shared" si="1"/>
        <v>7.8686999999999996</v>
      </c>
      <c r="Q7" s="21">
        <f t="shared" si="1"/>
        <v>32.357100000000003</v>
      </c>
      <c r="R7" s="21">
        <f t="shared" si="1"/>
        <v>80.749700000000004</v>
      </c>
      <c r="S7" s="21">
        <f t="shared" si="1"/>
        <v>18.899100000000001</v>
      </c>
      <c r="T7" s="21">
        <f t="shared" si="1"/>
        <v>27.896100000000001</v>
      </c>
      <c r="U7" s="21">
        <f t="shared" si="1"/>
        <v>0.86199999999999999</v>
      </c>
      <c r="V7" s="21">
        <f t="shared" si="1"/>
        <v>16.333100000000002</v>
      </c>
      <c r="W7" s="21">
        <f t="shared" si="1"/>
        <v>12.0358</v>
      </c>
      <c r="X7" s="21">
        <f t="shared" si="1"/>
        <v>52.951000000000001</v>
      </c>
      <c r="Y7" s="21">
        <f t="shared" si="1"/>
        <v>32.406999999999996</v>
      </c>
      <c r="Z7" s="21">
        <f t="shared" si="1"/>
        <v>10.647399999999999</v>
      </c>
      <c r="AA7" s="21">
        <f t="shared" si="1"/>
        <v>3.8868</v>
      </c>
      <c r="AB7" s="21">
        <f t="shared" si="1"/>
        <v>8.5400000000000004E-2</v>
      </c>
      <c r="AC7" s="21">
        <f t="shared" si="1"/>
        <v>3.2961</v>
      </c>
      <c r="AD7" s="21">
        <f t="shared" si="1"/>
        <v>12.225099999999999</v>
      </c>
      <c r="AE7" s="21">
        <f t="shared" si="1"/>
        <v>0.90339999999999998</v>
      </c>
      <c r="AF7" s="21">
        <f t="shared" si="1"/>
        <v>3.2181000000000002</v>
      </c>
      <c r="AG7" s="21">
        <f>AG5+AG6</f>
        <v>14.2753</v>
      </c>
      <c r="AH7" s="21">
        <f>AH5+AH6</f>
        <v>40.550600000000003</v>
      </c>
    </row>
    <row r="11" spans="2:34" ht="21" x14ac:dyDescent="0.35">
      <c r="C11" s="95" t="s">
        <v>100</v>
      </c>
      <c r="D11" s="95"/>
    </row>
    <row r="14" spans="2:34" ht="15.75" x14ac:dyDescent="0.25">
      <c r="B14" s="17" t="s">
        <v>98</v>
      </c>
      <c r="C14" s="6" t="str">
        <f>B5</f>
        <v>GF DE TABARTHON</v>
      </c>
      <c r="D14" s="6" t="str">
        <f>B6</f>
        <v>BOUTAUD DE LA COMBE</v>
      </c>
      <c r="E14" s="5" t="s">
        <v>99</v>
      </c>
    </row>
    <row r="15" spans="2:34" ht="15.75" x14ac:dyDescent="0.25">
      <c r="B15" s="17">
        <f>F4</f>
        <v>1</v>
      </c>
      <c r="C15" s="20">
        <v>0</v>
      </c>
      <c r="D15" s="20">
        <v>3.0108999999999999</v>
      </c>
      <c r="E15" s="21">
        <f t="shared" ref="E15:E22" si="2">C15+D15</f>
        <v>3.0108999999999999</v>
      </c>
    </row>
    <row r="16" spans="2:34" ht="15.75" x14ac:dyDescent="0.25">
      <c r="B16" s="17">
        <f>G4</f>
        <v>2</v>
      </c>
      <c r="C16" s="20">
        <v>14.340199999999999</v>
      </c>
      <c r="D16" s="20">
        <v>13.2212</v>
      </c>
      <c r="E16" s="21">
        <f t="shared" si="2"/>
        <v>27.561399999999999</v>
      </c>
    </row>
    <row r="17" spans="2:5" ht="15.75" x14ac:dyDescent="0.25">
      <c r="B17" s="17">
        <f>H4</f>
        <v>3</v>
      </c>
      <c r="C17" s="20">
        <v>0</v>
      </c>
      <c r="D17" s="20">
        <v>26.142099999999999</v>
      </c>
      <c r="E17" s="21">
        <f t="shared" si="2"/>
        <v>26.142099999999999</v>
      </c>
    </row>
    <row r="18" spans="2:5" ht="15.75" x14ac:dyDescent="0.25">
      <c r="B18" s="17">
        <f>I4</f>
        <v>4</v>
      </c>
      <c r="C18" s="7">
        <v>45.709899999999998</v>
      </c>
      <c r="D18" s="20">
        <v>0</v>
      </c>
      <c r="E18" s="21">
        <f t="shared" si="2"/>
        <v>45.709899999999998</v>
      </c>
    </row>
    <row r="19" spans="2:5" ht="15.75" x14ac:dyDescent="0.25">
      <c r="B19" s="17">
        <f>J4</f>
        <v>6</v>
      </c>
      <c r="C19" s="7">
        <v>58.417900000000003</v>
      </c>
      <c r="D19" s="20">
        <v>45.560400000000001</v>
      </c>
      <c r="E19" s="21">
        <f t="shared" si="2"/>
        <v>103.9783</v>
      </c>
    </row>
    <row r="20" spans="2:5" ht="15.75" x14ac:dyDescent="0.25">
      <c r="B20" s="17">
        <f>K4</f>
        <v>7</v>
      </c>
      <c r="C20" s="7">
        <v>69.243600000000001</v>
      </c>
      <c r="D20" s="20">
        <v>0</v>
      </c>
      <c r="E20" s="21">
        <f t="shared" si="2"/>
        <v>69.243600000000001</v>
      </c>
    </row>
    <row r="21" spans="2:5" ht="15.75" x14ac:dyDescent="0.25">
      <c r="B21" s="17">
        <f>L4</f>
        <v>8</v>
      </c>
      <c r="C21" s="7">
        <v>7.9581999999999997</v>
      </c>
      <c r="D21" s="20">
        <v>0</v>
      </c>
      <c r="E21" s="21">
        <f t="shared" si="2"/>
        <v>7.9581999999999997</v>
      </c>
    </row>
    <row r="22" spans="2:5" ht="15.75" x14ac:dyDescent="0.25">
      <c r="B22" s="17">
        <f>M4</f>
        <v>9</v>
      </c>
      <c r="C22" s="7">
        <v>82.200400000000002</v>
      </c>
      <c r="D22" s="20">
        <v>0</v>
      </c>
      <c r="E22" s="21">
        <f t="shared" si="2"/>
        <v>82.200400000000002</v>
      </c>
    </row>
    <row r="23" spans="2:5" ht="15.75" x14ac:dyDescent="0.25">
      <c r="B23" s="17">
        <v>10</v>
      </c>
      <c r="C23" s="7"/>
      <c r="D23" s="20"/>
      <c r="E23" s="21"/>
    </row>
    <row r="24" spans="2:5" ht="15.75" x14ac:dyDescent="0.25">
      <c r="B24" s="17">
        <f>N4</f>
        <v>11</v>
      </c>
      <c r="C24" s="20">
        <v>13.932499999999999</v>
      </c>
      <c r="D24" s="20">
        <v>1.1646000000000001</v>
      </c>
      <c r="E24" s="21">
        <f>C24+D24</f>
        <v>15.097099999999999</v>
      </c>
    </row>
    <row r="25" spans="2:5" ht="15.75" x14ac:dyDescent="0.25">
      <c r="B25" s="17">
        <f>O4</f>
        <v>12</v>
      </c>
      <c r="C25" s="20">
        <v>27.747900000000001</v>
      </c>
      <c r="D25" s="20">
        <v>0</v>
      </c>
      <c r="E25" s="21">
        <f>C25+D25</f>
        <v>27.747900000000001</v>
      </c>
    </row>
    <row r="26" spans="2:5" ht="15.75" x14ac:dyDescent="0.25">
      <c r="B26" s="17">
        <f>P4</f>
        <v>13</v>
      </c>
      <c r="C26" s="23">
        <v>0.57279999999999998</v>
      </c>
      <c r="D26" s="23">
        <v>7.2958999999999996</v>
      </c>
      <c r="E26" s="24">
        <f>C26+D26</f>
        <v>7.8686999999999996</v>
      </c>
    </row>
    <row r="27" spans="2:5" ht="15.75" x14ac:dyDescent="0.25">
      <c r="B27" s="17">
        <v>14</v>
      </c>
      <c r="C27" s="23"/>
      <c r="D27" s="23"/>
      <c r="E27" s="24"/>
    </row>
    <row r="28" spans="2:5" ht="15.75" x14ac:dyDescent="0.25">
      <c r="B28" s="17">
        <f>Q4</f>
        <v>15</v>
      </c>
      <c r="C28" s="23">
        <v>0</v>
      </c>
      <c r="D28" s="23">
        <v>32.357100000000003</v>
      </c>
      <c r="E28" s="24">
        <f>C28+D28</f>
        <v>32.357100000000003</v>
      </c>
    </row>
    <row r="29" spans="2:5" ht="15.75" x14ac:dyDescent="0.25">
      <c r="B29" s="17">
        <f>R4</f>
        <v>16</v>
      </c>
      <c r="C29" s="23">
        <v>80.749700000000004</v>
      </c>
      <c r="D29" s="23">
        <v>0</v>
      </c>
      <c r="E29" s="24">
        <f>C29+D29</f>
        <v>80.749700000000004</v>
      </c>
    </row>
    <row r="30" spans="2:5" ht="15.75" x14ac:dyDescent="0.25">
      <c r="B30" s="17">
        <f>S4</f>
        <v>17</v>
      </c>
      <c r="C30" s="23">
        <v>0</v>
      </c>
      <c r="D30" s="23">
        <v>18.899100000000001</v>
      </c>
      <c r="E30" s="24">
        <f>C30+D30</f>
        <v>18.899100000000001</v>
      </c>
    </row>
    <row r="31" spans="2:5" ht="15.75" x14ac:dyDescent="0.25">
      <c r="B31" s="17">
        <f>T4</f>
        <v>18</v>
      </c>
      <c r="C31" s="23">
        <v>27.896100000000001</v>
      </c>
      <c r="D31" s="23">
        <v>0</v>
      </c>
      <c r="E31" s="24">
        <f>C31+D31</f>
        <v>27.896100000000001</v>
      </c>
    </row>
    <row r="32" spans="2:5" ht="15.75" x14ac:dyDescent="0.25">
      <c r="B32" s="17">
        <v>19</v>
      </c>
      <c r="C32" s="23">
        <v>0.86199999999999999</v>
      </c>
      <c r="D32" s="23">
        <v>0</v>
      </c>
      <c r="E32" s="24">
        <f>C32+D32</f>
        <v>0.86199999999999999</v>
      </c>
    </row>
    <row r="33" spans="2:5" ht="15.75" x14ac:dyDescent="0.25">
      <c r="B33" s="17">
        <v>20</v>
      </c>
      <c r="C33" s="23"/>
      <c r="D33" s="23"/>
      <c r="E33" s="24"/>
    </row>
    <row r="34" spans="2:5" ht="15.75" x14ac:dyDescent="0.25">
      <c r="B34" s="7">
        <v>21</v>
      </c>
      <c r="C34" s="16">
        <v>16.333100000000002</v>
      </c>
      <c r="D34" s="23">
        <v>0</v>
      </c>
      <c r="E34" s="24">
        <f>C34+D34</f>
        <v>16.333100000000002</v>
      </c>
    </row>
    <row r="35" spans="2:5" ht="15.75" x14ac:dyDescent="0.25">
      <c r="B35" s="7">
        <v>22</v>
      </c>
      <c r="C35" s="16">
        <v>12.0358</v>
      </c>
      <c r="D35" s="23">
        <v>0</v>
      </c>
      <c r="E35" s="24">
        <f>C35+D35</f>
        <v>12.0358</v>
      </c>
    </row>
    <row r="36" spans="2:5" ht="15.75" x14ac:dyDescent="0.25">
      <c r="B36" s="7">
        <v>23</v>
      </c>
      <c r="C36" s="16">
        <v>52.951000000000001</v>
      </c>
      <c r="D36" s="23">
        <v>0</v>
      </c>
      <c r="E36" s="24">
        <f>C36+D36</f>
        <v>52.951000000000001</v>
      </c>
    </row>
    <row r="37" spans="2:5" ht="15.75" x14ac:dyDescent="0.25">
      <c r="B37" s="7">
        <v>24</v>
      </c>
      <c r="C37" s="7">
        <v>32.406999999999996</v>
      </c>
      <c r="D37" s="20">
        <v>0</v>
      </c>
      <c r="E37" s="21">
        <f>C37+D37</f>
        <v>32.406999999999996</v>
      </c>
    </row>
    <row r="38" spans="2:5" ht="15.75" x14ac:dyDescent="0.25">
      <c r="B38" s="7">
        <v>25</v>
      </c>
      <c r="C38" s="7"/>
      <c r="D38" s="20"/>
      <c r="E38" s="21"/>
    </row>
    <row r="39" spans="2:5" ht="15.75" x14ac:dyDescent="0.25">
      <c r="B39" s="7">
        <v>26</v>
      </c>
      <c r="C39" s="7">
        <v>10.647399999999999</v>
      </c>
      <c r="D39" s="20">
        <v>0</v>
      </c>
      <c r="E39" s="21">
        <f>C39+D39</f>
        <v>10.647399999999999</v>
      </c>
    </row>
    <row r="40" spans="2:5" ht="15.75" x14ac:dyDescent="0.25">
      <c r="B40" s="7">
        <v>27</v>
      </c>
      <c r="C40" s="7"/>
      <c r="D40" s="20"/>
      <c r="E40" s="21"/>
    </row>
    <row r="41" spans="2:5" ht="15.75" x14ac:dyDescent="0.25">
      <c r="B41" s="7">
        <v>28</v>
      </c>
      <c r="C41" s="7">
        <v>3.8868</v>
      </c>
      <c r="D41" s="20">
        <v>0</v>
      </c>
      <c r="E41" s="21">
        <f>C41+D41</f>
        <v>3.8868</v>
      </c>
    </row>
    <row r="42" spans="2:5" ht="15.75" x14ac:dyDescent="0.25">
      <c r="B42" s="7">
        <v>29</v>
      </c>
      <c r="C42" s="7"/>
      <c r="D42" s="20"/>
      <c r="E42" s="21"/>
    </row>
    <row r="43" spans="2:5" ht="15.75" x14ac:dyDescent="0.25">
      <c r="B43" s="7">
        <v>30</v>
      </c>
      <c r="C43" s="7"/>
      <c r="D43" s="20"/>
      <c r="E43" s="21"/>
    </row>
    <row r="44" spans="2:5" ht="15.75" x14ac:dyDescent="0.25">
      <c r="B44" s="7">
        <v>31</v>
      </c>
      <c r="C44" s="7">
        <v>8.5400000000000004E-2</v>
      </c>
      <c r="D44" s="20">
        <v>0</v>
      </c>
      <c r="E44" s="21">
        <f>C44+D44</f>
        <v>8.5400000000000004E-2</v>
      </c>
    </row>
    <row r="45" spans="2:5" ht="15.75" x14ac:dyDescent="0.25">
      <c r="B45" s="7">
        <v>32</v>
      </c>
      <c r="C45" s="7"/>
      <c r="D45" s="20"/>
      <c r="E45" s="21"/>
    </row>
    <row r="46" spans="2:5" ht="15.75" x14ac:dyDescent="0.25">
      <c r="B46" s="7">
        <v>33</v>
      </c>
      <c r="C46" s="7">
        <v>3.2961</v>
      </c>
      <c r="D46" s="20">
        <v>0</v>
      </c>
      <c r="E46" s="21">
        <f>C46+D46</f>
        <v>3.2961</v>
      </c>
    </row>
    <row r="47" spans="2:5" ht="15.75" x14ac:dyDescent="0.25">
      <c r="B47" s="7">
        <v>34</v>
      </c>
      <c r="C47" s="20">
        <v>0</v>
      </c>
      <c r="D47" s="7">
        <v>12.225099999999999</v>
      </c>
      <c r="E47" s="21">
        <f>C47+D47</f>
        <v>12.225099999999999</v>
      </c>
    </row>
    <row r="48" spans="2:5" ht="15.75" x14ac:dyDescent="0.25">
      <c r="B48" s="7">
        <v>35</v>
      </c>
      <c r="C48" s="20"/>
      <c r="D48" s="7"/>
      <c r="E48" s="21"/>
    </row>
    <row r="49" spans="2:5" ht="15.75" x14ac:dyDescent="0.25">
      <c r="B49" s="7">
        <v>36</v>
      </c>
      <c r="C49" s="20"/>
      <c r="D49" s="7"/>
      <c r="E49" s="21"/>
    </row>
    <row r="50" spans="2:5" ht="15.75" x14ac:dyDescent="0.25">
      <c r="B50" s="7">
        <v>37</v>
      </c>
      <c r="C50" s="20">
        <v>0</v>
      </c>
      <c r="D50" s="7">
        <v>0.90339999999999998</v>
      </c>
      <c r="E50" s="21">
        <f>C50+D50</f>
        <v>0.90339999999999998</v>
      </c>
    </row>
    <row r="51" spans="2:5" ht="15.75" x14ac:dyDescent="0.25">
      <c r="B51" s="7">
        <v>48</v>
      </c>
      <c r="C51" s="20">
        <v>0</v>
      </c>
      <c r="D51" s="7">
        <v>3.2181000000000002</v>
      </c>
      <c r="E51" s="21">
        <f>C51+D51</f>
        <v>3.2181000000000002</v>
      </c>
    </row>
    <row r="52" spans="2:5" ht="15.75" x14ac:dyDescent="0.25">
      <c r="B52" s="69" t="s">
        <v>57</v>
      </c>
      <c r="C52" s="20">
        <v>13.747</v>
      </c>
      <c r="D52" s="20">
        <v>0.52829999999999999</v>
      </c>
      <c r="E52" s="21">
        <f>C52+D52</f>
        <v>14.2753</v>
      </c>
    </row>
    <row r="53" spans="2:5" ht="15.75" x14ac:dyDescent="0.25">
      <c r="B53" s="69" t="s">
        <v>58</v>
      </c>
      <c r="C53" s="20">
        <v>31.3553</v>
      </c>
      <c r="D53" s="20">
        <v>9.1952999999999996</v>
      </c>
      <c r="E53" s="21">
        <f>C53+D53</f>
        <v>40.550600000000003</v>
      </c>
    </row>
  </sheetData>
  <mergeCells count="8">
    <mergeCell ref="C11:D11"/>
    <mergeCell ref="AB3:AD3"/>
    <mergeCell ref="F3:I3"/>
    <mergeCell ref="J3:M3"/>
    <mergeCell ref="N3:P3"/>
    <mergeCell ref="Q3:U3"/>
    <mergeCell ref="V3:Y3"/>
    <mergeCell ref="Z3:AA3"/>
  </mergeCells>
  <pageMargins left="0.7" right="0.7" top="0.75" bottom="0.75" header="0.3" footer="0.3"/>
  <pageSetup paperSize="9" scale="83" fitToWidth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k o o U z A 3 x 5 m l A A A A 9 Q A A A B I A H A B D b 2 5 m a W c v U G F j a 2 F n Z S 5 4 b W w g o h g A K K A U A A A A A A A A A A A A A A A A A A A A A A A A A A A A h Y 8 x D o I w A E W v Q r r T l m o M k l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Q u F z C e E 4 g p m h j N l f 7 2 Z J z 7 b H 8 g X f W N 6 4 1 k p Q n X O 4 q m S N H 7 A n s A U E s D B B Q A A g A I A D p K K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S i h T K I p H u A 4 A A A A R A A A A E w A c A E Z v c m 1 1 b G F z L 1 N l Y 3 R p b 2 4 x L m 0 g o h g A K K A U A A A A A A A A A A A A A A A A A A A A A A A A A A A A K 0 5 N L s n M z 1 M I h t C G 1 g B Q S w E C L Q A U A A I A C A A 6 S i h T M D f H m a U A A A D 1 A A A A E g A A A A A A A A A A A A A A A A A A A A A A Q 2 9 u Z m l n L 1 B h Y 2 t h Z 2 U u e G 1 s U E s B A i 0 A F A A C A A g A O k o o U w / K 6 a u k A A A A 6 Q A A A B M A A A A A A A A A A A A A A A A A 8 Q A A A F t D b 2 5 0 Z W 5 0 X 1 R 5 c G V z X S 5 4 b W x Q S w E C L Q A U A A I A C A A 6 S i h T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J I s 1 l 2 h t E e J M 2 y w + x 7 q K Q A A A A A C A A A A A A A Q Z g A A A A E A A C A A A A A y U / A E q C 9 5 B 3 D N m 0 E b y i w J J z A g s m o q Q k X 2 n a + y v G L W i g A A A A A O g A A A A A I A A C A A A A C 4 5 4 8 P f u n M q r E g I T R l G V T D e N T S y a V G r g H L 1 Y m m W z F Q o l A A A A C i O V 8 O F M 7 c m M Y Z y E y 0 d 6 9 0 5 E S r L q u 5 w O i c G W y H H d 3 S 3 8 Z q d h 0 t s g J n R Y 6 B O 5 E J K D p H O w N 6 E 5 O O M 9 g q o N M Y P O e X 4 H w b E t W N z o H h D c i T E n g A I k A A A A D U Q C 3 w H v 9 d H b 8 g K J Y S N L 5 0 N q 2 Q p T p W I n 3 A Z K 8 h C 5 e 6 g a Z g 4 P T r S W 7 b q O T G R q G + j M y L O p 5 z o 2 P B n x H V i G G C K m I V < / D a t a M a s h u p > 
</file>

<file path=customXml/itemProps1.xml><?xml version="1.0" encoding="utf-8"?>
<ds:datastoreItem xmlns:ds="http://schemas.openxmlformats.org/officeDocument/2006/customXml" ds:itemID="{A1286A62-A9C6-4897-B865-4C6F936F99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BUDGET SYLV CLASSIQUE</vt:lpstr>
      <vt:lpstr>BUDGET SYLV CRTE ROTATION</vt:lpstr>
      <vt:lpstr>Cash flow</vt:lpstr>
      <vt:lpstr>Budget annuel</vt:lpstr>
      <vt:lpstr>Table</vt:lpstr>
      <vt:lpstr>Emprunt</vt:lpstr>
      <vt:lpstr>classe d'age ARGEFO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2023-08-07T14:22:51Z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263610566</vt:i4>
  </property>
  <property fmtid="{D5CDD505-2E9C-101B-9397-08002B2CF9AE}" pid="3" name="_NewReviewCycle">
    <vt:lpwstr/>
  </property>
  <property fmtid="{D5CDD505-2E9C-101B-9397-08002B2CF9AE}" pid="4" name="_ReviewingToolsShownOnce">
    <vt:lpwstr/>
  </property>
</Properties>
</file>