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2A034\EXCELCNV\2b7dd0be-6616-49c2-8736-46eb099bf947\"/>
    </mc:Choice>
  </mc:AlternateContent>
  <xr:revisionPtr revIDLastSave="0" documentId="8_{11125C37-47C5-409E-985F-5EDCD43AC415}" xr6:coauthVersionLast="47" xr6:coauthVersionMax="47" xr10:uidLastSave="{00000000-0000-0000-0000-000000000000}"/>
  <bookViews>
    <workbookView xWindow="-60" yWindow="-60" windowWidth="15480" windowHeight="11640" tabRatio="937" xr2:uid="{00000000-000D-0000-FFFF-FFFF00000000}"/>
  </bookViews>
  <sheets>
    <sheet name="voitures" sheetId="1" r:id="rId1"/>
    <sheet name="details covariance" sheetId="5" r:id="rId2"/>
    <sheet name="details.corrélation" sheetId="6" r:id="rId3"/>
    <sheet name="lien.taille.poids" sheetId="7" r:id="rId4"/>
    <sheet name="corr.2.groupes.obs" sheetId="9" r:id="rId5"/>
    <sheet name="point.atypique" sheetId="18" r:id="rId6"/>
    <sheet name="corr.K.groupes.obs" sheetId="12" r:id="rId7"/>
    <sheet name="test orthogonalité variables" sheetId="26" r:id="rId8"/>
    <sheet name="comp. mat.corr.steiger" sheetId="28" r:id="rId9"/>
    <sheet name="comp.mat.corr.jennrich" sheetId="27" r:id="rId10"/>
    <sheet name="comp.2.groupes.dependants" sheetId="13" r:id="rId11"/>
    <sheet name="corr.non.linéaire" sheetId="10" r:id="rId12"/>
    <sheet name="corr. bisériale ponctuelle" sheetId="14" r:id="rId13"/>
    <sheet name="corr.mutuelle (bisériale)" sheetId="15" r:id="rId14"/>
    <sheet name="coef. phi" sheetId="16" r:id="rId15"/>
    <sheet name="rho.spearman" sheetId="17" r:id="rId16"/>
    <sheet name="tau.kendall" sheetId="19" r:id="rId17"/>
    <sheet name="corr.partielle.1" sheetId="20" r:id="rId18"/>
    <sheet name="cor.partielle.2" sheetId="21" r:id="rId19"/>
    <sheet name="cor.partielle.2 (reg.)" sheetId="22" r:id="rId20"/>
    <sheet name="rho.partiel" sheetId="23" r:id="rId21"/>
    <sheet name="cor.semi.partielle.1" sheetId="24" r:id="rId22"/>
    <sheet name="cor.semi.partielle.2" sheetId="25" r:id="rId23"/>
    <sheet name="rapport.corrélation" sheetId="11" r:id="rId24"/>
    <sheet name="points.aberrants" sheetId="8" r:id="rId25"/>
  </sheets>
  <definedNames>
    <definedName name="_xlnm._FilterDatabase" localSheetId="3" hidden="1">'lien.taille.poids'!#REF!</definedName>
    <definedName name="_xlnm.Criteria" localSheetId="3">'lien.taille.poids'!#REF!</definedName>
    <definedName name="_xlnm.Extract" localSheetId="3">'lien.taille.poids'!$F$2:$G$2</definedName>
  </definedNames>
  <calcPr calcId="191028"/>
  <pivotCaches>
    <pivotCache cacheId="2594" r:id="rId26"/>
    <pivotCache cacheId="2595" r:id="rId27"/>
    <pivotCache cacheId="2596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27" l="1"/>
  <c r="Q27" i="28"/>
  <c r="Q26" i="28"/>
  <c r="Q34" i="28"/>
  <c r="M19" i="28"/>
  <c r="T13" i="28"/>
  <c r="M18" i="28"/>
  <c r="K20" i="28"/>
  <c r="R14" i="28"/>
  <c r="L18" i="28"/>
  <c r="S12" i="28"/>
  <c r="M17" i="28"/>
  <c r="J20" i="28"/>
  <c r="Q14" i="28"/>
  <c r="L17" i="28"/>
  <c r="J19" i="28"/>
  <c r="Q13" i="28"/>
  <c r="K17" i="28"/>
  <c r="R11" i="28"/>
  <c r="M6" i="28"/>
  <c r="T6" i="28"/>
  <c r="M5" i="28"/>
  <c r="L5" i="28"/>
  <c r="M4" i="28"/>
  <c r="J7" i="28"/>
  <c r="L4" i="28"/>
  <c r="K4" i="28"/>
  <c r="P11" i="27"/>
  <c r="Q12" i="27"/>
  <c r="R13" i="27"/>
  <c r="O10" i="27"/>
  <c r="I24" i="27"/>
  <c r="I23" i="27"/>
  <c r="L13" i="27" s="1"/>
  <c r="R20" i="27" s="1"/>
  <c r="R5" i="27"/>
  <c r="Q6" i="27"/>
  <c r="R4" i="27"/>
  <c r="P6" i="27"/>
  <c r="Q4" i="27"/>
  <c r="P5" i="27"/>
  <c r="Q3" i="27"/>
  <c r="O5" i="27"/>
  <c r="R3" i="27"/>
  <c r="O6" i="27"/>
  <c r="P3" i="27"/>
  <c r="O4" i="27"/>
  <c r="L5" i="27"/>
  <c r="L12" i="27" s="1"/>
  <c r="R19" i="27" s="1"/>
  <c r="R12" i="27"/>
  <c r="L4" i="27"/>
  <c r="L11" i="27"/>
  <c r="R18" i="27"/>
  <c r="K4" i="27"/>
  <c r="J5" i="27"/>
  <c r="K3" i="27"/>
  <c r="I5" i="27"/>
  <c r="L3" i="27"/>
  <c r="R10" i="27"/>
  <c r="J3" i="27"/>
  <c r="P10" i="27"/>
  <c r="I4" i="27"/>
  <c r="O11" i="27"/>
  <c r="I33" i="26"/>
  <c r="I18" i="26"/>
  <c r="L8" i="26"/>
  <c r="L27" i="26" s="1"/>
  <c r="K9" i="26"/>
  <c r="L7" i="26"/>
  <c r="L26" i="26" s="1"/>
  <c r="J9" i="26"/>
  <c r="K7" i="26"/>
  <c r="K26" i="26" s="1"/>
  <c r="J8" i="26"/>
  <c r="K6" i="26"/>
  <c r="K25" i="26" s="1"/>
  <c r="I8" i="26"/>
  <c r="L6" i="26"/>
  <c r="L25" i="26" s="1"/>
  <c r="I9" i="26"/>
  <c r="J6" i="26"/>
  <c r="J25" i="26" s="1"/>
  <c r="I32" i="26" s="1"/>
  <c r="I35" i="26" s="1"/>
  <c r="C45" i="26"/>
  <c r="C35" i="26"/>
  <c r="C37" i="26"/>
  <c r="C40" i="26"/>
  <c r="I17" i="21"/>
  <c r="K16" i="20"/>
  <c r="E39" i="11"/>
  <c r="E40" i="11"/>
  <c r="E41" i="11"/>
  <c r="E42" i="11"/>
  <c r="E43" i="11"/>
  <c r="E36" i="11"/>
  <c r="E47" i="11"/>
  <c r="E48" i="11"/>
  <c r="B50" i="11"/>
  <c r="B51" i="11"/>
  <c r="E55" i="11"/>
  <c r="B55" i="11"/>
  <c r="H28" i="25" a="1"/>
  <c r="H28" i="25"/>
  <c r="I28" i="25"/>
  <c r="H5" i="25" a="1"/>
  <c r="H6" i="25"/>
  <c r="I6" i="25"/>
  <c r="H11" i="25" a="1"/>
  <c r="I11" i="25"/>
  <c r="J11" i="25"/>
  <c r="H12" i="25"/>
  <c r="H13" i="25"/>
  <c r="I13" i="25"/>
  <c r="I5" i="24"/>
  <c r="I6" i="24"/>
  <c r="I7" i="24"/>
  <c r="H16" i="24"/>
  <c r="E3" i="23"/>
  <c r="F3" i="23"/>
  <c r="E4" i="23"/>
  <c r="F4" i="23"/>
  <c r="E5" i="23"/>
  <c r="F5" i="23"/>
  <c r="E6" i="23"/>
  <c r="E7" i="23"/>
  <c r="F7" i="23"/>
  <c r="E8" i="23"/>
  <c r="F8" i="23"/>
  <c r="E9" i="23"/>
  <c r="F9" i="23"/>
  <c r="E10" i="23"/>
  <c r="F10" i="23"/>
  <c r="E11" i="23"/>
  <c r="F11" i="23"/>
  <c r="E12" i="23"/>
  <c r="E13" i="23"/>
  <c r="E14" i="23"/>
  <c r="F14" i="23"/>
  <c r="E15" i="23"/>
  <c r="F15" i="23"/>
  <c r="E16" i="23"/>
  <c r="F16" i="23"/>
  <c r="E17" i="23"/>
  <c r="E18" i="23"/>
  <c r="F18" i="23"/>
  <c r="E19" i="23"/>
  <c r="F19" i="23"/>
  <c r="E20" i="23"/>
  <c r="E21" i="23"/>
  <c r="F22" i="23"/>
  <c r="F23" i="23"/>
  <c r="E24" i="23"/>
  <c r="F24" i="23"/>
  <c r="E25" i="23"/>
  <c r="F25" i="23"/>
  <c r="E26" i="23"/>
  <c r="F26" i="23"/>
  <c r="E27" i="23"/>
  <c r="F27" i="23"/>
  <c r="E28" i="23"/>
  <c r="F28" i="23"/>
  <c r="E29" i="23"/>
  <c r="F29" i="23"/>
  <c r="E30" i="23"/>
  <c r="F30" i="23"/>
  <c r="E31" i="23"/>
  <c r="F31" i="23"/>
  <c r="E32" i="23"/>
  <c r="F32" i="23"/>
  <c r="E33" i="23"/>
  <c r="E34" i="23"/>
  <c r="F34" i="23"/>
  <c r="E35" i="23"/>
  <c r="F35" i="23"/>
  <c r="E36" i="23"/>
  <c r="E37" i="23"/>
  <c r="E38" i="23"/>
  <c r="F38" i="23"/>
  <c r="E39" i="23"/>
  <c r="F39" i="23"/>
  <c r="E40" i="23"/>
  <c r="F40" i="23"/>
  <c r="E41" i="23"/>
  <c r="F41" i="23"/>
  <c r="E42" i="23"/>
  <c r="F42" i="23"/>
  <c r="E43" i="23"/>
  <c r="F43" i="23"/>
  <c r="E4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C39" i="22" a="1"/>
  <c r="E39" i="22"/>
  <c r="C39" i="22"/>
  <c r="D39" i="22"/>
  <c r="H5" i="22" s="1"/>
  <c r="C35" i="22" a="1"/>
  <c r="E35" i="22"/>
  <c r="C35" i="22"/>
  <c r="D35" i="22"/>
  <c r="I18" i="21"/>
  <c r="I9" i="21"/>
  <c r="F36" i="21"/>
  <c r="F35" i="21"/>
  <c r="E35" i="21"/>
  <c r="F42" i="21" s="1"/>
  <c r="E34" i="21"/>
  <c r="F34" i="21"/>
  <c r="F41" i="21" s="1"/>
  <c r="D34" i="21"/>
  <c r="D41" i="21"/>
  <c r="D48" i="21"/>
  <c r="I5" i="21"/>
  <c r="K17" i="20"/>
  <c r="J5" i="20"/>
  <c r="J6" i="20"/>
  <c r="J7" i="20"/>
  <c r="H15" i="20"/>
  <c r="E30" i="19"/>
  <c r="F30" i="19"/>
  <c r="G30" i="19"/>
  <c r="H30" i="19"/>
  <c r="I30" i="19"/>
  <c r="J30" i="19"/>
  <c r="K30" i="19"/>
  <c r="J37" i="19"/>
  <c r="J38" i="19"/>
  <c r="J39" i="19"/>
  <c r="J40" i="19"/>
  <c r="J41" i="19"/>
  <c r="J42" i="19"/>
  <c r="J43" i="19"/>
  <c r="E37" i="19"/>
  <c r="E38" i="19"/>
  <c r="E39" i="19"/>
  <c r="E40" i="19"/>
  <c r="E41" i="19"/>
  <c r="E42" i="19" s="1"/>
  <c r="E5" i="19"/>
  <c r="E6" i="19"/>
  <c r="E7" i="19"/>
  <c r="E8" i="19"/>
  <c r="E9" i="19"/>
  <c r="E10" i="19"/>
  <c r="F6" i="19"/>
  <c r="F7" i="19"/>
  <c r="F8" i="19"/>
  <c r="F9" i="19"/>
  <c r="G7" i="19"/>
  <c r="G8" i="19"/>
  <c r="G9" i="19"/>
  <c r="H7" i="19"/>
  <c r="H8" i="19"/>
  <c r="H9" i="19"/>
  <c r="H10" i="19" s="1"/>
  <c r="I8" i="19"/>
  <c r="I9" i="19"/>
  <c r="I10" i="19"/>
  <c r="AO29" i="17"/>
  <c r="AL48" i="17"/>
  <c r="AL49" i="17"/>
  <c r="AL47" i="17"/>
  <c r="AN8" i="17"/>
  <c r="AO8" i="17"/>
  <c r="AN9" i="17"/>
  <c r="AO9" i="17"/>
  <c r="AN10" i="17"/>
  <c r="AO10" i="17"/>
  <c r="AN6" i="17"/>
  <c r="AO6" i="17"/>
  <c r="AN7" i="17"/>
  <c r="AO7" i="17"/>
  <c r="AN11" i="17"/>
  <c r="AO11" i="17"/>
  <c r="AN12" i="17"/>
  <c r="AO12" i="17"/>
  <c r="AN13" i="17"/>
  <c r="AO13" i="17"/>
  <c r="AN14" i="17"/>
  <c r="AO14" i="17"/>
  <c r="AN15" i="17"/>
  <c r="AO15" i="17"/>
  <c r="AN16" i="17"/>
  <c r="AO16" i="17"/>
  <c r="AN17" i="17"/>
  <c r="AO17" i="17"/>
  <c r="AK23" i="17"/>
  <c r="AK24" i="17"/>
  <c r="AK25" i="17"/>
  <c r="AK26" i="17"/>
  <c r="AK27" i="17"/>
  <c r="AK28" i="17"/>
  <c r="AK29" i="17"/>
  <c r="AK30" i="17"/>
  <c r="AK31" i="17"/>
  <c r="AO23" i="17"/>
  <c r="AA6" i="17"/>
  <c r="AA7" i="17"/>
  <c r="AA8" i="17"/>
  <c r="AA9" i="17"/>
  <c r="AA10" i="17"/>
  <c r="AA11" i="17"/>
  <c r="AA12" i="17"/>
  <c r="Z7" i="17"/>
  <c r="Z8" i="17"/>
  <c r="Z9" i="17"/>
  <c r="Z10" i="17"/>
  <c r="Z11" i="17"/>
  <c r="Z12" i="17"/>
  <c r="Z6" i="17"/>
  <c r="AA16" i="17"/>
  <c r="AA18" i="17"/>
  <c r="AA19" i="17"/>
  <c r="X16" i="17"/>
  <c r="X15" i="17"/>
  <c r="C13" i="18"/>
  <c r="C12" i="18"/>
  <c r="O6" i="17"/>
  <c r="O7" i="17"/>
  <c r="O8" i="17"/>
  <c r="O9" i="17"/>
  <c r="O10" i="17"/>
  <c r="O11" i="17"/>
  <c r="N7" i="17"/>
  <c r="N8" i="17"/>
  <c r="N9" i="17"/>
  <c r="N10" i="17"/>
  <c r="N11" i="17"/>
  <c r="N6" i="17"/>
  <c r="M13" i="17"/>
  <c r="D2" i="17"/>
  <c r="E2" i="17"/>
  <c r="F2" i="17" s="1"/>
  <c r="D3" i="17"/>
  <c r="E3" i="17"/>
  <c r="G3" i="17" s="1"/>
  <c r="H3" i="17" s="1"/>
  <c r="D4" i="17"/>
  <c r="E4" i="17"/>
  <c r="F4" i="17" s="1"/>
  <c r="D5" i="17"/>
  <c r="E5" i="17"/>
  <c r="G5" i="17" s="1"/>
  <c r="H5" i="17" s="1"/>
  <c r="D6" i="17"/>
  <c r="E6" i="17"/>
  <c r="F6" i="17" s="1"/>
  <c r="D7" i="17"/>
  <c r="E7" i="17"/>
  <c r="G7" i="17" s="1"/>
  <c r="H7" i="17" s="1"/>
  <c r="D8" i="17"/>
  <c r="E8" i="17"/>
  <c r="F8" i="17" s="1"/>
  <c r="D9" i="17"/>
  <c r="E9" i="17"/>
  <c r="G9" i="17" s="1"/>
  <c r="H9" i="17" s="1"/>
  <c r="D10" i="17"/>
  <c r="E10" i="17"/>
  <c r="F10" i="17" s="1"/>
  <c r="D11" i="17"/>
  <c r="E11" i="17"/>
  <c r="G11" i="17" s="1"/>
  <c r="H11" i="17" s="1"/>
  <c r="D12" i="17"/>
  <c r="E12" i="17"/>
  <c r="F12" i="17" s="1"/>
  <c r="D13" i="17"/>
  <c r="E13" i="17"/>
  <c r="G13" i="17" s="1"/>
  <c r="H13" i="17" s="1"/>
  <c r="D14" i="17"/>
  <c r="E14" i="17"/>
  <c r="F14" i="17" s="1"/>
  <c r="D15" i="17"/>
  <c r="E15" i="17"/>
  <c r="G15" i="17" s="1"/>
  <c r="H15" i="17" s="1"/>
  <c r="D16" i="17"/>
  <c r="E16" i="17"/>
  <c r="F16" i="17" s="1"/>
  <c r="B18" i="17"/>
  <c r="F3" i="17"/>
  <c r="F7" i="17"/>
  <c r="F11" i="17"/>
  <c r="F15" i="17"/>
  <c r="B20" i="17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" i="16"/>
  <c r="G40" i="16" s="1"/>
  <c r="G35" i="16"/>
  <c r="C41" i="16"/>
  <c r="G37" i="16"/>
  <c r="G39" i="16"/>
  <c r="G42" i="16"/>
  <c r="E4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B34" i="15"/>
  <c r="B43" i="15"/>
  <c r="B40" i="15"/>
  <c r="G32" i="14"/>
  <c r="G34" i="14" s="1"/>
  <c r="G30" i="14"/>
  <c r="G35" i="14"/>
  <c r="G37" i="14"/>
  <c r="C40" i="14"/>
  <c r="C45" i="14"/>
  <c r="C42" i="14"/>
  <c r="C44" i="14" s="1"/>
  <c r="C47" i="14" s="1"/>
  <c r="H9" i="13"/>
  <c r="H15" i="13" s="1"/>
  <c r="H4" i="13"/>
  <c r="H12" i="13"/>
  <c r="H6" i="13"/>
  <c r="H7" i="13"/>
  <c r="H14" i="13"/>
  <c r="E45" i="7"/>
  <c r="C27" i="12"/>
  <c r="C30" i="12"/>
  <c r="C26" i="12"/>
  <c r="C29" i="12"/>
  <c r="E27" i="12"/>
  <c r="E30" i="12"/>
  <c r="E26" i="12"/>
  <c r="E29" i="12"/>
  <c r="G27" i="12"/>
  <c r="G30" i="12"/>
  <c r="G26" i="12"/>
  <c r="G29" i="12"/>
  <c r="D38" i="12"/>
  <c r="D40" i="12"/>
  <c r="B49" i="11"/>
  <c r="B54" i="11"/>
  <c r="B57" i="11"/>
  <c r="B45" i="10"/>
  <c r="B46" i="10"/>
  <c r="B47" i="10"/>
  <c r="B48" i="10"/>
  <c r="B49" i="10"/>
  <c r="B50" i="10"/>
  <c r="B44" i="10"/>
  <c r="C52" i="10"/>
  <c r="C35" i="10"/>
  <c r="C13" i="10"/>
  <c r="E42" i="9"/>
  <c r="E40" i="9"/>
  <c r="E39" i="9"/>
  <c r="D16" i="8"/>
  <c r="D15" i="8"/>
  <c r="C25" i="7"/>
  <c r="C26" i="7"/>
  <c r="G25" i="7"/>
  <c r="G26" i="7"/>
  <c r="E29" i="7" s="1"/>
  <c r="G24" i="7"/>
  <c r="C24" i="7"/>
  <c r="E41" i="7" s="1"/>
  <c r="E42" i="7"/>
  <c r="E33" i="7"/>
  <c r="J23" i="6"/>
  <c r="J25" i="6"/>
  <c r="J12" i="6"/>
  <c r="J13" i="6" s="1"/>
  <c r="J10" i="6"/>
  <c r="J6" i="6"/>
  <c r="D73" i="6"/>
  <c r="E73" i="6"/>
  <c r="C73" i="6"/>
  <c r="D37" i="6"/>
  <c r="J5" i="6"/>
  <c r="J7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G2" i="6"/>
  <c r="G31" i="6" s="1"/>
  <c r="F2" i="6"/>
  <c r="F31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D31" i="6"/>
  <c r="C31" i="6"/>
  <c r="D34" i="6" s="1"/>
  <c r="D65" i="5"/>
  <c r="E65" i="5"/>
  <c r="C65" i="5"/>
  <c r="H1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2" i="5"/>
  <c r="E31" i="5"/>
  <c r="D31" i="5"/>
  <c r="C31" i="5"/>
  <c r="H8" i="5" s="1"/>
  <c r="H9" i="5" s="1"/>
  <c r="B23" i="17"/>
  <c r="D50" i="23"/>
  <c r="I8" i="21"/>
  <c r="I11" i="21"/>
  <c r="I15" i="21"/>
  <c r="G5" i="22"/>
  <c r="F7" i="25"/>
  <c r="F11" i="25"/>
  <c r="F15" i="25"/>
  <c r="F19" i="25"/>
  <c r="F23" i="25"/>
  <c r="F27" i="25"/>
  <c r="F3" i="25"/>
  <c r="F6" i="25"/>
  <c r="F10" i="25"/>
  <c r="F14" i="25"/>
  <c r="F18" i="25"/>
  <c r="F22" i="25"/>
  <c r="F26" i="25"/>
  <c r="F30" i="25"/>
  <c r="F5" i="25"/>
  <c r="F9" i="25"/>
  <c r="F13" i="25"/>
  <c r="F17" i="25"/>
  <c r="F21" i="25"/>
  <c r="F25" i="25"/>
  <c r="F29" i="25"/>
  <c r="F4" i="25"/>
  <c r="F8" i="25"/>
  <c r="F12" i="25"/>
  <c r="F16" i="25"/>
  <c r="F20" i="25"/>
  <c r="F24" i="25"/>
  <c r="F28" i="25"/>
  <c r="E40" i="7"/>
  <c r="E44" i="7"/>
  <c r="G44" i="7"/>
  <c r="H13" i="13"/>
  <c r="H18" i="13"/>
  <c r="H20" i="13"/>
  <c r="E44" i="15"/>
  <c r="F13" i="17"/>
  <c r="F9" i="17"/>
  <c r="F5" i="17"/>
  <c r="F17" i="17"/>
  <c r="B24" i="17"/>
  <c r="G16" i="17"/>
  <c r="H16" i="17"/>
  <c r="G14" i="17"/>
  <c r="H14" i="17"/>
  <c r="G12" i="17"/>
  <c r="H12" i="17"/>
  <c r="G10" i="17"/>
  <c r="H10" i="17"/>
  <c r="G8" i="17"/>
  <c r="H8" i="17"/>
  <c r="G6" i="17"/>
  <c r="H6" i="17"/>
  <c r="G4" i="17"/>
  <c r="H4" i="17"/>
  <c r="G2" i="17"/>
  <c r="H2" i="17"/>
  <c r="H17" i="17"/>
  <c r="B25" i="17"/>
  <c r="H7" i="25"/>
  <c r="I16" i="25"/>
  <c r="I17" i="25"/>
  <c r="H5" i="25"/>
  <c r="G30" i="22"/>
  <c r="G26" i="22"/>
  <c r="G22" i="22"/>
  <c r="G18" i="22"/>
  <c r="G14" i="22"/>
  <c r="G10" i="22"/>
  <c r="G6" i="22"/>
  <c r="H30" i="22"/>
  <c r="H26" i="22"/>
  <c r="H22" i="22"/>
  <c r="H18" i="22"/>
  <c r="H14" i="22"/>
  <c r="H10" i="22"/>
  <c r="H6" i="22"/>
  <c r="E30" i="7"/>
  <c r="E32" i="7"/>
  <c r="D35" i="12"/>
  <c r="G3" i="22"/>
  <c r="G27" i="22"/>
  <c r="G23" i="22"/>
  <c r="G19" i="22"/>
  <c r="G15" i="22"/>
  <c r="G11" i="22"/>
  <c r="G7" i="22"/>
  <c r="H3" i="22"/>
  <c r="H27" i="22"/>
  <c r="H23" i="22"/>
  <c r="H19" i="22"/>
  <c r="H15" i="22"/>
  <c r="H11" i="22"/>
  <c r="H7" i="22"/>
  <c r="J13" i="25"/>
  <c r="I12" i="25"/>
  <c r="H11" i="25"/>
  <c r="I7" i="25"/>
  <c r="I5" i="25"/>
  <c r="H11" i="13"/>
  <c r="H17" i="13"/>
  <c r="H22" i="13"/>
  <c r="G28" i="22"/>
  <c r="G24" i="22"/>
  <c r="G20" i="22"/>
  <c r="G16" i="22"/>
  <c r="G12" i="22"/>
  <c r="G8" i="22"/>
  <c r="G4" i="22"/>
  <c r="H28" i="22"/>
  <c r="H24" i="22"/>
  <c r="H20" i="22"/>
  <c r="H16" i="22"/>
  <c r="H12" i="22"/>
  <c r="H8" i="22"/>
  <c r="H4" i="22"/>
  <c r="J12" i="25"/>
  <c r="G29" i="22"/>
  <c r="G25" i="22"/>
  <c r="G21" i="22"/>
  <c r="G17" i="22"/>
  <c r="G13" i="22"/>
  <c r="G9" i="22"/>
  <c r="H29" i="22"/>
  <c r="H25" i="22"/>
  <c r="H21" i="22"/>
  <c r="H17" i="22"/>
  <c r="H13" i="22"/>
  <c r="H9" i="22"/>
  <c r="B27" i="17"/>
  <c r="B28" i="17"/>
  <c r="B30" i="17"/>
  <c r="B31" i="17"/>
  <c r="I21" i="21"/>
  <c r="I24" i="21"/>
  <c r="I20" i="21"/>
  <c r="I23" i="21"/>
  <c r="H33" i="22"/>
  <c r="I30" i="25"/>
  <c r="I7" i="26"/>
  <c r="I12" i="26"/>
  <c r="I17" i="26"/>
  <c r="I20" i="26"/>
  <c r="C44" i="26"/>
  <c r="C47" i="26"/>
  <c r="T20" i="28"/>
  <c r="S21" i="28"/>
  <c r="T11" i="28"/>
  <c r="K19" i="28"/>
  <c r="R13" i="28"/>
  <c r="Q29" i="28"/>
  <c r="Q7" i="28"/>
  <c r="J5" i="28"/>
  <c r="J18" i="28"/>
  <c r="Q12" i="28"/>
  <c r="T4" i="28"/>
  <c r="K6" i="28"/>
  <c r="S4" i="28"/>
  <c r="J6" i="28"/>
  <c r="L7" i="28"/>
  <c r="S11" i="28"/>
  <c r="L20" i="28"/>
  <c r="S14" i="28"/>
  <c r="R4" i="28"/>
  <c r="R18" i="28"/>
  <c r="T5" i="28"/>
  <c r="K7" i="28"/>
  <c r="T12" i="28"/>
  <c r="S5" i="28"/>
  <c r="S19" i="28"/>
  <c r="R20" i="28"/>
  <c r="K6" i="27"/>
  <c r="K13" i="27"/>
  <c r="Q20" i="27"/>
  <c r="J6" i="27"/>
  <c r="I6" i="27"/>
  <c r="T18" i="28"/>
  <c r="Q21" i="28"/>
  <c r="T19" i="28"/>
  <c r="R21" i="28"/>
  <c r="Q19" i="28"/>
  <c r="R7" i="28"/>
  <c r="Q5" i="28"/>
  <c r="S18" i="28"/>
  <c r="Q20" i="28"/>
  <c r="Q6" i="28"/>
  <c r="R6" i="28"/>
  <c r="S7" i="28"/>
  <c r="Q24" i="28"/>
  <c r="Q32" i="28"/>
  <c r="Q36" i="28"/>
  <c r="J12" i="27"/>
  <c r="P19" i="27"/>
  <c r="O12" i="27"/>
  <c r="Q10" i="27"/>
  <c r="J10" i="27"/>
  <c r="P17" i="27"/>
  <c r="Q11" i="27"/>
  <c r="K10" i="27"/>
  <c r="Q17" i="27"/>
  <c r="J11" i="27"/>
  <c r="P18" i="27"/>
  <c r="R11" i="27"/>
  <c r="L10" i="27"/>
  <c r="R17" i="27"/>
  <c r="K11" i="27"/>
  <c r="Q18" i="27"/>
  <c r="I10" i="27"/>
  <c r="O17" i="27"/>
  <c r="K12" i="27"/>
  <c r="Q19" i="27"/>
  <c r="Q13" i="27"/>
  <c r="I26" i="27"/>
  <c r="P12" i="27"/>
  <c r="I13" i="27"/>
  <c r="O20" i="27"/>
  <c r="I11" i="27"/>
  <c r="J13" i="27"/>
  <c r="P20" i="27"/>
  <c r="O13" i="27"/>
  <c r="P13" i="27"/>
  <c r="I12" i="27"/>
  <c r="O19" i="27"/>
  <c r="O18" i="27"/>
  <c r="I17" i="27" a="1"/>
  <c r="J18" i="27"/>
  <c r="J19" i="27"/>
  <c r="J17" i="27"/>
  <c r="I17" i="27"/>
  <c r="L20" i="27"/>
  <c r="L17" i="27"/>
  <c r="I19" i="27"/>
  <c r="K18" i="27"/>
  <c r="I18" i="27"/>
  <c r="I20" i="27"/>
  <c r="K19" i="27"/>
  <c r="J20" i="27"/>
  <c r="L19" i="27"/>
  <c r="K20" i="27"/>
  <c r="L18" i="27"/>
  <c r="K17" i="27"/>
  <c r="I29" i="27" a="1"/>
  <c r="K30" i="27"/>
  <c r="J31" i="27"/>
  <c r="L31" i="27"/>
  <c r="I31" i="27"/>
  <c r="L30" i="27"/>
  <c r="L32" i="27"/>
  <c r="I41" i="27"/>
  <c r="J30" i="27"/>
  <c r="I39" i="27"/>
  <c r="J29" i="27"/>
  <c r="K29" i="27"/>
  <c r="L29" i="27"/>
  <c r="K32" i="27"/>
  <c r="K31" i="27"/>
  <c r="I40" i="27"/>
  <c r="I32" i="27"/>
  <c r="I30" i="27"/>
  <c r="J32" i="27"/>
  <c r="I29" i="27"/>
  <c r="O29" i="27" a="1"/>
  <c r="I38" i="27"/>
  <c r="Q30" i="27"/>
  <c r="R30" i="27"/>
  <c r="R32" i="27"/>
  <c r="P29" i="27"/>
  <c r="P30" i="27"/>
  <c r="P31" i="27"/>
  <c r="P32" i="27"/>
  <c r="O29" i="27"/>
  <c r="O30" i="27"/>
  <c r="R29" i="27"/>
  <c r="R31" i="27"/>
  <c r="Q29" i="27"/>
  <c r="Q31" i="27"/>
  <c r="O31" i="27"/>
  <c r="O32" i="27"/>
  <c r="Q32" i="27"/>
  <c r="I35" i="27"/>
  <c r="L37" i="27" a="1"/>
  <c r="L37" i="27"/>
  <c r="L41" i="27"/>
  <c r="E31" i="6" l="1"/>
  <c r="D33" i="6" s="1"/>
  <c r="D35" i="6" s="1"/>
  <c r="J11" i="6" s="1"/>
  <c r="D34" i="12"/>
  <c r="D33" i="12"/>
  <c r="D37" i="12" s="1"/>
  <c r="D42" i="12" s="1"/>
  <c r="B33" i="15"/>
  <c r="B32" i="15"/>
  <c r="AO18" i="17"/>
  <c r="AO25" i="17" s="1"/>
  <c r="AO27" i="17" s="1"/>
  <c r="G10" i="19"/>
  <c r="F10" i="19"/>
  <c r="K10" i="19" s="1"/>
  <c r="E14" i="19" s="1"/>
  <c r="E16" i="19" s="1"/>
  <c r="M30" i="19"/>
  <c r="N34" i="19" s="1"/>
  <c r="N36" i="19" s="1"/>
  <c r="N37" i="19" s="1"/>
  <c r="I10" i="20"/>
  <c r="G46" i="23"/>
  <c r="D49" i="23"/>
  <c r="H11" i="24"/>
  <c r="H15" i="24" s="1"/>
  <c r="H18" i="24" s="1"/>
  <c r="E44" i="11"/>
  <c r="E51" i="11" s="1"/>
  <c r="E54" i="11" s="1"/>
  <c r="E57" i="11" s="1"/>
  <c r="K14" i="20" l="1"/>
  <c r="H14" i="20"/>
  <c r="H17" i="20" s="1"/>
  <c r="B42" i="15"/>
  <c r="B36" i="15"/>
  <c r="B37" i="15" s="1"/>
  <c r="B38" i="15" s="1"/>
  <c r="E46" i="15"/>
  <c r="J24" i="6"/>
  <c r="J16" i="6"/>
  <c r="J19" i="6" s="1"/>
  <c r="J15" i="6"/>
  <c r="J18" i="6" s="1"/>
  <c r="B46" i="15" l="1"/>
  <c r="B48" i="15" s="1"/>
  <c r="B49" i="15" s="1"/>
  <c r="K20" i="20"/>
  <c r="K23" i="20" s="1"/>
  <c r="K19" i="20"/>
  <c r="K22" i="20" s="1"/>
  <c r="D48" i="23"/>
  <c r="O13" i="17"/>
  <c r="G48" i="23"/>
  <c r="G50" i="23"/>
  <c r="G51" i="23"/>
</calcChain>
</file>

<file path=xl/sharedStrings.xml><?xml version="1.0" encoding="utf-8"?>
<sst xmlns="http://schemas.openxmlformats.org/spreadsheetml/2006/main" count="1243" uniqueCount="328">
  <si>
    <t>Numero</t>
  </si>
  <si>
    <t>Modele</t>
  </si>
  <si>
    <t xml:space="preserve">Cylindree </t>
  </si>
  <si>
    <t xml:space="preserve">Puissance </t>
  </si>
  <si>
    <t xml:space="preserve">Poids </t>
  </si>
  <si>
    <t>Conso</t>
  </si>
  <si>
    <t>Daihatsu Cuore</t>
  </si>
  <si>
    <t>Suzuki Swift 1.0 GLS</t>
  </si>
  <si>
    <t>Fiat Panda Mambo L</t>
  </si>
  <si>
    <t>VW Polo 1.4 60</t>
  </si>
  <si>
    <t>Opel Corsa 1.2i Eco</t>
  </si>
  <si>
    <t>Subaru Vivio 4WD</t>
  </si>
  <si>
    <t>Toyota Corolla</t>
  </si>
  <si>
    <t>Opel Astra 1.6i 16V</t>
  </si>
  <si>
    <t>Peugeot 306 XS 108</t>
  </si>
  <si>
    <t>Renault Safrane 2.2. V</t>
  </si>
  <si>
    <t>Seat Ibiza 2.0 GTI</t>
  </si>
  <si>
    <t>VW Golt 2.0 GTI</t>
  </si>
  <si>
    <t>Citroen ZX Volcane</t>
  </si>
  <si>
    <t>Fiat Tempra 1.6 Liberty</t>
  </si>
  <si>
    <t>Fort Escort 1.4i PT</t>
  </si>
  <si>
    <t>Honda Civic Joker 1.4</t>
  </si>
  <si>
    <t>Volvo 850 2.5</t>
  </si>
  <si>
    <t>Ford Fiesta 1.2 Zetec</t>
  </si>
  <si>
    <t>Hyundai Sonata 3000</t>
  </si>
  <si>
    <t>Lancia K 3.0 LS</t>
  </si>
  <si>
    <t>Mazda Hachtback V</t>
  </si>
  <si>
    <t>Mitsubishi Galant</t>
  </si>
  <si>
    <t>Opel Omega 2.5i V6</t>
  </si>
  <si>
    <t>Peugeot 806 2.0</t>
  </si>
  <si>
    <t>Nissan Primera 2.0</t>
  </si>
  <si>
    <t>Seat Alhambra 2.0</t>
  </si>
  <si>
    <t>Toyota Previa salon</t>
  </si>
  <si>
    <t>Volvo 960 Kombi aut</t>
  </si>
  <si>
    <t>XY</t>
  </si>
  <si>
    <t>Cov.Empirique</t>
  </si>
  <si>
    <t>Cov.Non-Biaisé</t>
  </si>
  <si>
    <t>Cov.Excel</t>
  </si>
  <si>
    <t>n</t>
  </si>
  <si>
    <t>Moyenne</t>
  </si>
  <si>
    <t>Somme</t>
  </si>
  <si>
    <t>Comparaison de covariance</t>
  </si>
  <si>
    <t>cov (conso,…)</t>
  </si>
  <si>
    <t>X²</t>
  </si>
  <si>
    <t>Y²</t>
  </si>
  <si>
    <t>Test de significativité</t>
  </si>
  <si>
    <t>t</t>
  </si>
  <si>
    <t>t-théorique (5%)</t>
  </si>
  <si>
    <t>p-value</t>
  </si>
  <si>
    <t>Intervalle de confiance</t>
  </si>
  <si>
    <t>u(0.975)</t>
  </si>
  <si>
    <t>z</t>
  </si>
  <si>
    <t>Variance(z)</t>
  </si>
  <si>
    <t>Ecart type(z)</t>
  </si>
  <si>
    <t>bb(z)</t>
  </si>
  <si>
    <t>bh(z)</t>
  </si>
  <si>
    <t>bb(r)</t>
  </si>
  <si>
    <t>bh(r)</t>
  </si>
  <si>
    <t>Comparaison avec 0.8</t>
  </si>
  <si>
    <t>z_0</t>
  </si>
  <si>
    <t>U</t>
  </si>
  <si>
    <t>u_0.95</t>
  </si>
  <si>
    <t>Numérateur</t>
  </si>
  <si>
    <t>Dénominateur</t>
  </si>
  <si>
    <t>Corrélation</t>
  </si>
  <si>
    <t>Coef.Corr.Excel</t>
  </si>
  <si>
    <t>Comparaison de corrélation</t>
  </si>
  <si>
    <t>cor(poids,…)</t>
  </si>
  <si>
    <t>Femmes</t>
  </si>
  <si>
    <t>Hommes</t>
  </si>
  <si>
    <t>Poids (kg)</t>
  </si>
  <si>
    <t>Taille (m)</t>
  </si>
  <si>
    <t>n1</t>
  </si>
  <si>
    <t>n2</t>
  </si>
  <si>
    <t>r1</t>
  </si>
  <si>
    <t>r2</t>
  </si>
  <si>
    <t>z1</t>
  </si>
  <si>
    <t>z2</t>
  </si>
  <si>
    <t>D</t>
  </si>
  <si>
    <t>V(D)</t>
  </si>
  <si>
    <t>Formule généralisée</t>
  </si>
  <si>
    <t>A</t>
  </si>
  <si>
    <t>B</t>
  </si>
  <si>
    <t>C</t>
  </si>
  <si>
    <t>KHI-2</t>
  </si>
  <si>
    <t>KHI-2 (0.95 ; 1)</t>
  </si>
  <si>
    <t>Cheveux (cm)</t>
  </si>
  <si>
    <t>r (hommes)</t>
  </si>
  <si>
    <t>r (femmes)</t>
  </si>
  <si>
    <t>r (global)</t>
  </si>
  <si>
    <t>X</t>
  </si>
  <si>
    <t>Y</t>
  </si>
  <si>
    <t>r (6 points)</t>
  </si>
  <si>
    <t>r (7 points)</t>
  </si>
  <si>
    <t>Europe</t>
  </si>
  <si>
    <t>Japon</t>
  </si>
  <si>
    <t>U.S.A</t>
  </si>
  <si>
    <t>Poids</t>
  </si>
  <si>
    <t>r3</t>
  </si>
  <si>
    <t>n3</t>
  </si>
  <si>
    <t>z3</t>
  </si>
  <si>
    <t>n1-3</t>
  </si>
  <si>
    <t>n2-3</t>
  </si>
  <si>
    <t>n3-3</t>
  </si>
  <si>
    <t>ddl</t>
  </si>
  <si>
    <t>KHI-2 (0.95; 2)</t>
  </si>
  <si>
    <t>Matrice des corrélations - R</t>
  </si>
  <si>
    <t>| R |</t>
  </si>
  <si>
    <t>p</t>
  </si>
  <si>
    <t>KHI-DEUX</t>
  </si>
  <si>
    <t>Matrice z (Transformation de Fisher)</t>
  </si>
  <si>
    <t>KHI-DEUX_s</t>
  </si>
  <si>
    <t>Test de significativité de la corrélation entre Cylindrée et Puissance</t>
  </si>
  <si>
    <t>Via le test de Bartlett</t>
  </si>
  <si>
    <t>r</t>
  </si>
  <si>
    <t>Rappel test de Student</t>
  </si>
  <si>
    <t>Véhicules asiatiques</t>
  </si>
  <si>
    <t>R1</t>
  </si>
  <si>
    <t>Z1</t>
  </si>
  <si>
    <t>Z2</t>
  </si>
  <si>
    <t>Véhicules européens</t>
  </si>
  <si>
    <t>R2</t>
  </si>
  <si>
    <t>D²</t>
  </si>
  <si>
    <t>S</t>
  </si>
  <si>
    <t>c</t>
  </si>
  <si>
    <t>R</t>
  </si>
  <si>
    <t>R1-R2</t>
  </si>
  <si>
    <t>R^(-1)</t>
  </si>
  <si>
    <t>Z</t>
  </si>
  <si>
    <t>Z *t(Z)</t>
  </si>
  <si>
    <t>tr(Z *t(Z))</t>
  </si>
  <si>
    <t>diag(Z)</t>
  </si>
  <si>
    <t>r (Y,X)</t>
  </si>
  <si>
    <t>r (Y,Z)</t>
  </si>
  <si>
    <t>r (X,Z)</t>
  </si>
  <si>
    <t>r-barre</t>
  </si>
  <si>
    <t>t(0.975 ; 25)</t>
  </si>
  <si>
    <t>r(X,Y)</t>
  </si>
  <si>
    <t>(A) Liaison fonctionnelle non linéaire et non monotone</t>
  </si>
  <si>
    <t>Z = X²</t>
  </si>
  <si>
    <t>r(Z,Y)</t>
  </si>
  <si>
    <t>(B) Linéarisation par transformation de variables</t>
  </si>
  <si>
    <t>Genre(Homme)</t>
  </si>
  <si>
    <t>Taille</t>
  </si>
  <si>
    <t>Comparaison de moyennes</t>
  </si>
  <si>
    <t>Ecarts type</t>
  </si>
  <si>
    <t>Données</t>
  </si>
  <si>
    <t>Genre(M)</t>
  </si>
  <si>
    <t>Nombre de Taille2</t>
  </si>
  <si>
    <t>Moyenne de Taille</t>
  </si>
  <si>
    <t>Écartype de Taille</t>
  </si>
  <si>
    <t>Total</t>
  </si>
  <si>
    <t>r_pb</t>
  </si>
  <si>
    <t>s²</t>
  </si>
  <si>
    <t>Analyse de corrélation</t>
  </si>
  <si>
    <t>X 
(Cylindrée &gt; 1200)</t>
  </si>
  <si>
    <t>Puissance (Y)</t>
  </si>
  <si>
    <t>n_1</t>
  </si>
  <si>
    <t>n_0</t>
  </si>
  <si>
    <t>n_1/n</t>
  </si>
  <si>
    <t>u(n_1/n)</t>
  </si>
  <si>
    <t>lambda</t>
  </si>
  <si>
    <t>Coefficient de Pearson 
(sur les variables originelles)</t>
  </si>
  <si>
    <t>s_{n-1}</t>
  </si>
  <si>
    <t>m_1</t>
  </si>
  <si>
    <t>m_0</t>
  </si>
  <si>
    <t>Coefficient bisériale ponctuelle</t>
  </si>
  <si>
    <t>Coefficient de corrélation mutuelle (bisériale)</t>
  </si>
  <si>
    <t>r_b</t>
  </si>
  <si>
    <t>r_b (vérification)</t>
  </si>
  <si>
    <t>(Cylindrée &gt; 1800)</t>
  </si>
  <si>
    <t>(Puissance &gt; 75)</t>
  </si>
  <si>
    <t>Puissance</t>
  </si>
  <si>
    <t>Coefficient phi</t>
  </si>
  <si>
    <t>Nombre de Y</t>
  </si>
  <si>
    <t>Corr.Pearson</t>
  </si>
  <si>
    <t>Phi</t>
  </si>
  <si>
    <t>Numéro</t>
  </si>
  <si>
    <t>R_i</t>
  </si>
  <si>
    <t>S_i</t>
  </si>
  <si>
    <t>R_i x S_i</t>
  </si>
  <si>
    <t>D_i</t>
  </si>
  <si>
    <t>D_i^2</t>
  </si>
  <si>
    <t>Relation monotone non-linéaire</t>
  </si>
  <si>
    <t>Influence des points atypiques</t>
  </si>
  <si>
    <t>Traitement des ex-aequo</t>
  </si>
  <si>
    <t>Individu</t>
  </si>
  <si>
    <t>E</t>
  </si>
  <si>
    <t>F</t>
  </si>
  <si>
    <t>G</t>
  </si>
  <si>
    <t>rho</t>
  </si>
  <si>
    <t>H</t>
  </si>
  <si>
    <t>I</t>
  </si>
  <si>
    <t>J</t>
  </si>
  <si>
    <t>K</t>
  </si>
  <si>
    <t>L</t>
  </si>
  <si>
    <t>r Pearson</t>
  </si>
  <si>
    <t>Valeur (Rang.Moyen)</t>
  </si>
  <si>
    <t>t_g</t>
  </si>
  <si>
    <t>Calc (Tx)</t>
  </si>
  <si>
    <t>rho (1)</t>
  </si>
  <si>
    <t>Tx</t>
  </si>
  <si>
    <t>rho (2)</t>
  </si>
  <si>
    <t>Ty</t>
  </si>
  <si>
    <t>rho (3)</t>
  </si>
  <si>
    <t>Somme(D_i^2)</t>
  </si>
  <si>
    <t>Somme = Tx</t>
  </si>
  <si>
    <t>Calcul des rangs moyens</t>
  </si>
  <si>
    <t>Rangs bruts</t>
  </si>
  <si>
    <t>Rangs moyens</t>
  </si>
  <si>
    <t>Calcul de Tau</t>
  </si>
  <si>
    <t>n°1</t>
  </si>
  <si>
    <t>n°2</t>
  </si>
  <si>
    <t>n°3</t>
  </si>
  <si>
    <t>n°4</t>
  </si>
  <si>
    <t>n°5</t>
  </si>
  <si>
    <t>==&gt;</t>
  </si>
  <si>
    <t>Tau</t>
  </si>
  <si>
    <t>Calcul de Tau avec ex-aequo</t>
  </si>
  <si>
    <t>Copie</t>
  </si>
  <si>
    <t>Note.Expé</t>
  </si>
  <si>
    <t>Note.Novice</t>
  </si>
  <si>
    <t>G.x</t>
  </si>
  <si>
    <t>G.y</t>
  </si>
  <si>
    <t>Valeurs</t>
  </si>
  <si>
    <t>Calc(E.x)</t>
  </si>
  <si>
    <t>Calc(E.y)</t>
  </si>
  <si>
    <t>E.x</t>
  </si>
  <si>
    <t>E.y</t>
  </si>
  <si>
    <t>Corrélations brutes</t>
  </si>
  <si>
    <t>Cylindrée</t>
  </si>
  <si>
    <t>Corrélation partielle</t>
  </si>
  <si>
    <t>r_xy.z</t>
  </si>
  <si>
    <t>Intervalle de confiance à 95%</t>
  </si>
  <si>
    <t>f</t>
  </si>
  <si>
    <t>e.t.</t>
  </si>
  <si>
    <t>bb(f)</t>
  </si>
  <si>
    <t>bh(f)</t>
  </si>
  <si>
    <t>bb ( r)</t>
  </si>
  <si>
    <t>bh ( r)</t>
  </si>
  <si>
    <t>Test de siginificativité</t>
  </si>
  <si>
    <t>t(0.975; 24)</t>
  </si>
  <si>
    <t>e.t</t>
  </si>
  <si>
    <t>Corrélations brutes croisées</t>
  </si>
  <si>
    <t>Corrélations partielles / Z1 (cylindrée)</t>
  </si>
  <si>
    <t>-</t>
  </si>
  <si>
    <t>Corrélations partielles / Z1,Z2 (cylindrée, poids)</t>
  </si>
  <si>
    <t>Résidus</t>
  </si>
  <si>
    <t>e_X</t>
  </si>
  <si>
    <t>e_Y</t>
  </si>
  <si>
    <t>Reg X/Z1,Z2</t>
  </si>
  <si>
    <t>Const.</t>
  </si>
  <si>
    <t>Reg Y/Z1,Z2</t>
  </si>
  <si>
    <t>STATE</t>
  </si>
  <si>
    <t>CIG</t>
  </si>
  <si>
    <t>BLAD</t>
  </si>
  <si>
    <t>LUNG</t>
  </si>
  <si>
    <t>T</t>
  </si>
  <si>
    <t>UT</t>
  </si>
  <si>
    <t>MS</t>
  </si>
  <si>
    <t>SC</t>
  </si>
  <si>
    <t>AL</t>
  </si>
  <si>
    <t>AR</t>
  </si>
  <si>
    <t>ND</t>
  </si>
  <si>
    <t>TE</t>
  </si>
  <si>
    <t>ID</t>
  </si>
  <si>
    <t>SD</t>
  </si>
  <si>
    <t>NM</t>
  </si>
  <si>
    <t>WA</t>
  </si>
  <si>
    <t>WI</t>
  </si>
  <si>
    <t>LA</t>
  </si>
  <si>
    <t>KS</t>
  </si>
  <si>
    <t>MN</t>
  </si>
  <si>
    <t>IO</t>
  </si>
  <si>
    <t>TX</t>
  </si>
  <si>
    <t>WV</t>
  </si>
  <si>
    <t>NB</t>
  </si>
  <si>
    <t>KY</t>
  </si>
  <si>
    <t>OK</t>
  </si>
  <si>
    <t>MT</t>
  </si>
  <si>
    <t>PE</t>
  </si>
  <si>
    <t>MI</t>
  </si>
  <si>
    <t>AZ</t>
  </si>
  <si>
    <t>VT</t>
  </si>
  <si>
    <t>MD</t>
  </si>
  <si>
    <t>IN</t>
  </si>
  <si>
    <t>OH</t>
  </si>
  <si>
    <t>MA</t>
  </si>
  <si>
    <t>MO</t>
  </si>
  <si>
    <t>IL</t>
  </si>
  <si>
    <t>WY</t>
  </si>
  <si>
    <t>FL</t>
  </si>
  <si>
    <t>CA</t>
  </si>
  <si>
    <t>NJ</t>
  </si>
  <si>
    <t>ME</t>
  </si>
  <si>
    <t>NY</t>
  </si>
  <si>
    <t>RI</t>
  </si>
  <si>
    <t>AK</t>
  </si>
  <si>
    <t>CT</t>
  </si>
  <si>
    <t>DE</t>
  </si>
  <si>
    <t>Rho de Spearman</t>
  </si>
  <si>
    <t>rho (partiel)</t>
  </si>
  <si>
    <t>Corrélation semi-partielle</t>
  </si>
  <si>
    <t>r_y(x.z)</t>
  </si>
  <si>
    <t>e</t>
  </si>
  <si>
    <t>Ecart entre les régression</t>
  </si>
  <si>
    <t>Régression Y / Z</t>
  </si>
  <si>
    <t>Régression Y / X,Z</t>
  </si>
  <si>
    <t>r² = DIFF (R²)</t>
  </si>
  <si>
    <t>Utilisation des résidus de la régression</t>
  </si>
  <si>
    <t>Régression X /Z</t>
  </si>
  <si>
    <t>const</t>
  </si>
  <si>
    <t>Corrélation de Pearson</t>
  </si>
  <si>
    <t>Rapport de corrélation</t>
  </si>
  <si>
    <t>Cigarettes (X)</t>
  </si>
  <si>
    <t>Leucémie (Y)</t>
  </si>
  <si>
    <t>Moyennes conditionnelles</t>
  </si>
  <si>
    <t>Nombre de Leucémie (Y)</t>
  </si>
  <si>
    <t>Moyenne de Leucémie (Y)</t>
  </si>
  <si>
    <t>Marge</t>
  </si>
  <si>
    <t>Dénominateur (T)</t>
  </si>
  <si>
    <t>Calcul du numérateur (B)</t>
  </si>
  <si>
    <t>ddl1</t>
  </si>
  <si>
    <t>ddl2</t>
  </si>
  <si>
    <t>r²</t>
  </si>
  <si>
    <t>eta²</t>
  </si>
  <si>
    <t>t(0.95)</t>
  </si>
  <si>
    <t>F(0.90; 4,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</si>
</sst>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0.000"/>
    <numFmt numFmtId="167" formatCode="#,##0.00\ &quot;€&quot;"/>
    <numFmt numFmtId="168" formatCode="0.00000"/>
    <numFmt numFmtId="169" formatCode="0.000000"/>
    <numFmt numFmtId="170" formatCode="0.00000000"/>
    <numFmt numFmtId="171" formatCode="0.00000000000000"/>
  </numFmts>
  <fonts count="17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43"/>
      <name val="Arial"/>
      <family val="2"/>
    </font>
    <font>
      <b/>
      <sz val="10"/>
      <color indexed="10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00B0F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46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2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164" fontId="0" fillId="0" borderId="0" xfId="0" applyNumberFormat="1" applyFill="1" applyBorder="1" applyAlignment="1">
      <alignment horizontal="left"/>
    </xf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2" fontId="0" fillId="3" borderId="1" xfId="0" applyNumberFormat="1" applyFill="1" applyBorder="1"/>
    <xf numFmtId="0" fontId="0" fillId="4" borderId="1" xfId="0" applyFill="1" applyBorder="1"/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/>
    <xf numFmtId="165" fontId="0" fillId="6" borderId="1" xfId="0" applyNumberFormat="1" applyFill="1" applyBorder="1"/>
    <xf numFmtId="0" fontId="3" fillId="5" borderId="1" xfId="0" applyFont="1" applyFill="1" applyBorder="1"/>
    <xf numFmtId="165" fontId="3" fillId="5" borderId="1" xfId="0" applyNumberFormat="1" applyFont="1" applyFill="1" applyBorder="1"/>
    <xf numFmtId="166" fontId="0" fillId="0" borderId="0" xfId="0" applyNumberFormat="1"/>
    <xf numFmtId="0" fontId="0" fillId="7" borderId="0" xfId="0" applyFill="1"/>
    <xf numFmtId="165" fontId="0" fillId="7" borderId="0" xfId="0" applyNumberFormat="1" applyFill="1"/>
    <xf numFmtId="165" fontId="0" fillId="0" borderId="0" xfId="0" applyNumberFormat="1"/>
    <xf numFmtId="0" fontId="0" fillId="8" borderId="0" xfId="0" applyFill="1"/>
    <xf numFmtId="165" fontId="0" fillId="8" borderId="0" xfId="0" applyNumberFormat="1" applyFill="1"/>
    <xf numFmtId="0" fontId="0" fillId="9" borderId="0" xfId="0" applyFill="1" applyBorder="1"/>
    <xf numFmtId="165" fontId="0" fillId="9" borderId="0" xfId="0" applyNumberFormat="1" applyFill="1"/>
    <xf numFmtId="0" fontId="0" fillId="9" borderId="0" xfId="0" applyFill="1"/>
    <xf numFmtId="2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2" fontId="3" fillId="5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165" fontId="3" fillId="7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165" fontId="3" fillId="8" borderId="1" xfId="0" applyNumberFormat="1" applyFont="1" applyFill="1" applyBorder="1"/>
    <xf numFmtId="0" fontId="0" fillId="10" borderId="1" xfId="0" applyFill="1" applyBorder="1"/>
    <xf numFmtId="0" fontId="3" fillId="0" borderId="0" xfId="0" applyFont="1"/>
    <xf numFmtId="164" fontId="0" fillId="0" borderId="1" xfId="0" applyNumberFormat="1" applyBorder="1"/>
    <xf numFmtId="2" fontId="3" fillId="0" borderId="0" xfId="0" applyNumberFormat="1" applyFont="1"/>
    <xf numFmtId="0" fontId="0" fillId="0" borderId="0" xfId="0" applyAlignment="1">
      <alignment horizontal="center"/>
    </xf>
    <xf numFmtId="0" fontId="4" fillId="11" borderId="0" xfId="0" applyFont="1" applyFill="1"/>
    <xf numFmtId="0" fontId="5" fillId="0" borderId="0" xfId="0" applyFont="1"/>
    <xf numFmtId="2" fontId="5" fillId="0" borderId="1" xfId="0" applyNumberFormat="1" applyFont="1" applyBorder="1"/>
    <xf numFmtId="16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/>
    <xf numFmtId="0" fontId="5" fillId="0" borderId="3" xfId="0" applyFont="1" applyBorder="1"/>
    <xf numFmtId="2" fontId="5" fillId="0" borderId="4" xfId="0" applyNumberFormat="1" applyFont="1" applyBorder="1"/>
    <xf numFmtId="2" fontId="5" fillId="0" borderId="5" xfId="0" applyNumberFormat="1" applyFont="1" applyBorder="1"/>
    <xf numFmtId="0" fontId="5" fillId="0" borderId="0" xfId="0" applyFont="1" applyBorder="1"/>
    <xf numFmtId="2" fontId="5" fillId="0" borderId="6" xfId="0" applyNumberFormat="1" applyFont="1" applyBorder="1"/>
    <xf numFmtId="0" fontId="5" fillId="0" borderId="7" xfId="0" applyFont="1" applyBorder="1"/>
    <xf numFmtId="2" fontId="5" fillId="0" borderId="8" xfId="0" applyNumberFormat="1" applyFont="1" applyBorder="1"/>
    <xf numFmtId="2" fontId="5" fillId="0" borderId="9" xfId="0" applyNumberFormat="1" applyFont="1" applyBorder="1"/>
    <xf numFmtId="0" fontId="5" fillId="4" borderId="10" xfId="0" applyFont="1" applyFill="1" applyBorder="1"/>
    <xf numFmtId="166" fontId="4" fillId="6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6" fillId="0" borderId="0" xfId="0" applyFont="1"/>
    <xf numFmtId="0" fontId="0" fillId="0" borderId="13" xfId="0" pivotButton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12" borderId="1" xfId="0" applyFill="1" applyBorder="1" applyAlignment="1">
      <alignment horizontal="center"/>
    </xf>
    <xf numFmtId="2" fontId="0" fillId="0" borderId="0" xfId="0" applyNumberFormat="1"/>
    <xf numFmtId="0" fontId="0" fillId="4" borderId="2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0" borderId="21" xfId="0" applyNumberFormat="1" applyBorder="1"/>
    <xf numFmtId="2" fontId="0" fillId="0" borderId="6" xfId="0" applyNumberFormat="1" applyBorder="1"/>
    <xf numFmtId="2" fontId="0" fillId="0" borderId="22" xfId="0" applyNumberFormat="1" applyBorder="1"/>
    <xf numFmtId="2" fontId="0" fillId="0" borderId="9" xfId="0" applyNumberFormat="1" applyBorder="1"/>
    <xf numFmtId="0" fontId="0" fillId="4" borderId="23" xfId="0" applyFill="1" applyBorder="1" applyAlignment="1">
      <alignment horizontal="center"/>
    </xf>
    <xf numFmtId="2" fontId="0" fillId="0" borderId="24" xfId="0" applyNumberFormat="1" applyBorder="1"/>
    <xf numFmtId="2" fontId="0" fillId="0" borderId="25" xfId="0" applyNumberFormat="1" applyBorder="1"/>
    <xf numFmtId="165" fontId="0" fillId="0" borderId="1" xfId="0" applyNumberFormat="1" applyBorder="1"/>
    <xf numFmtId="0" fontId="3" fillId="6" borderId="1" xfId="0" applyFont="1" applyFill="1" applyBorder="1"/>
    <xf numFmtId="1" fontId="0" fillId="0" borderId="1" xfId="0" applyNumberFormat="1" applyBorder="1"/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/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/>
    <xf numFmtId="0" fontId="0" fillId="4" borderId="0" xfId="0" applyFill="1" applyAlignment="1">
      <alignment horizontal="center"/>
    </xf>
    <xf numFmtId="0" fontId="0" fillId="0" borderId="14" xfId="0" applyBorder="1"/>
    <xf numFmtId="0" fontId="0" fillId="0" borderId="26" xfId="0" applyBorder="1"/>
    <xf numFmtId="0" fontId="0" fillId="0" borderId="15" xfId="0" applyBorder="1"/>
    <xf numFmtId="0" fontId="0" fillId="0" borderId="14" xfId="0" applyNumberFormat="1" applyBorder="1"/>
    <xf numFmtId="0" fontId="0" fillId="0" borderId="15" xfId="0" applyNumberFormat="1" applyBorder="1"/>
    <xf numFmtId="166" fontId="0" fillId="0" borderId="18" xfId="0" applyNumberFormat="1" applyBorder="1"/>
    <xf numFmtId="166" fontId="0" fillId="0" borderId="27" xfId="0" applyNumberFormat="1" applyBorder="1"/>
    <xf numFmtId="166" fontId="0" fillId="0" borderId="19" xfId="0" applyNumberFormat="1" applyBorder="1"/>
    <xf numFmtId="0" fontId="0" fillId="3" borderId="1" xfId="0" applyFill="1" applyBorder="1" applyAlignment="1">
      <alignment horizontal="center"/>
    </xf>
    <xf numFmtId="165" fontId="0" fillId="2" borderId="1" xfId="0" applyNumberFormat="1" applyFill="1" applyBorder="1"/>
    <xf numFmtId="166" fontId="0" fillId="0" borderId="0" xfId="0" applyNumberFormat="1" applyBorder="1"/>
    <xf numFmtId="169" fontId="0" fillId="3" borderId="1" xfId="0" applyNumberFormat="1" applyFill="1" applyBorder="1"/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0" xfId="0" applyFill="1" applyBorder="1"/>
    <xf numFmtId="2" fontId="0" fillId="0" borderId="0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0" fillId="0" borderId="28" xfId="0" applyBorder="1"/>
    <xf numFmtId="0" fontId="0" fillId="0" borderId="29" xfId="0" applyBorder="1"/>
    <xf numFmtId="0" fontId="0" fillId="0" borderId="13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0" xfId="0" applyNumberFormat="1"/>
    <xf numFmtId="0" fontId="0" fillId="0" borderId="30" xfId="0" applyNumberFormat="1" applyBorder="1"/>
    <xf numFmtId="0" fontId="0" fillId="0" borderId="27" xfId="0" applyNumberFormat="1" applyBorder="1"/>
    <xf numFmtId="0" fontId="0" fillId="0" borderId="31" xfId="0" applyNumberFormat="1" applyBorder="1"/>
    <xf numFmtId="0" fontId="0" fillId="0" borderId="0" xfId="0" applyAlignment="1"/>
    <xf numFmtId="0" fontId="0" fillId="0" borderId="1" xfId="0" applyFill="1" applyBorder="1" applyAlignment="1"/>
    <xf numFmtId="165" fontId="0" fillId="5" borderId="1" xfId="0" applyNumberFormat="1" applyFill="1" applyBorder="1" applyAlignment="1"/>
    <xf numFmtId="0" fontId="0" fillId="5" borderId="1" xfId="0" applyFill="1" applyBorder="1" applyAlignment="1"/>
    <xf numFmtId="164" fontId="0" fillId="6" borderId="1" xfId="0" applyNumberFormat="1" applyFill="1" applyBorder="1" applyAlignment="1">
      <alignment horizontal="left"/>
    </xf>
    <xf numFmtId="165" fontId="0" fillId="6" borderId="1" xfId="0" applyNumberFormat="1" applyFill="1" applyBorder="1" applyAlignment="1"/>
    <xf numFmtId="164" fontId="2" fillId="0" borderId="1" xfId="0" applyNumberFormat="1" applyFont="1" applyFill="1" applyBorder="1" applyAlignment="1">
      <alignment horizontal="left"/>
    </xf>
    <xf numFmtId="166" fontId="0" fillId="0" borderId="1" xfId="0" applyNumberFormat="1" applyBorder="1"/>
    <xf numFmtId="0" fontId="0" fillId="0" borderId="10" xfId="0" applyBorder="1"/>
    <xf numFmtId="0" fontId="3" fillId="0" borderId="12" xfId="0" applyFont="1" applyBorder="1"/>
    <xf numFmtId="0" fontId="0" fillId="0" borderId="11" xfId="0" applyBorder="1" applyAlignment="1">
      <alignment horizontal="right"/>
    </xf>
    <xf numFmtId="0" fontId="0" fillId="12" borderId="1" xfId="0" applyFill="1" applyBorder="1"/>
    <xf numFmtId="168" fontId="0" fillId="12" borderId="1" xfId="0" applyNumberFormat="1" applyFill="1" applyBorder="1"/>
    <xf numFmtId="168" fontId="0" fillId="10" borderId="1" xfId="0" applyNumberFormat="1" applyFill="1" applyBorder="1"/>
    <xf numFmtId="0" fontId="0" fillId="13" borderId="1" xfId="0" applyFill="1" applyBorder="1"/>
    <xf numFmtId="168" fontId="0" fillId="13" borderId="1" xfId="0" applyNumberFormat="1" applyFill="1" applyBorder="1"/>
    <xf numFmtId="168" fontId="0" fillId="5" borderId="1" xfId="0" applyNumberFormat="1" applyFill="1" applyBorder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168" fontId="0" fillId="3" borderId="1" xfId="0" applyNumberFormat="1" applyFill="1" applyBorder="1"/>
    <xf numFmtId="168" fontId="0" fillId="0" borderId="0" xfId="0" applyNumberFormat="1"/>
    <xf numFmtId="168" fontId="0" fillId="8" borderId="1" xfId="0" applyNumberFormat="1" applyFill="1" applyBorder="1"/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2" borderId="32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0" fillId="0" borderId="9" xfId="0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8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9" fillId="0" borderId="1" xfId="0" applyFont="1" applyFill="1" applyBorder="1" applyAlignment="1"/>
    <xf numFmtId="170" fontId="0" fillId="5" borderId="1" xfId="0" applyNumberFormat="1" applyFill="1" applyBorder="1"/>
    <xf numFmtId="166" fontId="0" fillId="0" borderId="1" xfId="0" applyNumberFormat="1" applyBorder="1" applyAlignment="1">
      <alignment horizontal="center"/>
    </xf>
    <xf numFmtId="0" fontId="3" fillId="0" borderId="0" xfId="0" quotePrefix="1" applyFont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6" borderId="0" xfId="0" applyFill="1" applyAlignment="1">
      <alignment horizontal="center"/>
    </xf>
    <xf numFmtId="165" fontId="0" fillId="6" borderId="0" xfId="0" applyNumberFormat="1" applyFill="1"/>
    <xf numFmtId="0" fontId="0" fillId="13" borderId="0" xfId="0" applyFill="1" applyAlignment="1">
      <alignment horizontal="center"/>
    </xf>
    <xf numFmtId="165" fontId="0" fillId="13" borderId="0" xfId="0" applyNumberFormat="1" applyFill="1"/>
    <xf numFmtId="0" fontId="0" fillId="13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14" borderId="1" xfId="0" applyFill="1" applyBorder="1" applyAlignment="1">
      <alignment horizontal="center" wrapText="1"/>
    </xf>
    <xf numFmtId="0" fontId="3" fillId="14" borderId="0" xfId="0" applyFont="1" applyFill="1" applyAlignment="1">
      <alignment horizontal="center"/>
    </xf>
    <xf numFmtId="1" fontId="0" fillId="0" borderId="1" xfId="0" applyNumberFormat="1" applyFill="1" applyBorder="1" applyAlignment="1">
      <alignment horizontal="right"/>
    </xf>
    <xf numFmtId="168" fontId="0" fillId="0" borderId="1" xfId="0" applyNumberFormat="1" applyBorder="1"/>
    <xf numFmtId="0" fontId="0" fillId="4" borderId="2" xfId="0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14" borderId="2" xfId="0" applyFill="1" applyBorder="1" applyAlignment="1">
      <alignment horizontal="center" wrapText="1"/>
    </xf>
    <xf numFmtId="165" fontId="0" fillId="0" borderId="1" xfId="0" quotePrefix="1" applyNumberFormat="1" applyBorder="1" applyAlignment="1">
      <alignment horizontal="center"/>
    </xf>
    <xf numFmtId="165" fontId="0" fillId="0" borderId="1" xfId="0" applyNumberFormat="1" applyFill="1" applyBorder="1"/>
    <xf numFmtId="0" fontId="0" fillId="5" borderId="2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68" fontId="3" fillId="3" borderId="12" xfId="0" applyNumberFormat="1" applyFont="1" applyFill="1" applyBorder="1" applyAlignment="1">
      <alignment horizontal="center"/>
    </xf>
    <xf numFmtId="168" fontId="3" fillId="3" borderId="1" xfId="0" applyNumberFormat="1" applyFont="1" applyFill="1" applyBorder="1"/>
    <xf numFmtId="0" fontId="3" fillId="3" borderId="1" xfId="0" applyFont="1" applyFill="1" applyBorder="1"/>
    <xf numFmtId="168" fontId="3" fillId="5" borderId="2" xfId="0" applyNumberFormat="1" applyFont="1" applyFill="1" applyBorder="1" applyAlignment="1">
      <alignment horizontal="center"/>
    </xf>
    <xf numFmtId="168" fontId="3" fillId="13" borderId="2" xfId="0" applyNumberFormat="1" applyFont="1" applyFill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4" borderId="0" xfId="0" applyFill="1"/>
    <xf numFmtId="165" fontId="0" fillId="4" borderId="0" xfId="0" applyNumberFormat="1" applyFill="1"/>
    <xf numFmtId="0" fontId="0" fillId="2" borderId="0" xfId="0" applyFill="1"/>
    <xf numFmtId="165" fontId="0" fillId="2" borderId="0" xfId="0" applyNumberFormat="1" applyFill="1"/>
    <xf numFmtId="168" fontId="10" fillId="0" borderId="1" xfId="0" applyNumberFormat="1" applyFont="1" applyBorder="1" applyAlignment="1">
      <alignment horizontal="center"/>
    </xf>
    <xf numFmtId="166" fontId="3" fillId="6" borderId="1" xfId="0" applyNumberFormat="1" applyFont="1" applyFill="1" applyBorder="1" applyAlignment="1">
      <alignment horizontal="right"/>
    </xf>
    <xf numFmtId="166" fontId="0" fillId="0" borderId="1" xfId="0" applyNumberFormat="1" applyFill="1" applyBorder="1" applyAlignment="1">
      <alignment horizontal="right" wrapText="1"/>
    </xf>
    <xf numFmtId="0" fontId="0" fillId="0" borderId="41" xfId="0" applyBorder="1"/>
    <xf numFmtId="0" fontId="0" fillId="0" borderId="0" xfId="0" applyBorder="1"/>
    <xf numFmtId="0" fontId="0" fillId="0" borderId="42" xfId="0" applyBorder="1"/>
    <xf numFmtId="168" fontId="0" fillId="0" borderId="21" xfId="0" applyNumberFormat="1" applyBorder="1" applyAlignment="1">
      <alignment horizontal="center"/>
    </xf>
    <xf numFmtId="168" fontId="11" fillId="0" borderId="21" xfId="0" applyNumberFormat="1" applyFont="1" applyFill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10" fillId="0" borderId="21" xfId="0" applyNumberFormat="1" applyFont="1" applyBorder="1" applyAlignment="1">
      <alignment horizontal="center"/>
    </xf>
    <xf numFmtId="168" fontId="10" fillId="0" borderId="6" xfId="0" applyNumberFormat="1" applyFont="1" applyBorder="1" applyAlignment="1">
      <alignment horizontal="center"/>
    </xf>
    <xf numFmtId="168" fontId="11" fillId="0" borderId="21" xfId="0" applyNumberFormat="1" applyFont="1" applyBorder="1" applyAlignment="1">
      <alignment horizontal="center"/>
    </xf>
    <xf numFmtId="0" fontId="0" fillId="3" borderId="21" xfId="0" applyFill="1" applyBorder="1"/>
    <xf numFmtId="0" fontId="3" fillId="3" borderId="22" xfId="0" applyFont="1" applyFill="1" applyBorder="1"/>
    <xf numFmtId="168" fontId="3" fillId="3" borderId="8" xfId="0" applyNumberFormat="1" applyFont="1" applyFill="1" applyBorder="1"/>
    <xf numFmtId="0" fontId="0" fillId="0" borderId="43" xfId="0" applyBorder="1"/>
    <xf numFmtId="0" fontId="3" fillId="8" borderId="22" xfId="0" applyFont="1" applyFill="1" applyBorder="1"/>
    <xf numFmtId="168" fontId="3" fillId="8" borderId="8" xfId="0" applyNumberFormat="1" applyFont="1" applyFill="1" applyBorder="1"/>
    <xf numFmtId="168" fontId="10" fillId="0" borderId="21" xfId="0" applyNumberFormat="1" applyFont="1" applyFill="1" applyBorder="1" applyAlignment="1">
      <alignment horizontal="center"/>
    </xf>
    <xf numFmtId="168" fontId="10" fillId="0" borderId="1" xfId="0" applyNumberFormat="1" applyFont="1" applyFill="1" applyBorder="1" applyAlignment="1">
      <alignment horizontal="center"/>
    </xf>
    <xf numFmtId="168" fontId="0" fillId="0" borderId="39" xfId="0" applyNumberFormat="1" applyBorder="1"/>
    <xf numFmtId="168" fontId="0" fillId="0" borderId="10" xfId="0" applyNumberFormat="1" applyBorder="1"/>
    <xf numFmtId="168" fontId="0" fillId="5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168" fontId="0" fillId="12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/>
    <xf numFmtId="0" fontId="12" fillId="0" borderId="0" xfId="0" applyFont="1"/>
    <xf numFmtId="0" fontId="0" fillId="0" borderId="36" xfId="0" applyBorder="1"/>
    <xf numFmtId="165" fontId="0" fillId="0" borderId="24" xfId="0" applyNumberForma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24" xfId="0" applyBorder="1"/>
    <xf numFmtId="0" fontId="13" fillId="0" borderId="0" xfId="0" applyFont="1"/>
    <xf numFmtId="0" fontId="9" fillId="0" borderId="44" xfId="0" applyFont="1" applyBorder="1"/>
    <xf numFmtId="0" fontId="9" fillId="0" borderId="46" xfId="0" applyFont="1" applyFill="1" applyBorder="1"/>
    <xf numFmtId="0" fontId="9" fillId="0" borderId="36" xfId="0" applyFont="1" applyBorder="1"/>
    <xf numFmtId="0" fontId="0" fillId="16" borderId="1" xfId="0" applyFill="1" applyBorder="1" applyAlignment="1">
      <alignment horizontal="center" wrapText="1"/>
    </xf>
    <xf numFmtId="165" fontId="0" fillId="0" borderId="45" xfId="0" applyNumberFormat="1" applyBorder="1"/>
    <xf numFmtId="0" fontId="9" fillId="0" borderId="46" xfId="0" applyFont="1" applyBorder="1"/>
    <xf numFmtId="0" fontId="9" fillId="17" borderId="44" xfId="0" applyFont="1" applyFill="1" applyBorder="1"/>
    <xf numFmtId="0" fontId="0" fillId="18" borderId="36" xfId="0" applyFont="1" applyFill="1" applyBorder="1" applyAlignment="1">
      <alignment horizontal="center" wrapText="1"/>
    </xf>
    <xf numFmtId="0" fontId="9" fillId="0" borderId="44" xfId="0" applyFont="1" applyBorder="1" applyAlignment="1">
      <alignment horizontal="center"/>
    </xf>
    <xf numFmtId="0" fontId="9" fillId="0" borderId="46" xfId="0" applyFont="1" applyBorder="1" applyAlignment="1">
      <alignment horizontal="center"/>
    </xf>
    <xf numFmtId="0" fontId="0" fillId="17" borderId="44" xfId="0" applyFill="1" applyBorder="1"/>
    <xf numFmtId="164" fontId="0" fillId="19" borderId="1" xfId="0" applyNumberForma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0" fillId="0" borderId="24" xfId="0" applyNumberFormat="1" applyBorder="1"/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171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8" xfId="0" applyFont="1" applyBorder="1" applyAlignment="1">
      <alignment horizontal="center"/>
    </xf>
    <xf numFmtId="167" fontId="4" fillId="0" borderId="49" xfId="0" applyNumberFormat="1" applyFont="1" applyBorder="1" applyAlignment="1">
      <alignment horizontal="center" vertical="center" textRotation="90"/>
    </xf>
    <xf numFmtId="167" fontId="4" fillId="0" borderId="41" xfId="0" applyNumberFormat="1" applyFont="1" applyBorder="1" applyAlignment="1">
      <alignment horizontal="center" vertical="center" textRotation="90"/>
    </xf>
    <xf numFmtId="167" fontId="4" fillId="0" borderId="50" xfId="0" applyNumberFormat="1" applyFont="1" applyBorder="1" applyAlignment="1">
      <alignment horizontal="center" vertical="center" textRotation="90"/>
    </xf>
    <xf numFmtId="0" fontId="4" fillId="0" borderId="49" xfId="0" applyFont="1" applyBorder="1" applyAlignment="1">
      <alignment horizontal="center" vertical="center" textRotation="90"/>
    </xf>
    <xf numFmtId="0" fontId="4" fillId="0" borderId="41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 textRotation="90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4" fillId="0" borderId="48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0" borderId="48" xfId="0" applyFont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3" fillId="15" borderId="0" xfId="0" applyFont="1" applyFill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7" fillId="6" borderId="48" xfId="0" applyFont="1" applyFill="1" applyBorder="1" applyAlignment="1">
      <alignment horizontal="center"/>
    </xf>
    <xf numFmtId="0" fontId="7" fillId="5" borderId="4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51" xfId="0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6" borderId="5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0" borderId="12" xfId="0" applyNumberFormat="1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7"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" formatCode="0"/>
    </dxf>
    <dxf>
      <numFmt numFmtId="166" formatCode="0.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Lien "Cylindrée - Puissance"</a:t>
            </a:r>
          </a:p>
        </c:rich>
      </c:tx>
      <c:layout>
        <c:manualLayout>
          <c:xMode val="edge"/>
          <c:yMode val="edge"/>
          <c:x val="0.33663407915594706"/>
          <c:y val="3.3898305084745763E-2"/>
        </c:manualLayout>
      </c:layout>
      <c:overlay val="0"/>
      <c:spPr>
        <a:solidFill>
          <a:srgbClr val="FFFFCC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71299573889594"/>
          <c:y val="0.12994386129463856"/>
          <c:w val="0.81584237299115581"/>
          <c:h val="0.692092304721444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details.corrélation!$C$2:$C$29</c:f>
              <c:numCache>
                <c:formatCode>General</c:formatCode>
                <c:ptCount val="28"/>
                <c:pt idx="0">
                  <c:v>846</c:v>
                </c:pt>
                <c:pt idx="1">
                  <c:v>993</c:v>
                </c:pt>
                <c:pt idx="2">
                  <c:v>899</c:v>
                </c:pt>
                <c:pt idx="3">
                  <c:v>1390</c:v>
                </c:pt>
                <c:pt idx="4">
                  <c:v>1195</c:v>
                </c:pt>
                <c:pt idx="5">
                  <c:v>658</c:v>
                </c:pt>
                <c:pt idx="6">
                  <c:v>1331</c:v>
                </c:pt>
                <c:pt idx="7">
                  <c:v>1597</c:v>
                </c:pt>
                <c:pt idx="8">
                  <c:v>1761</c:v>
                </c:pt>
                <c:pt idx="9">
                  <c:v>2165</c:v>
                </c:pt>
                <c:pt idx="10">
                  <c:v>1983</c:v>
                </c:pt>
                <c:pt idx="11">
                  <c:v>1984</c:v>
                </c:pt>
                <c:pt idx="12">
                  <c:v>1998</c:v>
                </c:pt>
                <c:pt idx="13">
                  <c:v>1580</c:v>
                </c:pt>
                <c:pt idx="14">
                  <c:v>1390</c:v>
                </c:pt>
                <c:pt idx="15">
                  <c:v>1396</c:v>
                </c:pt>
                <c:pt idx="16">
                  <c:v>2435</c:v>
                </c:pt>
                <c:pt idx="17">
                  <c:v>1242</c:v>
                </c:pt>
                <c:pt idx="18">
                  <c:v>2972</c:v>
                </c:pt>
                <c:pt idx="19">
                  <c:v>2958</c:v>
                </c:pt>
                <c:pt idx="20">
                  <c:v>2497</c:v>
                </c:pt>
                <c:pt idx="21">
                  <c:v>1998</c:v>
                </c:pt>
                <c:pt idx="22">
                  <c:v>2496</c:v>
                </c:pt>
                <c:pt idx="23">
                  <c:v>1998</c:v>
                </c:pt>
                <c:pt idx="24">
                  <c:v>1997</c:v>
                </c:pt>
                <c:pt idx="25">
                  <c:v>1984</c:v>
                </c:pt>
                <c:pt idx="26">
                  <c:v>2438</c:v>
                </c:pt>
                <c:pt idx="27">
                  <c:v>2473</c:v>
                </c:pt>
              </c:numCache>
            </c:numRef>
          </c:xVal>
          <c:yVal>
            <c:numRef>
              <c:f>details.corrélation!$D$2:$D$29</c:f>
              <c:numCache>
                <c:formatCode>General</c:formatCode>
                <c:ptCount val="28"/>
                <c:pt idx="0">
                  <c:v>32</c:v>
                </c:pt>
                <c:pt idx="1">
                  <c:v>39</c:v>
                </c:pt>
                <c:pt idx="2">
                  <c:v>29</c:v>
                </c:pt>
                <c:pt idx="3">
                  <c:v>44</c:v>
                </c:pt>
                <c:pt idx="4">
                  <c:v>33</c:v>
                </c:pt>
                <c:pt idx="5">
                  <c:v>32</c:v>
                </c:pt>
                <c:pt idx="6">
                  <c:v>55</c:v>
                </c:pt>
                <c:pt idx="7">
                  <c:v>74</c:v>
                </c:pt>
                <c:pt idx="8">
                  <c:v>74</c:v>
                </c:pt>
                <c:pt idx="9">
                  <c:v>101</c:v>
                </c:pt>
                <c:pt idx="10">
                  <c:v>85</c:v>
                </c:pt>
                <c:pt idx="11">
                  <c:v>85</c:v>
                </c:pt>
                <c:pt idx="12">
                  <c:v>89</c:v>
                </c:pt>
                <c:pt idx="13">
                  <c:v>65</c:v>
                </c:pt>
                <c:pt idx="14">
                  <c:v>54</c:v>
                </c:pt>
                <c:pt idx="15">
                  <c:v>66</c:v>
                </c:pt>
                <c:pt idx="16">
                  <c:v>106</c:v>
                </c:pt>
                <c:pt idx="17">
                  <c:v>55</c:v>
                </c:pt>
                <c:pt idx="18">
                  <c:v>107</c:v>
                </c:pt>
                <c:pt idx="19">
                  <c:v>150</c:v>
                </c:pt>
                <c:pt idx="20">
                  <c:v>122</c:v>
                </c:pt>
                <c:pt idx="21">
                  <c:v>66</c:v>
                </c:pt>
                <c:pt idx="22">
                  <c:v>125</c:v>
                </c:pt>
                <c:pt idx="23">
                  <c:v>89</c:v>
                </c:pt>
                <c:pt idx="24">
                  <c:v>92</c:v>
                </c:pt>
                <c:pt idx="25">
                  <c:v>85</c:v>
                </c:pt>
                <c:pt idx="26">
                  <c:v>97</c:v>
                </c:pt>
                <c:pt idx="27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C-415B-AC36-63CE1649F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33872"/>
        <c:axId val="1"/>
      </c:scatterChart>
      <c:valAx>
        <c:axId val="46453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Cylindrée</a:t>
                </a:r>
              </a:p>
            </c:rich>
          </c:tx>
          <c:layout>
            <c:manualLayout>
              <c:xMode val="edge"/>
              <c:yMode val="edge"/>
              <c:x val="0.48118853460149164"/>
              <c:y val="0.89830745733054551"/>
            </c:manualLayout>
          </c:layout>
          <c:overlay val="0"/>
          <c:spPr>
            <a:solidFill>
              <a:srgbClr val="CCCCFF"/>
            </a:solidFill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Puissance</a:t>
                </a:r>
              </a:p>
            </c:rich>
          </c:tx>
          <c:layout>
            <c:manualLayout>
              <c:xMode val="edge"/>
              <c:yMode val="edge"/>
              <c:x val="3.1683168316831684E-2"/>
              <c:y val="0.38983169476696772"/>
            </c:manualLayout>
          </c:layout>
          <c:overlay val="0"/>
          <c:spPr>
            <a:solidFill>
              <a:srgbClr val="CCCCFF"/>
            </a:solidFill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5338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Liaison "taille et longueur des cheveux"</a:t>
            </a:r>
          </a:p>
        </c:rich>
      </c:tx>
      <c:layout>
        <c:manualLayout>
          <c:xMode val="edge"/>
          <c:yMode val="edge"/>
          <c:x val="0.24772727272727274"/>
          <c:y val="3.3678756476683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"/>
          <c:y val="0.12694300518134716"/>
          <c:w val="0.76363636363636367"/>
          <c:h val="0.71502590673575128"/>
        </c:manualLayout>
      </c:layout>
      <c:scatterChart>
        <c:scatterStyle val="lineMarker"/>
        <c:varyColors val="0"/>
        <c:ser>
          <c:idx val="0"/>
          <c:order val="0"/>
          <c:tx>
            <c:v>Hommes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'corr.2.groupes.obs'!$E$3:$E$22</c:f>
              <c:numCache>
                <c:formatCode>0.00</c:formatCode>
                <c:ptCount val="20"/>
                <c:pt idx="0">
                  <c:v>1.651</c:v>
                </c:pt>
                <c:pt idx="1">
                  <c:v>1.74498</c:v>
                </c:pt>
                <c:pt idx="2">
                  <c:v>1.7602200000000001</c:v>
                </c:pt>
                <c:pt idx="3">
                  <c:v>1.7119599999999999</c:v>
                </c:pt>
                <c:pt idx="4">
                  <c:v>1.8135599999999998</c:v>
                </c:pt>
                <c:pt idx="5">
                  <c:v>1.7119599999999999</c:v>
                </c:pt>
                <c:pt idx="6">
                  <c:v>1.78308</c:v>
                </c:pt>
                <c:pt idx="7">
                  <c:v>1.6916399999999998</c:v>
                </c:pt>
                <c:pt idx="8">
                  <c:v>1.7703799999999998</c:v>
                </c:pt>
                <c:pt idx="9">
                  <c:v>1.6484599999999998</c:v>
                </c:pt>
                <c:pt idx="10">
                  <c:v>1.6103599999999998</c:v>
                </c:pt>
                <c:pt idx="11">
                  <c:v>1.7729200000000001</c:v>
                </c:pt>
                <c:pt idx="12">
                  <c:v>1.7297399999999998</c:v>
                </c:pt>
                <c:pt idx="13">
                  <c:v>1.69418</c:v>
                </c:pt>
                <c:pt idx="14">
                  <c:v>1.7525999999999999</c:v>
                </c:pt>
                <c:pt idx="15">
                  <c:v>1.87198</c:v>
                </c:pt>
                <c:pt idx="16">
                  <c:v>1.7373599999999998</c:v>
                </c:pt>
                <c:pt idx="17">
                  <c:v>1.6891</c:v>
                </c:pt>
                <c:pt idx="18">
                  <c:v>1.78308</c:v>
                </c:pt>
                <c:pt idx="19">
                  <c:v>1.7272000000000001</c:v>
                </c:pt>
              </c:numCache>
            </c:numRef>
          </c:xVal>
          <c:yVal>
            <c:numRef>
              <c:f>'corr.2.groupes.obs'!$D$3:$D$22</c:f>
              <c:numCache>
                <c:formatCode>0.00</c:formatCode>
                <c:ptCount val="20"/>
                <c:pt idx="0">
                  <c:v>1.6367973312046724</c:v>
                </c:pt>
                <c:pt idx="1">
                  <c:v>0.31564484499057688</c:v>
                </c:pt>
                <c:pt idx="2">
                  <c:v>1.0046576524555215</c:v>
                </c:pt>
                <c:pt idx="3">
                  <c:v>2.7994397656763184</c:v>
                </c:pt>
                <c:pt idx="4">
                  <c:v>4.3545737071204238</c:v>
                </c:pt>
                <c:pt idx="5">
                  <c:v>2.3250126296821172</c:v>
                </c:pt>
                <c:pt idx="6">
                  <c:v>5.6711080729554553E-3</c:v>
                </c:pt>
                <c:pt idx="7">
                  <c:v>1.7525873844955262</c:v>
                </c:pt>
                <c:pt idx="8">
                  <c:v>3.2173381305622808</c:v>
                </c:pt>
                <c:pt idx="9">
                  <c:v>3.5344152521575145</c:v>
                </c:pt>
                <c:pt idx="10">
                  <c:v>2.5488264389499893</c:v>
                </c:pt>
                <c:pt idx="11">
                  <c:v>3.0810919278447324</c:v>
                </c:pt>
                <c:pt idx="12">
                  <c:v>0.46045836311693122</c:v>
                </c:pt>
                <c:pt idx="13">
                  <c:v>3.218219171381552</c:v>
                </c:pt>
                <c:pt idx="14">
                  <c:v>2.1871171382243881</c:v>
                </c:pt>
                <c:pt idx="15">
                  <c:v>0.73404950171587657</c:v>
                </c:pt>
                <c:pt idx="16">
                  <c:v>0.15679135162382729</c:v>
                </c:pt>
                <c:pt idx="17">
                  <c:v>0.90449929760782344</c:v>
                </c:pt>
                <c:pt idx="18">
                  <c:v>4.1442368064334412</c:v>
                </c:pt>
                <c:pt idx="19">
                  <c:v>1.6063109828257005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7-4040-B0DC-409039EE5A21}"/>
            </c:ext>
          </c:extLst>
        </c:ser>
        <c:ser>
          <c:idx val="1"/>
          <c:order val="1"/>
          <c:tx>
            <c:v>Femmes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'corr.2.groupes.obs'!$E$23:$E$37</c:f>
              <c:numCache>
                <c:formatCode>0.00</c:formatCode>
                <c:ptCount val="15"/>
                <c:pt idx="0">
                  <c:v>1.69672</c:v>
                </c:pt>
                <c:pt idx="1">
                  <c:v>1.5392399999999999</c:v>
                </c:pt>
                <c:pt idx="2">
                  <c:v>1.6255999999999999</c:v>
                </c:pt>
                <c:pt idx="3">
                  <c:v>1.6332199999999999</c:v>
                </c:pt>
                <c:pt idx="4">
                  <c:v>1.4351</c:v>
                </c:pt>
                <c:pt idx="5">
                  <c:v>1.6789399999999999</c:v>
                </c:pt>
                <c:pt idx="6">
                  <c:v>1.6433799999999998</c:v>
                </c:pt>
                <c:pt idx="7">
                  <c:v>1.6255999999999999</c:v>
                </c:pt>
                <c:pt idx="8">
                  <c:v>1.5417799999999999</c:v>
                </c:pt>
                <c:pt idx="9">
                  <c:v>1.5417799999999999</c:v>
                </c:pt>
                <c:pt idx="10">
                  <c:v>1.62052</c:v>
                </c:pt>
                <c:pt idx="11">
                  <c:v>1.57734</c:v>
                </c:pt>
                <c:pt idx="12">
                  <c:v>1.5570199999999998</c:v>
                </c:pt>
                <c:pt idx="13">
                  <c:v>1.4960599999999999</c:v>
                </c:pt>
                <c:pt idx="14">
                  <c:v>1.62052</c:v>
                </c:pt>
              </c:numCache>
            </c:numRef>
          </c:xVal>
          <c:yVal>
            <c:numRef>
              <c:f>'corr.2.groupes.obs'!$D$23:$D$37</c:f>
              <c:numCache>
                <c:formatCode>0.00</c:formatCode>
                <c:ptCount val="15"/>
                <c:pt idx="0">
                  <c:v>4.6571081191080843</c:v>
                </c:pt>
                <c:pt idx="1">
                  <c:v>3.2518697133053118</c:v>
                </c:pt>
                <c:pt idx="2">
                  <c:v>3.8804163714674478</c:v>
                </c:pt>
                <c:pt idx="3">
                  <c:v>2.8371461818046289</c:v>
                </c:pt>
                <c:pt idx="4">
                  <c:v>4.8806135032599638</c:v>
                </c:pt>
                <c:pt idx="5">
                  <c:v>3.7731775161000414</c:v>
                </c:pt>
                <c:pt idx="6">
                  <c:v>5.6443476185063268</c:v>
                </c:pt>
                <c:pt idx="7">
                  <c:v>4.4059233506313813</c:v>
                </c:pt>
                <c:pt idx="8">
                  <c:v>3.8411885507957151</c:v>
                </c:pt>
                <c:pt idx="9">
                  <c:v>7.5807193647178428</c:v>
                </c:pt>
                <c:pt idx="10">
                  <c:v>7.5128428939341436</c:v>
                </c:pt>
                <c:pt idx="11">
                  <c:v>6.8980233272244682</c:v>
                </c:pt>
                <c:pt idx="12">
                  <c:v>4.7550586715022316</c:v>
                </c:pt>
                <c:pt idx="13">
                  <c:v>6.699174823416584</c:v>
                </c:pt>
                <c:pt idx="14">
                  <c:v>7.8639027742713683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87-4040-B0DC-409039EE5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96640"/>
        <c:axId val="1"/>
      </c:scatterChart>
      <c:valAx>
        <c:axId val="463496640"/>
        <c:scaling>
          <c:orientation val="minMax"/>
          <c:min val="1.4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Taille</a:t>
                </a:r>
              </a:p>
            </c:rich>
          </c:tx>
          <c:layout>
            <c:manualLayout>
              <c:xMode val="edge"/>
              <c:yMode val="edge"/>
              <c:x val="0.49545454545454548"/>
              <c:y val="0.911917098445595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8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Longueur des cheveux</a:t>
                </a:r>
              </a:p>
            </c:rich>
          </c:tx>
          <c:layout>
            <c:manualLayout>
              <c:xMode val="edge"/>
              <c:yMode val="edge"/>
              <c:x val="3.1818181818181815E-2"/>
              <c:y val="0.316062176165803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4966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59318181818181814"/>
          <c:y val="0.18134715025906736"/>
          <c:w val="0.87272727272727268"/>
          <c:h val="0.28497409326424872"/>
        </c:manualLayout>
      </c:layout>
      <c:overlay val="0"/>
      <c:spPr>
        <a:solidFill>
          <a:srgbClr val="FFFFCC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527592816175024E-2"/>
          <c:y val="8.1180958078006224E-2"/>
          <c:w val="0.84826076711357057"/>
          <c:h val="0.7970494065840610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point.atypique!$C$3:$C$8</c:f>
              <c:numCache>
                <c:formatCode>0.00</c:formatCode>
                <c:ptCount val="6"/>
                <c:pt idx="0">
                  <c:v>0.3</c:v>
                </c:pt>
                <c:pt idx="1">
                  <c:v>0.35</c:v>
                </c:pt>
                <c:pt idx="2">
                  <c:v>0.54</c:v>
                </c:pt>
                <c:pt idx="3">
                  <c:v>0.28000000000000003</c:v>
                </c:pt>
                <c:pt idx="4">
                  <c:v>0.21</c:v>
                </c:pt>
                <c:pt idx="5">
                  <c:v>0.03</c:v>
                </c:pt>
              </c:numCache>
            </c:numRef>
          </c:xVal>
          <c:yVal>
            <c:numRef>
              <c:f>point.atypique!$D$3:$D$8</c:f>
              <c:numCache>
                <c:formatCode>0.00</c:formatCode>
                <c:ptCount val="6"/>
                <c:pt idx="0">
                  <c:v>0.7</c:v>
                </c:pt>
                <c:pt idx="1">
                  <c:v>0.65</c:v>
                </c:pt>
                <c:pt idx="2">
                  <c:v>0.37</c:v>
                </c:pt>
                <c:pt idx="3">
                  <c:v>0.54</c:v>
                </c:pt>
                <c:pt idx="4">
                  <c:v>0.83</c:v>
                </c:pt>
                <c:pt idx="5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0-4585-A1D7-7F0618C07D3F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point.atypique!$C$9</c:f>
              <c:numCache>
                <c:formatCode>0.00</c:formatCode>
                <c:ptCount val="1"/>
                <c:pt idx="0">
                  <c:v>9.34</c:v>
                </c:pt>
              </c:numCache>
            </c:numRef>
          </c:xVal>
          <c:yVal>
            <c:numRef>
              <c:f>point.atypique!$D$9</c:f>
              <c:numCache>
                <c:formatCode>0.00</c:formatCode>
                <c:ptCount val="1"/>
                <c:pt idx="0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60-4585-A1D7-7F0618C07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60016"/>
        <c:axId val="1"/>
      </c:scatterChart>
      <c:valAx>
        <c:axId val="4647600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7600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577172456261"/>
          <c:y val="0.10606112916829016"/>
          <c:w val="0.83679646466475899"/>
          <c:h val="0.73737737421763638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80"/>
              </a:solidFill>
              <a:prstDash val="sysDash"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'corr.non.linéaire'!$B$6:$B$11</c:f>
              <c:numCache>
                <c:formatCode>0.00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xVal>
          <c:yVal>
            <c:numRef>
              <c:f>'corr.non.linéaire'!$C$6:$C$11</c:f>
              <c:numCache>
                <c:formatCode>0.00</c:formatCode>
                <c:ptCount val="6"/>
                <c:pt idx="0">
                  <c:v>3</c:v>
                </c:pt>
                <c:pt idx="1">
                  <c:v>6.8</c:v>
                </c:pt>
                <c:pt idx="2">
                  <c:v>8.3000000000000007</c:v>
                </c:pt>
                <c:pt idx="3">
                  <c:v>9.3048105459783255</c:v>
                </c:pt>
                <c:pt idx="4">
                  <c:v>9.8144679888450597</c:v>
                </c:pt>
                <c:pt idx="5">
                  <c:v>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1-4069-9442-D41E2758ED0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'corr.non.linéaire'!$B$6:$B$11</c:f>
              <c:numCache>
                <c:formatCode>0.00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xVal>
          <c:yVal>
            <c:numRef>
              <c:f>'corr.non.linéaire'!$C$6:$C$11</c:f>
              <c:numCache>
                <c:formatCode>0.00</c:formatCode>
                <c:ptCount val="6"/>
                <c:pt idx="0">
                  <c:v>3</c:v>
                </c:pt>
                <c:pt idx="1">
                  <c:v>6.8</c:v>
                </c:pt>
                <c:pt idx="2">
                  <c:v>8.3000000000000007</c:v>
                </c:pt>
                <c:pt idx="3">
                  <c:v>9.3048105459783255</c:v>
                </c:pt>
                <c:pt idx="4">
                  <c:v>9.8144679888450597</c:v>
                </c:pt>
                <c:pt idx="5">
                  <c:v>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1-4069-9442-D41E2758E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90880"/>
        <c:axId val="1"/>
      </c:scatterChart>
      <c:valAx>
        <c:axId val="463490880"/>
        <c:scaling>
          <c:orientation val="minMax"/>
          <c:min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2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4908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627669997414972E-2"/>
          <c:y val="9.5890838554324315E-2"/>
          <c:w val="0.86601583568166518"/>
          <c:h val="0.7625604780272458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80"/>
              </a:solidFill>
              <a:prstDash val="sysDash"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'corr.non.linéaire'!$B$27:$B$33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'corr.non.linéaire'!$C$27:$C$33</c:f>
              <c:numCache>
                <c:formatCode>0.00</c:formatCode>
                <c:ptCount val="7"/>
                <c:pt idx="0">
                  <c:v>9.643403264762707</c:v>
                </c:pt>
                <c:pt idx="1">
                  <c:v>4.2809726174793568</c:v>
                </c:pt>
                <c:pt idx="2">
                  <c:v>1.7690733780284573</c:v>
                </c:pt>
                <c:pt idx="3">
                  <c:v>1.8995799447920625E-2</c:v>
                </c:pt>
                <c:pt idx="4">
                  <c:v>1.5004386181447356</c:v>
                </c:pt>
                <c:pt idx="5">
                  <c:v>4.2256683750756689</c:v>
                </c:pt>
                <c:pt idx="6">
                  <c:v>9.5732628389547987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E-453F-8BDE-541019F91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37232"/>
        <c:axId val="1"/>
      </c:scatterChart>
      <c:valAx>
        <c:axId val="464537232"/>
        <c:scaling>
          <c:orientation val="minMax"/>
          <c:min val="-3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0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5372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00669598479486"/>
          <c:y val="9.5454757312582808E-2"/>
          <c:w val="0.8273628794325113"/>
          <c:h val="0.7636380585006624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80"/>
              </a:solidFill>
              <a:prstDash val="sysDash"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'corr.non.linéaire'!$B$44:$B$50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xVal>
          <c:yVal>
            <c:numRef>
              <c:f>'corr.non.linéaire'!$C$44:$C$50</c:f>
              <c:numCache>
                <c:formatCode>0.00</c:formatCode>
                <c:ptCount val="7"/>
                <c:pt idx="0">
                  <c:v>9.643403264762707</c:v>
                </c:pt>
                <c:pt idx="1">
                  <c:v>4.2809726174793568</c:v>
                </c:pt>
                <c:pt idx="2">
                  <c:v>1.7690733780284573</c:v>
                </c:pt>
                <c:pt idx="3">
                  <c:v>1.8995799447920625E-2</c:v>
                </c:pt>
                <c:pt idx="4">
                  <c:v>1.5004386181447356</c:v>
                </c:pt>
                <c:pt idx="5">
                  <c:v>4.2256683750756689</c:v>
                </c:pt>
                <c:pt idx="6">
                  <c:v>9.5732628389547987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9-494E-81D1-5E0171969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31952"/>
        <c:axId val="1"/>
      </c:scatterChart>
      <c:valAx>
        <c:axId val="464531952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0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5319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Nuage de points</a:t>
            </a:r>
          </a:p>
        </c:rich>
      </c:tx>
      <c:layout>
        <c:manualLayout>
          <c:xMode val="edge"/>
          <c:yMode val="edge"/>
          <c:x val="0.38574938574938578"/>
          <c:y val="3.7037037037037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07616707616707"/>
          <c:y val="0.14141460639798506"/>
          <c:w val="0.79852579852579852"/>
          <c:h val="0.70370601755187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 bisériale ponctuelle'!$B$2:$B$21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'corr. bisériale ponctuelle'!$C$2:$C$21</c:f>
              <c:numCache>
                <c:formatCode>0.00</c:formatCode>
                <c:ptCount val="20"/>
                <c:pt idx="0">
                  <c:v>1.651</c:v>
                </c:pt>
                <c:pt idx="1">
                  <c:v>1.74498</c:v>
                </c:pt>
                <c:pt idx="2">
                  <c:v>1.7602200000000001</c:v>
                </c:pt>
                <c:pt idx="3">
                  <c:v>1.7119599999999999</c:v>
                </c:pt>
                <c:pt idx="4">
                  <c:v>1.8135599999999998</c:v>
                </c:pt>
                <c:pt idx="5">
                  <c:v>1.7119599999999999</c:v>
                </c:pt>
                <c:pt idx="6">
                  <c:v>1.78308</c:v>
                </c:pt>
                <c:pt idx="7">
                  <c:v>1.6916399999999998</c:v>
                </c:pt>
                <c:pt idx="8">
                  <c:v>1.7703799999999998</c:v>
                </c:pt>
                <c:pt idx="9">
                  <c:v>1.6484599999999998</c:v>
                </c:pt>
                <c:pt idx="10">
                  <c:v>1.6103599999999998</c:v>
                </c:pt>
                <c:pt idx="11">
                  <c:v>1.7729200000000001</c:v>
                </c:pt>
                <c:pt idx="12">
                  <c:v>1.7297399999999998</c:v>
                </c:pt>
                <c:pt idx="13">
                  <c:v>1.69418</c:v>
                </c:pt>
                <c:pt idx="14">
                  <c:v>1.7525999999999999</c:v>
                </c:pt>
                <c:pt idx="15">
                  <c:v>1.87198</c:v>
                </c:pt>
                <c:pt idx="16">
                  <c:v>1.7373599999999998</c:v>
                </c:pt>
                <c:pt idx="17">
                  <c:v>1.6891</c:v>
                </c:pt>
                <c:pt idx="18">
                  <c:v>1.78308</c:v>
                </c:pt>
                <c:pt idx="19">
                  <c:v>1.7272000000000001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E-4E36-A502-5BD4A935A819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'corr. bisériale ponctuelle'!$B$22:$B$36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'corr. bisériale ponctuelle'!$C$22:$C$36</c:f>
              <c:numCache>
                <c:formatCode>0.00</c:formatCode>
                <c:ptCount val="15"/>
                <c:pt idx="0">
                  <c:v>1.69672</c:v>
                </c:pt>
                <c:pt idx="1">
                  <c:v>1.5392399999999999</c:v>
                </c:pt>
                <c:pt idx="2">
                  <c:v>1.6255999999999999</c:v>
                </c:pt>
                <c:pt idx="3">
                  <c:v>1.6332199999999999</c:v>
                </c:pt>
                <c:pt idx="4">
                  <c:v>1.4351</c:v>
                </c:pt>
                <c:pt idx="5">
                  <c:v>1.6789399999999999</c:v>
                </c:pt>
                <c:pt idx="6">
                  <c:v>1.6433799999999998</c:v>
                </c:pt>
                <c:pt idx="7">
                  <c:v>1.6255999999999999</c:v>
                </c:pt>
                <c:pt idx="8">
                  <c:v>1.5417799999999999</c:v>
                </c:pt>
                <c:pt idx="9">
                  <c:v>1.5417799999999999</c:v>
                </c:pt>
                <c:pt idx="10">
                  <c:v>1.62052</c:v>
                </c:pt>
                <c:pt idx="11">
                  <c:v>1.57734</c:v>
                </c:pt>
                <c:pt idx="12">
                  <c:v>1.5570199999999998</c:v>
                </c:pt>
                <c:pt idx="13">
                  <c:v>1.4960599999999999</c:v>
                </c:pt>
                <c:pt idx="14">
                  <c:v>1.62052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6E-4E36-A502-5BD4A935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72064"/>
        <c:axId val="1"/>
      </c:scatterChart>
      <c:valAx>
        <c:axId val="463172064"/>
        <c:scaling>
          <c:orientation val="minMax"/>
          <c:min val="-0.2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Genre</a:t>
                </a:r>
              </a:p>
            </c:rich>
          </c:tx>
          <c:layout>
            <c:manualLayout>
              <c:xMode val="edge"/>
              <c:yMode val="edge"/>
              <c:x val="0.51842751842751844"/>
              <c:y val="0.8787907067172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crossBetween val="midCat"/>
      </c:valAx>
      <c:valAx>
        <c:axId val="1"/>
        <c:scaling>
          <c:orientation val="minMax"/>
          <c:min val="1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Taille</a:t>
                </a:r>
              </a:p>
            </c:rich>
          </c:tx>
          <c:layout>
            <c:manualLayout>
              <c:xMode val="edge"/>
              <c:yMode val="edge"/>
              <c:x val="3.9312039312039311E-2"/>
              <c:y val="0.437711851675106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172064"/>
        <c:crossesAt val="-0.2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Relation Taille - Poids</a:t>
            </a:r>
          </a:p>
        </c:rich>
      </c:tx>
      <c:layout>
        <c:manualLayout>
          <c:xMode val="edge"/>
          <c:yMode val="edge"/>
          <c:x val="0.35000052493438316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50019836449997"/>
          <c:y val="0.16141732283464566"/>
          <c:w val="0.77500094604607672"/>
          <c:h val="0.6456692913385826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'rho.spearman'!$B$2:$B$16</c:f>
              <c:numCache>
                <c:formatCode>0.000</c:formatCode>
                <c:ptCount val="15"/>
                <c:pt idx="0">
                  <c:v>1.6970000000000001</c:v>
                </c:pt>
                <c:pt idx="1">
                  <c:v>1.5389999999999999</c:v>
                </c:pt>
                <c:pt idx="2">
                  <c:v>1.629</c:v>
                </c:pt>
                <c:pt idx="3">
                  <c:v>1.633</c:v>
                </c:pt>
                <c:pt idx="4">
                  <c:v>1.5</c:v>
                </c:pt>
                <c:pt idx="5">
                  <c:v>1.679</c:v>
                </c:pt>
                <c:pt idx="6">
                  <c:v>1.643</c:v>
                </c:pt>
                <c:pt idx="7">
                  <c:v>1.6259999999999999</c:v>
                </c:pt>
                <c:pt idx="8">
                  <c:v>1.5429999999999999</c:v>
                </c:pt>
                <c:pt idx="9">
                  <c:v>1.542</c:v>
                </c:pt>
                <c:pt idx="10">
                  <c:v>1.621</c:v>
                </c:pt>
                <c:pt idx="11">
                  <c:v>1.577</c:v>
                </c:pt>
                <c:pt idx="12">
                  <c:v>1.5569999999999999</c:v>
                </c:pt>
                <c:pt idx="13">
                  <c:v>1.496</c:v>
                </c:pt>
                <c:pt idx="14">
                  <c:v>1.637</c:v>
                </c:pt>
              </c:numCache>
            </c:numRef>
          </c:xVal>
          <c:yVal>
            <c:numRef>
              <c:f>'rho.spearman'!$C$2:$C$16</c:f>
              <c:numCache>
                <c:formatCode>0.000</c:formatCode>
                <c:ptCount val="15"/>
                <c:pt idx="0">
                  <c:v>77.563999999999993</c:v>
                </c:pt>
                <c:pt idx="1">
                  <c:v>55</c:v>
                </c:pt>
                <c:pt idx="2">
                  <c:v>76.656999999999996</c:v>
                </c:pt>
                <c:pt idx="3">
                  <c:v>62.595999999999997</c:v>
                </c:pt>
                <c:pt idx="4">
                  <c:v>58.067999999999998</c:v>
                </c:pt>
                <c:pt idx="5">
                  <c:v>72.575000000000003</c:v>
                </c:pt>
                <c:pt idx="6">
                  <c:v>82</c:v>
                </c:pt>
                <c:pt idx="7">
                  <c:v>76.667000000000002</c:v>
                </c:pt>
                <c:pt idx="8">
                  <c:v>58.06</c:v>
                </c:pt>
                <c:pt idx="9">
                  <c:v>71.668000000000006</c:v>
                </c:pt>
                <c:pt idx="10">
                  <c:v>68.039000000000001</c:v>
                </c:pt>
                <c:pt idx="11">
                  <c:v>70.06</c:v>
                </c:pt>
                <c:pt idx="12">
                  <c:v>61.689</c:v>
                </c:pt>
                <c:pt idx="13">
                  <c:v>67.584999999999994</c:v>
                </c:pt>
                <c:pt idx="14">
                  <c:v>59.874000000000002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2-40D0-811F-8675303E1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56656"/>
        <c:axId val="1"/>
      </c:scatterChart>
      <c:valAx>
        <c:axId val="46475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Taille (m)</a:t>
                </a:r>
              </a:p>
            </c:rich>
          </c:tx>
          <c:layout>
            <c:manualLayout>
              <c:xMode val="edge"/>
              <c:yMode val="edge"/>
              <c:x val="0.49000052493438317"/>
              <c:y val="0.8818897637795275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85"/>
          <c:min val="50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Poids (kg)</a:t>
                </a:r>
              </a:p>
            </c:rich>
          </c:tx>
          <c:layout>
            <c:manualLayout>
              <c:xMode val="edge"/>
              <c:yMode val="edge"/>
              <c:x val="0.04"/>
              <c:y val="0.3818897637795275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7566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51894718947913"/>
          <c:y val="0.13291139240506328"/>
          <c:w val="0.80741032772832655"/>
          <c:h val="0.689873417721519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80"/>
              </a:solidFill>
              <a:prstDash val="sysDash"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'corr.non.linéaire'!$B$6:$B$11</c:f>
              <c:numCache>
                <c:formatCode>0.00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xVal>
          <c:yVal>
            <c:numRef>
              <c:f>'corr.non.linéaire'!$C$6:$C$11</c:f>
              <c:numCache>
                <c:formatCode>0.00</c:formatCode>
                <c:ptCount val="6"/>
                <c:pt idx="0">
                  <c:v>3</c:v>
                </c:pt>
                <c:pt idx="1">
                  <c:v>6.8</c:v>
                </c:pt>
                <c:pt idx="2">
                  <c:v>8.3000000000000007</c:v>
                </c:pt>
                <c:pt idx="3">
                  <c:v>9.3048105459783255</c:v>
                </c:pt>
                <c:pt idx="4">
                  <c:v>9.8144679888450597</c:v>
                </c:pt>
                <c:pt idx="5">
                  <c:v>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F-4A1A-BF49-53653CAEE42D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'corr.non.linéaire'!$B$6:$B$11</c:f>
              <c:numCache>
                <c:formatCode>0.00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2.25</c:v>
                </c:pt>
              </c:numCache>
            </c:numRef>
          </c:xVal>
          <c:yVal>
            <c:numRef>
              <c:f>'corr.non.linéaire'!$C$6:$C$11</c:f>
              <c:numCache>
                <c:formatCode>0.00</c:formatCode>
                <c:ptCount val="6"/>
                <c:pt idx="0">
                  <c:v>3</c:v>
                </c:pt>
                <c:pt idx="1">
                  <c:v>6.8</c:v>
                </c:pt>
                <c:pt idx="2">
                  <c:v>8.3000000000000007</c:v>
                </c:pt>
                <c:pt idx="3">
                  <c:v>9.3048105459783255</c:v>
                </c:pt>
                <c:pt idx="4">
                  <c:v>9.8144679888450597</c:v>
                </c:pt>
                <c:pt idx="5">
                  <c:v>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F-4A1A-BF49-53653CAE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52576"/>
        <c:axId val="1"/>
      </c:scatterChart>
      <c:valAx>
        <c:axId val="464952576"/>
        <c:scaling>
          <c:orientation val="minMax"/>
          <c:min val="1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2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9525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7837837837837"/>
          <c:y val="8.4942245079944426E-2"/>
          <c:w val="0.79391891891891897"/>
          <c:h val="0.7876462725594846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point.atypique!$C$3:$C$8</c:f>
              <c:numCache>
                <c:formatCode>0.00</c:formatCode>
                <c:ptCount val="6"/>
                <c:pt idx="0">
                  <c:v>0.3</c:v>
                </c:pt>
                <c:pt idx="1">
                  <c:v>0.35</c:v>
                </c:pt>
                <c:pt idx="2">
                  <c:v>0.54</c:v>
                </c:pt>
                <c:pt idx="3">
                  <c:v>0.28000000000000003</c:v>
                </c:pt>
                <c:pt idx="4">
                  <c:v>0.21</c:v>
                </c:pt>
                <c:pt idx="5">
                  <c:v>0.03</c:v>
                </c:pt>
              </c:numCache>
            </c:numRef>
          </c:xVal>
          <c:yVal>
            <c:numRef>
              <c:f>point.atypique!$D$3:$D$8</c:f>
              <c:numCache>
                <c:formatCode>0.00</c:formatCode>
                <c:ptCount val="6"/>
                <c:pt idx="0">
                  <c:v>0.7</c:v>
                </c:pt>
                <c:pt idx="1">
                  <c:v>0.65</c:v>
                </c:pt>
                <c:pt idx="2">
                  <c:v>0.37</c:v>
                </c:pt>
                <c:pt idx="3">
                  <c:v>0.54</c:v>
                </c:pt>
                <c:pt idx="4">
                  <c:v>0.83</c:v>
                </c:pt>
                <c:pt idx="5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9-4792-A8F0-834BC698C16B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point.atypique!$C$9</c:f>
              <c:numCache>
                <c:formatCode>0.00</c:formatCode>
                <c:ptCount val="1"/>
                <c:pt idx="0">
                  <c:v>9.34</c:v>
                </c:pt>
              </c:numCache>
            </c:numRef>
          </c:xVal>
          <c:yVal>
            <c:numRef>
              <c:f>point.atypique!$D$9</c:f>
              <c:numCache>
                <c:formatCode>0.00</c:formatCode>
                <c:ptCount val="1"/>
                <c:pt idx="0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9-4792-A8F0-834BC698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55456"/>
        <c:axId val="1"/>
      </c:scatterChart>
      <c:valAx>
        <c:axId val="4649554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9554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Lien Cigarettes et Leucémie</a:t>
            </a:r>
          </a:p>
        </c:rich>
      </c:tx>
      <c:layout>
        <c:manualLayout>
          <c:xMode val="edge"/>
          <c:yMode val="edge"/>
          <c:x val="0.322265625"/>
          <c:y val="3.41614906832298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8125"/>
          <c:y val="0.13975176471480238"/>
          <c:w val="0.830078125"/>
          <c:h val="0.6645972810881712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'rapport.corrélation'!$A$4:$A$46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</c:numCache>
            </c:numRef>
          </c:xVal>
          <c:yVal>
            <c:numRef>
              <c:f>'rapport.corrélation'!$B$4:$B$46</c:f>
              <c:numCache>
                <c:formatCode>0.00</c:formatCode>
                <c:ptCount val="43"/>
                <c:pt idx="0">
                  <c:v>6.71</c:v>
                </c:pt>
                <c:pt idx="1">
                  <c:v>6.08</c:v>
                </c:pt>
                <c:pt idx="2">
                  <c:v>5.82</c:v>
                </c:pt>
                <c:pt idx="3">
                  <c:v>6.15</c:v>
                </c:pt>
                <c:pt idx="4">
                  <c:v>6.94</c:v>
                </c:pt>
                <c:pt idx="5">
                  <c:v>6.99</c:v>
                </c:pt>
                <c:pt idx="6">
                  <c:v>6.59</c:v>
                </c:pt>
                <c:pt idx="7">
                  <c:v>6.62</c:v>
                </c:pt>
                <c:pt idx="8">
                  <c:v>8.15</c:v>
                </c:pt>
                <c:pt idx="9">
                  <c:v>5.95</c:v>
                </c:pt>
                <c:pt idx="10">
                  <c:v>7.48</c:v>
                </c:pt>
                <c:pt idx="11">
                  <c:v>6.73</c:v>
                </c:pt>
                <c:pt idx="12">
                  <c:v>6.71</c:v>
                </c:pt>
                <c:pt idx="13">
                  <c:v>7.42</c:v>
                </c:pt>
                <c:pt idx="14">
                  <c:v>8.2799999999999994</c:v>
                </c:pt>
                <c:pt idx="15">
                  <c:v>7.69</c:v>
                </c:pt>
                <c:pt idx="16">
                  <c:v>7.02</c:v>
                </c:pt>
                <c:pt idx="17">
                  <c:v>7.38</c:v>
                </c:pt>
                <c:pt idx="18">
                  <c:v>7.8</c:v>
                </c:pt>
                <c:pt idx="19">
                  <c:v>6.41</c:v>
                </c:pt>
                <c:pt idx="20">
                  <c:v>7.46</c:v>
                </c:pt>
                <c:pt idx="21">
                  <c:v>6.9</c:v>
                </c:pt>
                <c:pt idx="22">
                  <c:v>6.83</c:v>
                </c:pt>
                <c:pt idx="23">
                  <c:v>6.91</c:v>
                </c:pt>
                <c:pt idx="24">
                  <c:v>6.61</c:v>
                </c:pt>
                <c:pt idx="25">
                  <c:v>6.56</c:v>
                </c:pt>
                <c:pt idx="26">
                  <c:v>6.81</c:v>
                </c:pt>
                <c:pt idx="27">
                  <c:v>7</c:v>
                </c:pt>
                <c:pt idx="28">
                  <c:v>7.38</c:v>
                </c:pt>
                <c:pt idx="29">
                  <c:v>6.89</c:v>
                </c:pt>
                <c:pt idx="30">
                  <c:v>6.82</c:v>
                </c:pt>
                <c:pt idx="31">
                  <c:v>7.27</c:v>
                </c:pt>
                <c:pt idx="32">
                  <c:v>5.78</c:v>
                </c:pt>
                <c:pt idx="33">
                  <c:v>6.07</c:v>
                </c:pt>
                <c:pt idx="34">
                  <c:v>7.06</c:v>
                </c:pt>
                <c:pt idx="35">
                  <c:v>7.12</c:v>
                </c:pt>
                <c:pt idx="36">
                  <c:v>6.24</c:v>
                </c:pt>
                <c:pt idx="37">
                  <c:v>7.23</c:v>
                </c:pt>
                <c:pt idx="38">
                  <c:v>6.35</c:v>
                </c:pt>
                <c:pt idx="39">
                  <c:v>7.2</c:v>
                </c:pt>
                <c:pt idx="40">
                  <c:v>6.45</c:v>
                </c:pt>
                <c:pt idx="41">
                  <c:v>7.08</c:v>
                </c:pt>
                <c:pt idx="42">
                  <c:v>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7-476C-9EA1-ACEC939855DC}"/>
            </c:ext>
          </c:extLst>
        </c:ser>
        <c:ser>
          <c:idx val="1"/>
          <c:order val="1"/>
          <c:spPr>
            <a:ln w="3175">
              <a:solidFill>
                <a:srgbClr val="FF00FF"/>
              </a:solidFill>
              <a:prstDash val="sys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'rapport.corrélation'!$D$9:$D$13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'rapport.corrélation'!$F$9:$F$13</c:f>
              <c:numCache>
                <c:formatCode>0.00</c:formatCode>
                <c:ptCount val="5"/>
                <c:pt idx="0">
                  <c:v>6.4483333333333333</c:v>
                </c:pt>
                <c:pt idx="1">
                  <c:v>7.168333333333333</c:v>
                </c:pt>
                <c:pt idx="2">
                  <c:v>6.9633333333333338</c:v>
                </c:pt>
                <c:pt idx="3">
                  <c:v>6.66</c:v>
                </c:pt>
                <c:pt idx="4">
                  <c:v>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17-476C-9EA1-ACEC9398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62416"/>
        <c:axId val="1"/>
      </c:scatterChart>
      <c:valAx>
        <c:axId val="46476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Cigarettes</a:t>
                </a:r>
              </a:p>
            </c:rich>
          </c:tx>
          <c:layout>
            <c:manualLayout>
              <c:xMode val="edge"/>
              <c:yMode val="edge"/>
              <c:x val="0.486328125"/>
              <c:y val="0.88820006194877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4"/>
        </c:scaling>
        <c:delete val="0"/>
        <c:axPos val="l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Leucémie</a:t>
                </a:r>
              </a:p>
            </c:rich>
          </c:tx>
          <c:layout>
            <c:manualLayout>
              <c:xMode val="edge"/>
              <c:yMode val="edge"/>
              <c:x val="3.125E-2"/>
              <c:y val="0.3819882297321530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7624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://lib.stat.cmu.edu/DASL/Stories/FuelEfficientBuickWagon.html#http://lib.stat.cmu.edu/DASL/Stories/FuelEfficientBuickWagon.html&#xA;" TargetMode="External"/><Relationship Id="rId1" Type="http://schemas.openxmlformats.org/officeDocument/2006/relationships/hyperlink" Target="http://lib.stat.cmu.edu/DASL/Stories/FuelEfficientBuickWagon.html#http://lib.stat.cmu.edu/DASL/Stories/FuelEfficientBuickWagon.htm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4</xdr:row>
      <xdr:rowOff>19050</xdr:rowOff>
    </xdr:from>
    <xdr:to>
      <xdr:col>17</xdr:col>
      <xdr:colOff>571500</xdr:colOff>
      <xdr:row>24</xdr:row>
      <xdr:rowOff>152400</xdr:rowOff>
    </xdr:to>
    <xdr:graphicFrame macro="">
      <xdr:nvGraphicFramePr>
        <xdr:cNvPr id="9301" name="Chart 1">
          <a:extLst>
            <a:ext uri="{FF2B5EF4-FFF2-40B4-BE49-F238E27FC236}">
              <a16:creationId xmlns:a16="http://schemas.microsoft.com/office/drawing/2014/main" id="{695F50AB-A150-D0C7-A741-D0DFD1D30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6</xdr:row>
      <xdr:rowOff>133350</xdr:rowOff>
    </xdr:from>
    <xdr:to>
      <xdr:col>10</xdr:col>
      <xdr:colOff>885825</xdr:colOff>
      <xdr:row>30</xdr:row>
      <xdr:rowOff>142875</xdr:rowOff>
    </xdr:to>
    <xdr:graphicFrame macro="">
      <xdr:nvGraphicFramePr>
        <xdr:cNvPr id="6229" name="Chart 1025">
          <a:extLst>
            <a:ext uri="{FF2B5EF4-FFF2-40B4-BE49-F238E27FC236}">
              <a16:creationId xmlns:a16="http://schemas.microsoft.com/office/drawing/2014/main" id="{0A9BCAC6-ADA2-7045-562C-7C0D40ACA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</xdr:rowOff>
    </xdr:from>
    <xdr:to>
      <xdr:col>10</xdr:col>
      <xdr:colOff>0</xdr:colOff>
      <xdr:row>17</xdr:row>
      <xdr:rowOff>0</xdr:rowOff>
    </xdr:to>
    <xdr:graphicFrame macro="">
      <xdr:nvGraphicFramePr>
        <xdr:cNvPr id="12373" name="Chart 1">
          <a:extLst>
            <a:ext uri="{FF2B5EF4-FFF2-40B4-BE49-F238E27FC236}">
              <a16:creationId xmlns:a16="http://schemas.microsoft.com/office/drawing/2014/main" id="{6ED640A3-B5CC-FFD4-F797-BEA463CBE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38</xdr:row>
      <xdr:rowOff>123825</xdr:rowOff>
    </xdr:from>
    <xdr:to>
      <xdr:col>5</xdr:col>
      <xdr:colOff>0</xdr:colOff>
      <xdr:row>40</xdr:row>
      <xdr:rowOff>57150</xdr:rowOff>
    </xdr:to>
    <xdr:sp macro="" textlink="">
      <xdr:nvSpPr>
        <xdr:cNvPr id="8193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1C75A-F3E3-8BFA-97E5-ECBD5B914262}"/>
            </a:ext>
          </a:extLst>
        </xdr:cNvPr>
        <xdr:cNvSpPr txBox="1">
          <a:spLocks noChangeArrowheads="1"/>
        </xdr:cNvSpPr>
      </xdr:nvSpPr>
      <xdr:spPr bwMode="auto">
        <a:xfrm>
          <a:off x="3676650" y="6315075"/>
          <a:ext cx="0" cy="2571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http://lib.stat.cmu.edu/DASL/Stories/FuelEfficientBuickWagon.html</a:t>
          </a:r>
        </a:p>
      </xdr:txBody>
    </xdr:sp>
    <xdr:clientData/>
  </xdr:twoCellAnchor>
  <xdr:twoCellAnchor>
    <xdr:from>
      <xdr:col>8</xdr:col>
      <xdr:colOff>466725</xdr:colOff>
      <xdr:row>15</xdr:row>
      <xdr:rowOff>19050</xdr:rowOff>
    </xdr:from>
    <xdr:to>
      <xdr:col>15</xdr:col>
      <xdr:colOff>114300</xdr:colOff>
      <xdr:row>17</xdr:row>
      <xdr:rowOff>47625</xdr:rowOff>
    </xdr:to>
    <xdr:sp macro="" textlink="">
      <xdr:nvSpPr>
        <xdr:cNvPr id="8194" name="Text 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8F3A37-4772-F4E7-35AC-56AEE976FCF5}"/>
            </a:ext>
          </a:extLst>
        </xdr:cNvPr>
        <xdr:cNvSpPr txBox="1">
          <a:spLocks noChangeArrowheads="1"/>
        </xdr:cNvSpPr>
      </xdr:nvSpPr>
      <xdr:spPr bwMode="auto">
        <a:xfrm>
          <a:off x="6429375" y="2476500"/>
          <a:ext cx="498157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http://lib.stat.cmu.edu/DASL/Stories/FuelEfficientBuickWagon.html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0</xdr:row>
      <xdr:rowOff>133350</xdr:rowOff>
    </xdr:from>
    <xdr:to>
      <xdr:col>8</xdr:col>
      <xdr:colOff>142875</xdr:colOff>
      <xdr:row>13</xdr:row>
      <xdr:rowOff>19050</xdr:rowOff>
    </xdr:to>
    <xdr:graphicFrame macro="">
      <xdr:nvGraphicFramePr>
        <xdr:cNvPr id="7421" name="Chart 1">
          <a:extLst>
            <a:ext uri="{FF2B5EF4-FFF2-40B4-BE49-F238E27FC236}">
              <a16:creationId xmlns:a16="http://schemas.microsoft.com/office/drawing/2014/main" id="{0B08B226-6E86-513C-7D41-E7247179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485775</xdr:colOff>
      <xdr:row>23</xdr:row>
      <xdr:rowOff>28575</xdr:rowOff>
    </xdr:from>
    <xdr:to>
      <xdr:col>7</xdr:col>
      <xdr:colOff>352425</xdr:colOff>
      <xdr:row>36</xdr:row>
      <xdr:rowOff>114300</xdr:rowOff>
    </xdr:to>
    <xdr:graphicFrame macro="">
      <xdr:nvGraphicFramePr>
        <xdr:cNvPr id="7422" name="Chart 2">
          <a:extLst>
            <a:ext uri="{FF2B5EF4-FFF2-40B4-BE49-F238E27FC236}">
              <a16:creationId xmlns:a16="http://schemas.microsoft.com/office/drawing/2014/main" id="{FBBFC95B-B21B-D928-7FA8-2FE825ABA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447675</xdr:colOff>
      <xdr:row>40</xdr:row>
      <xdr:rowOff>28575</xdr:rowOff>
    </xdr:from>
    <xdr:to>
      <xdr:col>7</xdr:col>
      <xdr:colOff>323850</xdr:colOff>
      <xdr:row>53</xdr:row>
      <xdr:rowOff>123825</xdr:rowOff>
    </xdr:to>
    <xdr:graphicFrame macro="">
      <xdr:nvGraphicFramePr>
        <xdr:cNvPr id="7423" name="Chart 3">
          <a:extLst>
            <a:ext uri="{FF2B5EF4-FFF2-40B4-BE49-F238E27FC236}">
              <a16:creationId xmlns:a16="http://schemas.microsoft.com/office/drawing/2014/main" id="{B66649C7-B8C0-DA4A-687C-D415D4AE6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104775</xdr:rowOff>
    </xdr:from>
    <xdr:to>
      <xdr:col>7</xdr:col>
      <xdr:colOff>1000125</xdr:colOff>
      <xdr:row>18</xdr:row>
      <xdr:rowOff>19050</xdr:rowOff>
    </xdr:to>
    <xdr:graphicFrame macro="">
      <xdr:nvGraphicFramePr>
        <xdr:cNvPr id="10325" name="Chart 1">
          <a:extLst>
            <a:ext uri="{FF2B5EF4-FFF2-40B4-BE49-F238E27FC236}">
              <a16:creationId xmlns:a16="http://schemas.microsoft.com/office/drawing/2014/main" id="{DACCE793-2C48-6C43-40F1-B667D79CF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18</xdr:row>
      <xdr:rowOff>9525</xdr:rowOff>
    </xdr:from>
    <xdr:to>
      <xdr:col>8</xdr:col>
      <xdr:colOff>9525</xdr:colOff>
      <xdr:row>33</xdr:row>
      <xdr:rowOff>0</xdr:rowOff>
    </xdr:to>
    <xdr:graphicFrame macro="">
      <xdr:nvGraphicFramePr>
        <xdr:cNvPr id="11518" name="Chart 1">
          <a:extLst>
            <a:ext uri="{FF2B5EF4-FFF2-40B4-BE49-F238E27FC236}">
              <a16:creationId xmlns:a16="http://schemas.microsoft.com/office/drawing/2014/main" id="{7468017D-B5BC-C25A-E31D-C35F3B09C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476250</xdr:colOff>
      <xdr:row>3</xdr:row>
      <xdr:rowOff>142875</xdr:rowOff>
    </xdr:from>
    <xdr:to>
      <xdr:col>19</xdr:col>
      <xdr:colOff>0</xdr:colOff>
      <xdr:row>13</xdr:row>
      <xdr:rowOff>0</xdr:rowOff>
    </xdr:to>
    <xdr:graphicFrame macro="">
      <xdr:nvGraphicFramePr>
        <xdr:cNvPr id="11519" name="Chart 3">
          <a:extLst>
            <a:ext uri="{FF2B5EF4-FFF2-40B4-BE49-F238E27FC236}">
              <a16:creationId xmlns:a16="http://schemas.microsoft.com/office/drawing/2014/main" id="{866BC61D-079C-1F27-A300-868F15487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228600</xdr:colOff>
      <xdr:row>4</xdr:row>
      <xdr:rowOff>0</xdr:rowOff>
    </xdr:from>
    <xdr:to>
      <xdr:col>31</xdr:col>
      <xdr:colOff>0</xdr:colOff>
      <xdr:row>19</xdr:row>
      <xdr:rowOff>0</xdr:rowOff>
    </xdr:to>
    <xdr:graphicFrame macro="">
      <xdr:nvGraphicFramePr>
        <xdr:cNvPr id="11520" name="Chart 4">
          <a:extLst>
            <a:ext uri="{FF2B5EF4-FFF2-40B4-BE49-F238E27FC236}">
              <a16:creationId xmlns:a16="http://schemas.microsoft.com/office/drawing/2014/main" id="{B0676C29-736A-D4C7-C4AC-B3CBFF0DB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9525</xdr:rowOff>
    </xdr:from>
    <xdr:to>
      <xdr:col>7</xdr:col>
      <xdr:colOff>0</xdr:colOff>
      <xdr:row>34</xdr:row>
      <xdr:rowOff>0</xdr:rowOff>
    </xdr:to>
    <xdr:graphicFrame macro="">
      <xdr:nvGraphicFramePr>
        <xdr:cNvPr id="13397" name="Chart 1">
          <a:extLst>
            <a:ext uri="{FF2B5EF4-FFF2-40B4-BE49-F238E27FC236}">
              <a16:creationId xmlns:a16="http://schemas.microsoft.com/office/drawing/2014/main" id="{F360ECD7-33FE-F9EF-7C94-B7D549386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on" refreshedDate="39607.739203703706" createdVersion="1" refreshedVersion="1" recordCount="43" xr:uid="{00000000-000A-0000-FFFF-FFFF00000000}">
  <cacheSource type="worksheet">
    <worksheetSource ref="A3:B46" sheet="rapport.corrélation"/>
  </cacheSource>
  <cacheFields count="2">
    <cacheField name="Cigarettes (X)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Leucémie (Y)" numFmtId="0">
      <sharedItems containsSemiMixedTypes="0" containsString="0" containsNumber="1" minValue="5.78" maxValue="8.2799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on" refreshedDate="39602.506270370373" createdVersion="1" refreshedVersion="1" recordCount="35" xr:uid="{00000000-000A-0000-FFFF-FFFF01000000}">
  <cacheSource type="worksheet">
    <worksheetSource ref="B1:C36" sheet="corr. bisériale ponctuelle"/>
  </cacheSource>
  <cacheFields count="2">
    <cacheField name="Genre(M)" numFmtId="0">
      <sharedItems containsSemiMixedTypes="0" containsString="0" containsNumber="1" containsInteger="1" minValue="0" maxValue="1" count="2">
        <n v="1"/>
        <n v="0"/>
      </sharedItems>
    </cacheField>
    <cacheField name="Taille" numFmtId="0">
      <sharedItems containsSemiMixedTypes="0" containsString="0" containsNumber="1" minValue="1.4351" maxValue="1.87198" count="30">
        <n v="1.651"/>
        <n v="1.74498"/>
        <n v="1.7602200000000001"/>
        <n v="1.7119599999999999"/>
        <n v="1.8135599999999998"/>
        <n v="1.78308"/>
        <n v="1.6916399999999998"/>
        <n v="1.7703799999999998"/>
        <n v="1.6484599999999998"/>
        <n v="1.6103599999999998"/>
        <n v="1.7729200000000001"/>
        <n v="1.7297399999999998"/>
        <n v="1.69418"/>
        <n v="1.7525999999999999"/>
        <n v="1.87198"/>
        <n v="1.7373599999999998"/>
        <n v="1.6891"/>
        <n v="1.7272000000000001"/>
        <n v="1.69672"/>
        <n v="1.5392399999999999"/>
        <n v="1.6255999999999999"/>
        <n v="1.6332199999999999"/>
        <n v="1.4351"/>
        <n v="1.6789399999999999"/>
        <n v="1.6433799999999998"/>
        <n v="1.5417799999999999"/>
        <n v="1.62052"/>
        <n v="1.57734"/>
        <n v="1.5570199999999998"/>
        <n v="1.49605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son" refreshedDate="39603.475860185186" createdVersion="1" refreshedVersion="1" recordCount="28" xr:uid="{00000000-000A-0000-FFFF-FFFF02000000}">
  <cacheSource type="worksheet">
    <worksheetSource ref="E2:F30" sheet="coef. phi"/>
  </cacheSource>
  <cacheFields count="2">
    <cacheField name="X" numFmtId="0">
      <sharedItems containsSemiMixedTypes="0" containsString="0" containsNumber="1" containsInteger="1" minValue="0" maxValue="1" count="2">
        <n v="0"/>
        <n v="1"/>
      </sharedItems>
    </cacheField>
    <cacheField name="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n v="6.71"/>
  </r>
  <r>
    <x v="0"/>
    <n v="6.08"/>
  </r>
  <r>
    <x v="0"/>
    <n v="5.82"/>
  </r>
  <r>
    <x v="0"/>
    <n v="6.15"/>
  </r>
  <r>
    <x v="0"/>
    <n v="6.94"/>
  </r>
  <r>
    <x v="0"/>
    <n v="6.99"/>
  </r>
  <r>
    <x v="1"/>
    <n v="6.59"/>
  </r>
  <r>
    <x v="1"/>
    <n v="6.62"/>
  </r>
  <r>
    <x v="1"/>
    <n v="8.15"/>
  </r>
  <r>
    <x v="1"/>
    <n v="5.95"/>
  </r>
  <r>
    <x v="1"/>
    <n v="7.48"/>
  </r>
  <r>
    <x v="1"/>
    <n v="6.73"/>
  </r>
  <r>
    <x v="1"/>
    <n v="6.71"/>
  </r>
  <r>
    <x v="1"/>
    <n v="7.42"/>
  </r>
  <r>
    <x v="1"/>
    <n v="8.2799999999999994"/>
  </r>
  <r>
    <x v="1"/>
    <n v="7.69"/>
  </r>
  <r>
    <x v="1"/>
    <n v="7.02"/>
  </r>
  <r>
    <x v="1"/>
    <n v="7.38"/>
  </r>
  <r>
    <x v="2"/>
    <n v="7.8"/>
  </r>
  <r>
    <x v="2"/>
    <n v="6.41"/>
  </r>
  <r>
    <x v="2"/>
    <n v="7.46"/>
  </r>
  <r>
    <x v="2"/>
    <n v="6.9"/>
  </r>
  <r>
    <x v="2"/>
    <n v="6.83"/>
  </r>
  <r>
    <x v="2"/>
    <n v="6.91"/>
  </r>
  <r>
    <x v="2"/>
    <n v="6.61"/>
  </r>
  <r>
    <x v="2"/>
    <n v="6.56"/>
  </r>
  <r>
    <x v="2"/>
    <n v="6.81"/>
  </r>
  <r>
    <x v="2"/>
    <n v="7"/>
  </r>
  <r>
    <x v="2"/>
    <n v="7.38"/>
  </r>
  <r>
    <x v="2"/>
    <n v="6.89"/>
  </r>
  <r>
    <x v="3"/>
    <n v="6.82"/>
  </r>
  <r>
    <x v="3"/>
    <n v="7.27"/>
  </r>
  <r>
    <x v="3"/>
    <n v="5.78"/>
  </r>
  <r>
    <x v="3"/>
    <n v="6.07"/>
  </r>
  <r>
    <x v="3"/>
    <n v="7.06"/>
  </r>
  <r>
    <x v="3"/>
    <n v="7.12"/>
  </r>
  <r>
    <x v="3"/>
    <n v="6.24"/>
  </r>
  <r>
    <x v="3"/>
    <n v="7.23"/>
  </r>
  <r>
    <x v="3"/>
    <n v="6.35"/>
  </r>
  <r>
    <x v="4"/>
    <n v="7.2"/>
  </r>
  <r>
    <x v="4"/>
    <n v="6.45"/>
  </r>
  <r>
    <x v="4"/>
    <n v="7.08"/>
  </r>
  <r>
    <x v="4"/>
    <n v="6.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x v="0"/>
    <x v="0"/>
  </r>
  <r>
    <x v="0"/>
    <x v="1"/>
  </r>
  <r>
    <x v="0"/>
    <x v="2"/>
  </r>
  <r>
    <x v="0"/>
    <x v="3"/>
  </r>
  <r>
    <x v="0"/>
    <x v="4"/>
  </r>
  <r>
    <x v="0"/>
    <x v="3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5"/>
  </r>
  <r>
    <x v="0"/>
    <x v="17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24"/>
  </r>
  <r>
    <x v="1"/>
    <x v="20"/>
  </r>
  <r>
    <x v="1"/>
    <x v="25"/>
  </r>
  <r>
    <x v="1"/>
    <x v="25"/>
  </r>
  <r>
    <x v="1"/>
    <x v="26"/>
  </r>
  <r>
    <x v="1"/>
    <x v="27"/>
  </r>
  <r>
    <x v="1"/>
    <x v="28"/>
  </r>
  <r>
    <x v="1"/>
    <x v="29"/>
  </r>
  <r>
    <x v="1"/>
    <x v="2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eau croisé dynamique1" cacheId="2595" applyNumberFormats="0" applyBorderFormats="0" applyFontFormats="0" applyPatternFormats="0" applyAlignmentFormats="0" applyWidthHeightFormats="1" dataCaption="Données" updatedVersion="1" showMemberPropertyTips="0" useAutoFormatting="1" itemPrintTitles="1" createdVersion="1" indent="0" compact="0" compactData="0" gridDropZones="1">
  <location ref="E24:H28" firstHeaderRow="1" firstDataRow="2" firstDataCol="1"/>
  <pivotFields count="2">
    <pivotField axis="axisRow" compact="0" outline="0" subtotalTop="0" showAll="0" includeNewItemsInFilter="1">
      <items count="3">
        <item x="1"/>
        <item x="0"/>
        <item t="default"/>
      </items>
    </pivotField>
    <pivotField dataField="1" compact="0" numFmtId="2" outline="0" subtotalTop="0" showAll="0" includeNewItemsInFilter="1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Taille2" fld="1" subtotal="count" baseField="0" baseItem="0"/>
    <dataField name="Moyenne de Taille" fld="1" subtotal="average" baseField="0" baseItem="0" numFmtId="166"/>
    <dataField name="Écartype de Taille" fld="1" subtotal="stdDev" baseField="0" baseItem="0" numFmtId="166"/>
  </dataFields>
  <formats count="2">
    <format dxfId="5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6">
      <pivotArea dataOnly="0" labelOnly="1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Tableau croisé dynamique3" cacheId="2596" dataOnRows="1" applyNumberFormats="0" applyBorderFormats="0" applyFontFormats="0" applyPatternFormats="0" applyAlignmentFormats="0" applyWidthHeightFormats="1" dataCaption="Données" updatedVersion="1" showMemberPropertyTips="0" useAutoFormatting="1" itemPrintTitles="1" createdVersion="1" indent="0" compact="0" compactData="0" gridDropZones="1">
  <location ref="A35:D39" firstHeaderRow="1" firstDataRow="2" firstDataCol="1"/>
  <pivotFields count="2">
    <pivotField axis="axisCol" compact="0" outline="0" subtotalTop="0" showAll="0" includeNewItemsInFilter="1">
      <items count="3">
        <item x="0"/>
        <item x="1"/>
        <item t="default"/>
      </items>
    </pivotField>
    <pivotField axis="axisRow" dataField="1" compact="0" outline="0" subtotalTop="0" showAll="0" includeNewItemsInFilter="1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Nombre de Y" fld="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2000000}" name="Tableau croisé dynamique1" cacheId="2594" applyNumberFormats="0" applyBorderFormats="0" applyFontFormats="0" applyPatternFormats="0" applyAlignmentFormats="0" applyWidthHeightFormats="1" dataCaption="Données" grandTotalCaption="Marge" updatedVersion="1" asteriskTotals="1" showMemberPropertyTips="0" useAutoFormatting="1" itemPrintTitles="1" createdVersion="1" indent="0" compact="0" compactData="0" gridDropZones="1">
  <location ref="D7:F14" firstHeaderRow="1" firstDataRow="2" firstDataCol="1"/>
  <pivotFields count="2"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numFmtId="2" outline="0" subtotalTop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Leucémie (Y)" fld="1" subtotal="countNums" baseField="0" baseItem="0" numFmtId="1"/>
    <dataField name="Moyenne de Leucémie (Y)" fld="1" subtotal="average" baseField="0" baseItem="0" numFmtId="2"/>
  </dataFields>
  <formats count="5">
    <format dxfId="0">
      <pivotArea outline="0" fieldPosition="0"/>
    </format>
    <format dxfId="1">
      <pivotArea outline="0" fieldPosition="0"/>
    </format>
    <format dxfId="2">
      <pivotArea dataOnly="0" labelOnly="1" outline="0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4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0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zoomScale="90" zoomScaleNormal="90" workbookViewId="0">
      <selection activeCell="C19" sqref="C19"/>
    </sheetView>
  </sheetViews>
  <sheetFormatPr defaultRowHeight="12.75"/>
  <cols>
    <col min="1" max="1" width="11.42578125" customWidth="1"/>
    <col min="2" max="2" width="29.85546875" customWidth="1"/>
    <col min="3" max="256" width="11.42578125" customWidth="1"/>
  </cols>
  <sheetData>
    <row r="1" spans="1:6">
      <c r="A1" s="2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8">
        <v>1</v>
      </c>
      <c r="B2" s="7" t="s">
        <v>6</v>
      </c>
      <c r="C2" s="3">
        <v>846</v>
      </c>
      <c r="D2" s="3">
        <v>32</v>
      </c>
      <c r="E2" s="3">
        <v>650</v>
      </c>
      <c r="F2" s="4">
        <v>5.7</v>
      </c>
    </row>
    <row r="3" spans="1:6">
      <c r="A3" s="8">
        <v>2</v>
      </c>
      <c r="B3" s="7" t="s">
        <v>7</v>
      </c>
      <c r="C3" s="5">
        <v>993</v>
      </c>
      <c r="D3" s="5">
        <v>39</v>
      </c>
      <c r="E3" s="5">
        <v>790</v>
      </c>
      <c r="F3" s="6">
        <v>5.8</v>
      </c>
    </row>
    <row r="4" spans="1:6">
      <c r="A4" s="8">
        <v>3</v>
      </c>
      <c r="B4" s="7" t="s">
        <v>8</v>
      </c>
      <c r="C4" s="5">
        <v>899</v>
      </c>
      <c r="D4" s="5">
        <v>29</v>
      </c>
      <c r="E4" s="5">
        <v>730</v>
      </c>
      <c r="F4" s="6">
        <v>6.1</v>
      </c>
    </row>
    <row r="5" spans="1:6">
      <c r="A5" s="8">
        <v>4</v>
      </c>
      <c r="B5" s="7" t="s">
        <v>9</v>
      </c>
      <c r="C5" s="5">
        <v>1390</v>
      </c>
      <c r="D5" s="5">
        <v>44</v>
      </c>
      <c r="E5" s="5">
        <v>955</v>
      </c>
      <c r="F5" s="6">
        <v>6.5</v>
      </c>
    </row>
    <row r="6" spans="1:6">
      <c r="A6" s="8">
        <v>5</v>
      </c>
      <c r="B6" s="7" t="s">
        <v>10</v>
      </c>
      <c r="C6" s="5">
        <v>1195</v>
      </c>
      <c r="D6" s="5">
        <v>33</v>
      </c>
      <c r="E6" s="5">
        <v>895</v>
      </c>
      <c r="F6" s="6">
        <v>6.8</v>
      </c>
    </row>
    <row r="7" spans="1:6">
      <c r="A7" s="8">
        <v>6</v>
      </c>
      <c r="B7" s="7" t="s">
        <v>11</v>
      </c>
      <c r="C7" s="5">
        <v>658</v>
      </c>
      <c r="D7" s="5">
        <v>32</v>
      </c>
      <c r="E7" s="5">
        <v>740</v>
      </c>
      <c r="F7" s="6">
        <v>6.8</v>
      </c>
    </row>
    <row r="8" spans="1:6">
      <c r="A8" s="8">
        <v>7</v>
      </c>
      <c r="B8" s="7" t="s">
        <v>12</v>
      </c>
      <c r="C8" s="5">
        <v>1331</v>
      </c>
      <c r="D8" s="5">
        <v>55</v>
      </c>
      <c r="E8" s="5">
        <v>1010</v>
      </c>
      <c r="F8" s="6">
        <v>7.1</v>
      </c>
    </row>
    <row r="9" spans="1:6">
      <c r="A9" s="8">
        <v>8</v>
      </c>
      <c r="B9" s="7" t="s">
        <v>13</v>
      </c>
      <c r="C9" s="5">
        <v>1597</v>
      </c>
      <c r="D9" s="5">
        <v>74</v>
      </c>
      <c r="E9" s="5">
        <v>1080</v>
      </c>
      <c r="F9" s="6">
        <v>7.4</v>
      </c>
    </row>
    <row r="10" spans="1:6">
      <c r="A10" s="8">
        <v>9</v>
      </c>
      <c r="B10" s="7" t="s">
        <v>14</v>
      </c>
      <c r="C10" s="5">
        <v>1761</v>
      </c>
      <c r="D10" s="5">
        <v>74</v>
      </c>
      <c r="E10" s="5">
        <v>1100</v>
      </c>
      <c r="F10" s="6">
        <v>9</v>
      </c>
    </row>
    <row r="11" spans="1:6">
      <c r="A11" s="8">
        <v>10</v>
      </c>
      <c r="B11" s="7" t="s">
        <v>15</v>
      </c>
      <c r="C11" s="5">
        <v>2165</v>
      </c>
      <c r="D11" s="5">
        <v>101</v>
      </c>
      <c r="E11" s="5">
        <v>1500</v>
      </c>
      <c r="F11" s="6">
        <v>11.7</v>
      </c>
    </row>
    <row r="12" spans="1:6">
      <c r="A12" s="8">
        <v>11</v>
      </c>
      <c r="B12" s="7" t="s">
        <v>16</v>
      </c>
      <c r="C12" s="5">
        <v>1983</v>
      </c>
      <c r="D12" s="5">
        <v>85</v>
      </c>
      <c r="E12" s="5">
        <v>1075</v>
      </c>
      <c r="F12" s="6">
        <v>9.5</v>
      </c>
    </row>
    <row r="13" spans="1:6">
      <c r="A13" s="8">
        <v>12</v>
      </c>
      <c r="B13" s="7" t="s">
        <v>17</v>
      </c>
      <c r="C13" s="5">
        <v>1984</v>
      </c>
      <c r="D13" s="5">
        <v>85</v>
      </c>
      <c r="E13" s="5">
        <v>1155</v>
      </c>
      <c r="F13" s="6">
        <v>9.5</v>
      </c>
    </row>
    <row r="14" spans="1:6">
      <c r="A14" s="8">
        <v>13</v>
      </c>
      <c r="B14" s="7" t="s">
        <v>18</v>
      </c>
      <c r="C14" s="5">
        <v>1998</v>
      </c>
      <c r="D14" s="5">
        <v>89</v>
      </c>
      <c r="E14" s="5">
        <v>1140</v>
      </c>
      <c r="F14" s="6">
        <v>8.8000000000000007</v>
      </c>
    </row>
    <row r="15" spans="1:6">
      <c r="A15" s="8">
        <v>14</v>
      </c>
      <c r="B15" s="7" t="s">
        <v>19</v>
      </c>
      <c r="C15" s="5">
        <v>1580</v>
      </c>
      <c r="D15" s="5">
        <v>65</v>
      </c>
      <c r="E15" s="5">
        <v>1080</v>
      </c>
      <c r="F15" s="6">
        <v>9.3000000000000007</v>
      </c>
    </row>
    <row r="16" spans="1:6">
      <c r="A16" s="8">
        <v>15</v>
      </c>
      <c r="B16" s="7" t="s">
        <v>20</v>
      </c>
      <c r="C16" s="5">
        <v>1390</v>
      </c>
      <c r="D16" s="5">
        <v>54</v>
      </c>
      <c r="E16" s="5">
        <v>1110</v>
      </c>
      <c r="F16" s="6">
        <v>8.6</v>
      </c>
    </row>
    <row r="17" spans="1:6">
      <c r="A17" s="8">
        <v>16</v>
      </c>
      <c r="B17" s="7" t="s">
        <v>21</v>
      </c>
      <c r="C17" s="5">
        <v>1396</v>
      </c>
      <c r="D17" s="5">
        <v>66</v>
      </c>
      <c r="E17" s="5">
        <v>1140</v>
      </c>
      <c r="F17" s="6">
        <v>7.7</v>
      </c>
    </row>
    <row r="18" spans="1:6">
      <c r="A18" s="8">
        <v>17</v>
      </c>
      <c r="B18" s="7" t="s">
        <v>22</v>
      </c>
      <c r="C18" s="5">
        <v>2435</v>
      </c>
      <c r="D18" s="5">
        <v>106</v>
      </c>
      <c r="E18" s="5">
        <v>1370</v>
      </c>
      <c r="F18" s="6">
        <v>10.8</v>
      </c>
    </row>
    <row r="19" spans="1:6">
      <c r="A19" s="8">
        <v>18</v>
      </c>
      <c r="B19" s="7" t="s">
        <v>23</v>
      </c>
      <c r="C19" s="5">
        <v>1242</v>
      </c>
      <c r="D19" s="5">
        <v>55</v>
      </c>
      <c r="E19" s="5">
        <v>940</v>
      </c>
      <c r="F19" s="6">
        <v>6.6</v>
      </c>
    </row>
    <row r="20" spans="1:6">
      <c r="A20" s="8">
        <v>19</v>
      </c>
      <c r="B20" s="7" t="s">
        <v>24</v>
      </c>
      <c r="C20" s="5">
        <v>2972</v>
      </c>
      <c r="D20" s="5">
        <v>107</v>
      </c>
      <c r="E20" s="5">
        <v>1400</v>
      </c>
      <c r="F20" s="6">
        <v>11.7</v>
      </c>
    </row>
    <row r="21" spans="1:6">
      <c r="A21" s="8">
        <v>20</v>
      </c>
      <c r="B21" s="7" t="s">
        <v>25</v>
      </c>
      <c r="C21" s="5">
        <v>2958</v>
      </c>
      <c r="D21" s="5">
        <v>150</v>
      </c>
      <c r="E21" s="5">
        <v>1550</v>
      </c>
      <c r="F21" s="6">
        <v>11.9</v>
      </c>
    </row>
    <row r="22" spans="1:6">
      <c r="A22" s="8">
        <v>21</v>
      </c>
      <c r="B22" s="7" t="s">
        <v>26</v>
      </c>
      <c r="C22" s="5">
        <v>2497</v>
      </c>
      <c r="D22" s="5">
        <v>122</v>
      </c>
      <c r="E22" s="5">
        <v>1330</v>
      </c>
      <c r="F22" s="6">
        <v>10.8</v>
      </c>
    </row>
    <row r="23" spans="1:6">
      <c r="A23" s="8">
        <v>22</v>
      </c>
      <c r="B23" s="7" t="s">
        <v>27</v>
      </c>
      <c r="C23" s="5">
        <v>1998</v>
      </c>
      <c r="D23" s="5">
        <v>66</v>
      </c>
      <c r="E23" s="5">
        <v>1300</v>
      </c>
      <c r="F23" s="6">
        <v>7.6</v>
      </c>
    </row>
    <row r="24" spans="1:6">
      <c r="A24" s="8">
        <v>23</v>
      </c>
      <c r="B24" s="7" t="s">
        <v>28</v>
      </c>
      <c r="C24" s="5">
        <v>2496</v>
      </c>
      <c r="D24" s="5">
        <v>125</v>
      </c>
      <c r="E24" s="5">
        <v>1670</v>
      </c>
      <c r="F24" s="6">
        <v>11.3</v>
      </c>
    </row>
    <row r="25" spans="1:6">
      <c r="A25" s="8">
        <v>24</v>
      </c>
      <c r="B25" s="7" t="s">
        <v>29</v>
      </c>
      <c r="C25" s="5">
        <v>1998</v>
      </c>
      <c r="D25" s="5">
        <v>89</v>
      </c>
      <c r="E25" s="5">
        <v>1560</v>
      </c>
      <c r="F25" s="6">
        <v>10.8</v>
      </c>
    </row>
    <row r="26" spans="1:6">
      <c r="A26" s="8">
        <v>25</v>
      </c>
      <c r="B26" s="7" t="s">
        <v>30</v>
      </c>
      <c r="C26" s="5">
        <v>1997</v>
      </c>
      <c r="D26" s="5">
        <v>92</v>
      </c>
      <c r="E26" s="5">
        <v>1240</v>
      </c>
      <c r="F26" s="6">
        <v>9.1999999999999993</v>
      </c>
    </row>
    <row r="27" spans="1:6">
      <c r="A27" s="8">
        <v>26</v>
      </c>
      <c r="B27" s="7" t="s">
        <v>31</v>
      </c>
      <c r="C27" s="5">
        <v>1984</v>
      </c>
      <c r="D27" s="5">
        <v>85</v>
      </c>
      <c r="E27" s="5">
        <v>1635</v>
      </c>
      <c r="F27" s="6">
        <v>11.6</v>
      </c>
    </row>
    <row r="28" spans="1:6">
      <c r="A28" s="8">
        <v>27</v>
      </c>
      <c r="B28" s="7" t="s">
        <v>32</v>
      </c>
      <c r="C28" s="5">
        <v>2438</v>
      </c>
      <c r="D28" s="5">
        <v>97</v>
      </c>
      <c r="E28" s="5">
        <v>1800</v>
      </c>
      <c r="F28" s="6">
        <v>12.8</v>
      </c>
    </row>
    <row r="29" spans="1:6">
      <c r="A29" s="8">
        <v>28</v>
      </c>
      <c r="B29" s="7" t="s">
        <v>33</v>
      </c>
      <c r="C29" s="5">
        <v>2473</v>
      </c>
      <c r="D29" s="5">
        <v>125</v>
      </c>
      <c r="E29" s="5">
        <v>1570</v>
      </c>
      <c r="F29" s="6">
        <v>12.7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showGridLines="0" workbookViewId="0">
      <selection activeCell="F36" sqref="F36"/>
    </sheetView>
  </sheetViews>
  <sheetFormatPr defaultRowHeight="12.75"/>
  <cols>
    <col min="1" max="1" width="11.42578125" customWidth="1"/>
    <col min="2" max="2" width="20.28515625" bestFit="1" customWidth="1"/>
    <col min="3" max="6" width="11.42578125" customWidth="1"/>
    <col min="7" max="7" width="14.7109375" bestFit="1" customWidth="1"/>
    <col min="8" max="256" width="11.42578125" customWidth="1"/>
  </cols>
  <sheetData>
    <row r="1" spans="1:8">
      <c r="A1" s="2" t="s">
        <v>0</v>
      </c>
      <c r="B1" s="1" t="s">
        <v>1</v>
      </c>
      <c r="C1" s="9" t="s">
        <v>2</v>
      </c>
      <c r="D1" s="9" t="s">
        <v>3</v>
      </c>
      <c r="E1" s="15" t="s">
        <v>34</v>
      </c>
    </row>
    <row r="2" spans="1:8">
      <c r="A2" s="8">
        <v>1</v>
      </c>
      <c r="B2" s="7" t="s">
        <v>6</v>
      </c>
      <c r="C2" s="5">
        <v>846</v>
      </c>
      <c r="D2" s="5">
        <v>32</v>
      </c>
      <c r="E2" s="12">
        <f>C2*D2</f>
        <v>27072</v>
      </c>
    </row>
    <row r="3" spans="1:8">
      <c r="A3" s="8">
        <v>2</v>
      </c>
      <c r="B3" s="7" t="s">
        <v>7</v>
      </c>
      <c r="C3" s="5">
        <v>993</v>
      </c>
      <c r="D3" s="5">
        <v>39</v>
      </c>
      <c r="E3" s="12">
        <f t="shared" ref="E3:E29" si="0">C3*D3</f>
        <v>38727</v>
      </c>
    </row>
    <row r="4" spans="1:8">
      <c r="A4" s="8">
        <v>3</v>
      </c>
      <c r="B4" s="7" t="s">
        <v>8</v>
      </c>
      <c r="C4" s="5">
        <v>899</v>
      </c>
      <c r="D4" s="5">
        <v>29</v>
      </c>
      <c r="E4" s="12">
        <f t="shared" si="0"/>
        <v>26071</v>
      </c>
    </row>
    <row r="5" spans="1:8">
      <c r="A5" s="8">
        <v>4</v>
      </c>
      <c r="B5" s="7" t="s">
        <v>9</v>
      </c>
      <c r="C5" s="5">
        <v>1390</v>
      </c>
      <c r="D5" s="5">
        <v>44</v>
      </c>
      <c r="E5" s="12">
        <f t="shared" si="0"/>
        <v>61160</v>
      </c>
    </row>
    <row r="6" spans="1:8">
      <c r="A6" s="8">
        <v>5</v>
      </c>
      <c r="B6" s="7" t="s">
        <v>10</v>
      </c>
      <c r="C6" s="5">
        <v>1195</v>
      </c>
      <c r="D6" s="5">
        <v>33</v>
      </c>
      <c r="E6" s="12">
        <f t="shared" si="0"/>
        <v>39435</v>
      </c>
    </row>
    <row r="7" spans="1:8">
      <c r="A7" s="8">
        <v>6</v>
      </c>
      <c r="B7" s="7" t="s">
        <v>11</v>
      </c>
      <c r="C7" s="5">
        <v>658</v>
      </c>
      <c r="D7" s="5">
        <v>32</v>
      </c>
      <c r="E7" s="12">
        <f t="shared" si="0"/>
        <v>21056</v>
      </c>
    </row>
    <row r="8" spans="1:8">
      <c r="A8" s="8">
        <v>7</v>
      </c>
      <c r="B8" s="7" t="s">
        <v>12</v>
      </c>
      <c r="C8" s="5">
        <v>1331</v>
      </c>
      <c r="D8" s="5">
        <v>55</v>
      </c>
      <c r="E8" s="12">
        <f t="shared" si="0"/>
        <v>73205</v>
      </c>
      <c r="G8" s="14" t="s">
        <v>35</v>
      </c>
      <c r="H8" s="14">
        <f>(E31-A31*C31*D31)/(A31)</f>
        <v>18381.413265306135</v>
      </c>
    </row>
    <row r="9" spans="1:8">
      <c r="A9" s="8">
        <v>8</v>
      </c>
      <c r="B9" s="7" t="s">
        <v>13</v>
      </c>
      <c r="C9" s="5">
        <v>1597</v>
      </c>
      <c r="D9" s="5">
        <v>74</v>
      </c>
      <c r="E9" s="12">
        <f t="shared" si="0"/>
        <v>118178</v>
      </c>
      <c r="G9" s="14" t="s">
        <v>36</v>
      </c>
      <c r="H9" s="14">
        <f>A31/(A31-1)*H8</f>
        <v>19062.206349206361</v>
      </c>
    </row>
    <row r="10" spans="1:8">
      <c r="A10" s="8">
        <v>9</v>
      </c>
      <c r="B10" s="7" t="s">
        <v>14</v>
      </c>
      <c r="C10" s="5">
        <v>1761</v>
      </c>
      <c r="D10" s="5">
        <v>74</v>
      </c>
      <c r="E10" s="12">
        <f t="shared" si="0"/>
        <v>130314</v>
      </c>
    </row>
    <row r="11" spans="1:8">
      <c r="A11" s="8">
        <v>10</v>
      </c>
      <c r="B11" s="7" t="s">
        <v>15</v>
      </c>
      <c r="C11" s="5">
        <v>2165</v>
      </c>
      <c r="D11" s="5">
        <v>101</v>
      </c>
      <c r="E11" s="12">
        <f t="shared" si="0"/>
        <v>218665</v>
      </c>
    </row>
    <row r="12" spans="1:8">
      <c r="A12" s="8">
        <v>11</v>
      </c>
      <c r="B12" s="7" t="s">
        <v>16</v>
      </c>
      <c r="C12" s="5">
        <v>1983</v>
      </c>
      <c r="D12" s="5">
        <v>85</v>
      </c>
      <c r="E12" s="12">
        <f t="shared" si="0"/>
        <v>168555</v>
      </c>
      <c r="G12" s="14" t="s">
        <v>37</v>
      </c>
      <c r="H12" s="14">
        <f>COVAR(C2:C29,D2:D29)</f>
        <v>18381.413265306124</v>
      </c>
    </row>
    <row r="13" spans="1:8">
      <c r="A13" s="8">
        <v>12</v>
      </c>
      <c r="B13" s="7" t="s">
        <v>17</v>
      </c>
      <c r="C13" s="5">
        <v>1984</v>
      </c>
      <c r="D13" s="5">
        <v>85</v>
      </c>
      <c r="E13" s="12">
        <f t="shared" si="0"/>
        <v>168640</v>
      </c>
    </row>
    <row r="14" spans="1:8">
      <c r="A14" s="8">
        <v>13</v>
      </c>
      <c r="B14" s="7" t="s">
        <v>18</v>
      </c>
      <c r="C14" s="5">
        <v>1998</v>
      </c>
      <c r="D14" s="5">
        <v>89</v>
      </c>
      <c r="E14" s="12">
        <f t="shared" si="0"/>
        <v>177822</v>
      </c>
    </row>
    <row r="15" spans="1:8">
      <c r="A15" s="8">
        <v>14</v>
      </c>
      <c r="B15" s="7" t="s">
        <v>19</v>
      </c>
      <c r="C15" s="5">
        <v>1580</v>
      </c>
      <c r="D15" s="5">
        <v>65</v>
      </c>
      <c r="E15" s="12">
        <f t="shared" si="0"/>
        <v>102700</v>
      </c>
    </row>
    <row r="16" spans="1:8">
      <c r="A16" s="8">
        <v>15</v>
      </c>
      <c r="B16" s="7" t="s">
        <v>20</v>
      </c>
      <c r="C16" s="5">
        <v>1390</v>
      </c>
      <c r="D16" s="5">
        <v>54</v>
      </c>
      <c r="E16" s="12">
        <f t="shared" si="0"/>
        <v>75060</v>
      </c>
    </row>
    <row r="17" spans="1:5">
      <c r="A17" s="8">
        <v>16</v>
      </c>
      <c r="B17" s="7" t="s">
        <v>21</v>
      </c>
      <c r="C17" s="5">
        <v>1396</v>
      </c>
      <c r="D17" s="5">
        <v>66</v>
      </c>
      <c r="E17" s="12">
        <f t="shared" si="0"/>
        <v>92136</v>
      </c>
    </row>
    <row r="18" spans="1:5">
      <c r="A18" s="8">
        <v>17</v>
      </c>
      <c r="B18" s="7" t="s">
        <v>22</v>
      </c>
      <c r="C18" s="5">
        <v>2435</v>
      </c>
      <c r="D18" s="5">
        <v>106</v>
      </c>
      <c r="E18" s="12">
        <f t="shared" si="0"/>
        <v>258110</v>
      </c>
    </row>
    <row r="19" spans="1:5">
      <c r="A19" s="8">
        <v>18</v>
      </c>
      <c r="B19" s="7" t="s">
        <v>23</v>
      </c>
      <c r="C19" s="5">
        <v>1242</v>
      </c>
      <c r="D19" s="5">
        <v>55</v>
      </c>
      <c r="E19" s="12">
        <f t="shared" si="0"/>
        <v>68310</v>
      </c>
    </row>
    <row r="20" spans="1:5">
      <c r="A20" s="8">
        <v>19</v>
      </c>
      <c r="B20" s="7" t="s">
        <v>24</v>
      </c>
      <c r="C20" s="5">
        <v>2972</v>
      </c>
      <c r="D20" s="5">
        <v>107</v>
      </c>
      <c r="E20" s="12">
        <f t="shared" si="0"/>
        <v>318004</v>
      </c>
    </row>
    <row r="21" spans="1:5">
      <c r="A21" s="8">
        <v>20</v>
      </c>
      <c r="B21" s="7" t="s">
        <v>25</v>
      </c>
      <c r="C21" s="5">
        <v>2958</v>
      </c>
      <c r="D21" s="5">
        <v>150</v>
      </c>
      <c r="E21" s="12">
        <f t="shared" si="0"/>
        <v>443700</v>
      </c>
    </row>
    <row r="22" spans="1:5">
      <c r="A22" s="8">
        <v>21</v>
      </c>
      <c r="B22" s="7" t="s">
        <v>26</v>
      </c>
      <c r="C22" s="5">
        <v>2497</v>
      </c>
      <c r="D22" s="5">
        <v>122</v>
      </c>
      <c r="E22" s="12">
        <f t="shared" si="0"/>
        <v>304634</v>
      </c>
    </row>
    <row r="23" spans="1:5">
      <c r="A23" s="8">
        <v>22</v>
      </c>
      <c r="B23" s="7" t="s">
        <v>27</v>
      </c>
      <c r="C23" s="5">
        <v>1998</v>
      </c>
      <c r="D23" s="5">
        <v>66</v>
      </c>
      <c r="E23" s="12">
        <f t="shared" si="0"/>
        <v>131868</v>
      </c>
    </row>
    <row r="24" spans="1:5">
      <c r="A24" s="8">
        <v>23</v>
      </c>
      <c r="B24" s="7" t="s">
        <v>28</v>
      </c>
      <c r="C24" s="5">
        <v>2496</v>
      </c>
      <c r="D24" s="5">
        <v>125</v>
      </c>
      <c r="E24" s="12">
        <f t="shared" si="0"/>
        <v>312000</v>
      </c>
    </row>
    <row r="25" spans="1:5">
      <c r="A25" s="8">
        <v>24</v>
      </c>
      <c r="B25" s="7" t="s">
        <v>29</v>
      </c>
      <c r="C25" s="5">
        <v>1998</v>
      </c>
      <c r="D25" s="5">
        <v>89</v>
      </c>
      <c r="E25" s="12">
        <f t="shared" si="0"/>
        <v>177822</v>
      </c>
    </row>
    <row r="26" spans="1:5">
      <c r="A26" s="8">
        <v>25</v>
      </c>
      <c r="B26" s="7" t="s">
        <v>30</v>
      </c>
      <c r="C26" s="5">
        <v>1997</v>
      </c>
      <c r="D26" s="5">
        <v>92</v>
      </c>
      <c r="E26" s="12">
        <f t="shared" si="0"/>
        <v>183724</v>
      </c>
    </row>
    <row r="27" spans="1:5">
      <c r="A27" s="8">
        <v>26</v>
      </c>
      <c r="B27" s="7" t="s">
        <v>31</v>
      </c>
      <c r="C27" s="5">
        <v>1984</v>
      </c>
      <c r="D27" s="5">
        <v>85</v>
      </c>
      <c r="E27" s="12">
        <f t="shared" si="0"/>
        <v>168640</v>
      </c>
    </row>
    <row r="28" spans="1:5">
      <c r="A28" s="8">
        <v>27</v>
      </c>
      <c r="B28" s="7" t="s">
        <v>32</v>
      </c>
      <c r="C28" s="5">
        <v>2438</v>
      </c>
      <c r="D28" s="5">
        <v>97</v>
      </c>
      <c r="E28" s="12">
        <f t="shared" si="0"/>
        <v>236486</v>
      </c>
    </row>
    <row r="29" spans="1:5">
      <c r="A29" s="8">
        <v>28</v>
      </c>
      <c r="B29" s="7" t="s">
        <v>33</v>
      </c>
      <c r="C29" s="5">
        <v>2473</v>
      </c>
      <c r="D29" s="5">
        <v>125</v>
      </c>
      <c r="E29" s="12">
        <f t="shared" si="0"/>
        <v>309125</v>
      </c>
    </row>
    <row r="30" spans="1:5">
      <c r="A30" s="289" t="s">
        <v>38</v>
      </c>
      <c r="C30" s="296" t="s">
        <v>39</v>
      </c>
      <c r="D30" s="296"/>
      <c r="E30" s="289" t="s">
        <v>40</v>
      </c>
    </row>
    <row r="31" spans="1:5">
      <c r="A31" s="8">
        <v>28</v>
      </c>
      <c r="C31" s="16">
        <f>AVERAGE(C2:C29)</f>
        <v>1809.0714285714287</v>
      </c>
      <c r="D31" s="16">
        <f>AVERAGE(D2:D29)</f>
        <v>77.714285714285708</v>
      </c>
      <c r="E31" s="17">
        <f>SUM(E2:E29)</f>
        <v>4451219</v>
      </c>
    </row>
    <row r="34" spans="1:6">
      <c r="A34" s="297" t="s">
        <v>41</v>
      </c>
      <c r="B34" s="297"/>
      <c r="C34" s="297"/>
      <c r="D34" s="297"/>
      <c r="E34" s="297"/>
      <c r="F34" s="297"/>
    </row>
    <row r="35" spans="1:6">
      <c r="A35" s="2" t="s">
        <v>0</v>
      </c>
      <c r="B35" s="1" t="s">
        <v>1</v>
      </c>
      <c r="C35" s="9" t="s">
        <v>2</v>
      </c>
      <c r="D35" s="9" t="s">
        <v>3</v>
      </c>
      <c r="E35" s="9" t="s">
        <v>4</v>
      </c>
      <c r="F35" s="10" t="s">
        <v>5</v>
      </c>
    </row>
    <row r="36" spans="1:6">
      <c r="A36" s="8">
        <v>1</v>
      </c>
      <c r="B36" s="7" t="s">
        <v>6</v>
      </c>
      <c r="C36" s="3">
        <v>846</v>
      </c>
      <c r="D36" s="3">
        <v>32</v>
      </c>
      <c r="E36" s="3">
        <v>650</v>
      </c>
      <c r="F36" s="4">
        <v>5.7</v>
      </c>
    </row>
    <row r="37" spans="1:6">
      <c r="A37" s="8">
        <v>2</v>
      </c>
      <c r="B37" s="7" t="s">
        <v>7</v>
      </c>
      <c r="C37" s="5">
        <v>993</v>
      </c>
      <c r="D37" s="5">
        <v>39</v>
      </c>
      <c r="E37" s="5">
        <v>790</v>
      </c>
      <c r="F37" s="6">
        <v>5.8</v>
      </c>
    </row>
    <row r="38" spans="1:6">
      <c r="A38" s="8">
        <v>3</v>
      </c>
      <c r="B38" s="7" t="s">
        <v>8</v>
      </c>
      <c r="C38" s="5">
        <v>899</v>
      </c>
      <c r="D38" s="5">
        <v>29</v>
      </c>
      <c r="E38" s="5">
        <v>730</v>
      </c>
      <c r="F38" s="6">
        <v>6.1</v>
      </c>
    </row>
    <row r="39" spans="1:6">
      <c r="A39" s="8">
        <v>4</v>
      </c>
      <c r="B39" s="7" t="s">
        <v>9</v>
      </c>
      <c r="C39" s="5">
        <v>1390</v>
      </c>
      <c r="D39" s="5">
        <v>44</v>
      </c>
      <c r="E39" s="5">
        <v>955</v>
      </c>
      <c r="F39" s="6">
        <v>6.5</v>
      </c>
    </row>
    <row r="40" spans="1:6">
      <c r="A40" s="8">
        <v>5</v>
      </c>
      <c r="B40" s="7" t="s">
        <v>10</v>
      </c>
      <c r="C40" s="5">
        <v>1195</v>
      </c>
      <c r="D40" s="5">
        <v>33</v>
      </c>
      <c r="E40" s="5">
        <v>895</v>
      </c>
      <c r="F40" s="6">
        <v>6.8</v>
      </c>
    </row>
    <row r="41" spans="1:6">
      <c r="A41" s="8">
        <v>6</v>
      </c>
      <c r="B41" s="7" t="s">
        <v>11</v>
      </c>
      <c r="C41" s="5">
        <v>658</v>
      </c>
      <c r="D41" s="5">
        <v>32</v>
      </c>
      <c r="E41" s="5">
        <v>740</v>
      </c>
      <c r="F41" s="6">
        <v>6.8</v>
      </c>
    </row>
    <row r="42" spans="1:6">
      <c r="A42" s="8">
        <v>7</v>
      </c>
      <c r="B42" s="7" t="s">
        <v>12</v>
      </c>
      <c r="C42" s="5">
        <v>1331</v>
      </c>
      <c r="D42" s="5">
        <v>55</v>
      </c>
      <c r="E42" s="5">
        <v>1010</v>
      </c>
      <c r="F42" s="6">
        <v>7.1</v>
      </c>
    </row>
    <row r="43" spans="1:6">
      <c r="A43" s="8">
        <v>8</v>
      </c>
      <c r="B43" s="7" t="s">
        <v>13</v>
      </c>
      <c r="C43" s="5">
        <v>1597</v>
      </c>
      <c r="D43" s="5">
        <v>74</v>
      </c>
      <c r="E43" s="5">
        <v>1080</v>
      </c>
      <c r="F43" s="6">
        <v>7.4</v>
      </c>
    </row>
    <row r="44" spans="1:6">
      <c r="A44" s="8">
        <v>9</v>
      </c>
      <c r="B44" s="7" t="s">
        <v>14</v>
      </c>
      <c r="C44" s="5">
        <v>1761</v>
      </c>
      <c r="D44" s="5">
        <v>74</v>
      </c>
      <c r="E44" s="5">
        <v>1100</v>
      </c>
      <c r="F44" s="6">
        <v>9</v>
      </c>
    </row>
    <row r="45" spans="1:6">
      <c r="A45" s="8">
        <v>10</v>
      </c>
      <c r="B45" s="7" t="s">
        <v>15</v>
      </c>
      <c r="C45" s="5">
        <v>2165</v>
      </c>
      <c r="D45" s="5">
        <v>101</v>
      </c>
      <c r="E45" s="5">
        <v>1500</v>
      </c>
      <c r="F45" s="6">
        <v>11.7</v>
      </c>
    </row>
    <row r="46" spans="1:6">
      <c r="A46" s="8">
        <v>11</v>
      </c>
      <c r="B46" s="7" t="s">
        <v>16</v>
      </c>
      <c r="C46" s="5">
        <v>1983</v>
      </c>
      <c r="D46" s="5">
        <v>85</v>
      </c>
      <c r="E46" s="5">
        <v>1075</v>
      </c>
      <c r="F46" s="6">
        <v>9.5</v>
      </c>
    </row>
    <row r="47" spans="1:6">
      <c r="A47" s="8">
        <v>12</v>
      </c>
      <c r="B47" s="7" t="s">
        <v>17</v>
      </c>
      <c r="C47" s="5">
        <v>1984</v>
      </c>
      <c r="D47" s="5">
        <v>85</v>
      </c>
      <c r="E47" s="5">
        <v>1155</v>
      </c>
      <c r="F47" s="6">
        <v>9.5</v>
      </c>
    </row>
    <row r="48" spans="1:6">
      <c r="A48" s="8">
        <v>13</v>
      </c>
      <c r="B48" s="7" t="s">
        <v>18</v>
      </c>
      <c r="C48" s="5">
        <v>1998</v>
      </c>
      <c r="D48" s="5">
        <v>89</v>
      </c>
      <c r="E48" s="5">
        <v>1140</v>
      </c>
      <c r="F48" s="6">
        <v>8.8000000000000007</v>
      </c>
    </row>
    <row r="49" spans="1:6">
      <c r="A49" s="8">
        <v>14</v>
      </c>
      <c r="B49" s="7" t="s">
        <v>19</v>
      </c>
      <c r="C49" s="5">
        <v>1580</v>
      </c>
      <c r="D49" s="5">
        <v>65</v>
      </c>
      <c r="E49" s="5">
        <v>1080</v>
      </c>
      <c r="F49" s="6">
        <v>9.3000000000000007</v>
      </c>
    </row>
    <row r="50" spans="1:6">
      <c r="A50" s="8">
        <v>15</v>
      </c>
      <c r="B50" s="7" t="s">
        <v>20</v>
      </c>
      <c r="C50" s="5">
        <v>1390</v>
      </c>
      <c r="D50" s="5">
        <v>54</v>
      </c>
      <c r="E50" s="5">
        <v>1110</v>
      </c>
      <c r="F50" s="6">
        <v>8.6</v>
      </c>
    </row>
    <row r="51" spans="1:6">
      <c r="A51" s="8">
        <v>16</v>
      </c>
      <c r="B51" s="7" t="s">
        <v>21</v>
      </c>
      <c r="C51" s="5">
        <v>1396</v>
      </c>
      <c r="D51" s="5">
        <v>66</v>
      </c>
      <c r="E51" s="5">
        <v>1140</v>
      </c>
      <c r="F51" s="6">
        <v>7.7</v>
      </c>
    </row>
    <row r="52" spans="1:6">
      <c r="A52" s="8">
        <v>17</v>
      </c>
      <c r="B52" s="7" t="s">
        <v>22</v>
      </c>
      <c r="C52" s="5">
        <v>2435</v>
      </c>
      <c r="D52" s="5">
        <v>106</v>
      </c>
      <c r="E52" s="5">
        <v>1370</v>
      </c>
      <c r="F52" s="6">
        <v>10.8</v>
      </c>
    </row>
    <row r="53" spans="1:6">
      <c r="A53" s="8">
        <v>18</v>
      </c>
      <c r="B53" s="7" t="s">
        <v>23</v>
      </c>
      <c r="C53" s="5">
        <v>1242</v>
      </c>
      <c r="D53" s="5">
        <v>55</v>
      </c>
      <c r="E53" s="5">
        <v>940</v>
      </c>
      <c r="F53" s="6">
        <v>6.6</v>
      </c>
    </row>
    <row r="54" spans="1:6">
      <c r="A54" s="8">
        <v>19</v>
      </c>
      <c r="B54" s="7" t="s">
        <v>24</v>
      </c>
      <c r="C54" s="5">
        <v>2972</v>
      </c>
      <c r="D54" s="5">
        <v>107</v>
      </c>
      <c r="E54" s="5">
        <v>1400</v>
      </c>
      <c r="F54" s="6">
        <v>11.7</v>
      </c>
    </row>
    <row r="55" spans="1:6">
      <c r="A55" s="8">
        <v>20</v>
      </c>
      <c r="B55" s="7" t="s">
        <v>25</v>
      </c>
      <c r="C55" s="5">
        <v>2958</v>
      </c>
      <c r="D55" s="5">
        <v>150</v>
      </c>
      <c r="E55" s="5">
        <v>1550</v>
      </c>
      <c r="F55" s="6">
        <v>11.9</v>
      </c>
    </row>
    <row r="56" spans="1:6">
      <c r="A56" s="8">
        <v>21</v>
      </c>
      <c r="B56" s="7" t="s">
        <v>26</v>
      </c>
      <c r="C56" s="5">
        <v>2497</v>
      </c>
      <c r="D56" s="5">
        <v>122</v>
      </c>
      <c r="E56" s="5">
        <v>1330</v>
      </c>
      <c r="F56" s="6">
        <v>10.8</v>
      </c>
    </row>
    <row r="57" spans="1:6">
      <c r="A57" s="8">
        <v>22</v>
      </c>
      <c r="B57" s="7" t="s">
        <v>27</v>
      </c>
      <c r="C57" s="5">
        <v>1998</v>
      </c>
      <c r="D57" s="5">
        <v>66</v>
      </c>
      <c r="E57" s="5">
        <v>1300</v>
      </c>
      <c r="F57" s="6">
        <v>7.6</v>
      </c>
    </row>
    <row r="58" spans="1:6">
      <c r="A58" s="8">
        <v>23</v>
      </c>
      <c r="B58" s="7" t="s">
        <v>28</v>
      </c>
      <c r="C58" s="5">
        <v>2496</v>
      </c>
      <c r="D58" s="5">
        <v>125</v>
      </c>
      <c r="E58" s="5">
        <v>1670</v>
      </c>
      <c r="F58" s="6">
        <v>11.3</v>
      </c>
    </row>
    <row r="59" spans="1:6">
      <c r="A59" s="8">
        <v>24</v>
      </c>
      <c r="B59" s="7" t="s">
        <v>29</v>
      </c>
      <c r="C59" s="5">
        <v>1998</v>
      </c>
      <c r="D59" s="5">
        <v>89</v>
      </c>
      <c r="E59" s="5">
        <v>1560</v>
      </c>
      <c r="F59" s="6">
        <v>10.8</v>
      </c>
    </row>
    <row r="60" spans="1:6">
      <c r="A60" s="8">
        <v>25</v>
      </c>
      <c r="B60" s="7" t="s">
        <v>30</v>
      </c>
      <c r="C60" s="5">
        <v>1997</v>
      </c>
      <c r="D60" s="5">
        <v>92</v>
      </c>
      <c r="E60" s="5">
        <v>1240</v>
      </c>
      <c r="F60" s="6">
        <v>9.1999999999999993</v>
      </c>
    </row>
    <row r="61" spans="1:6">
      <c r="A61" s="8">
        <v>26</v>
      </c>
      <c r="B61" s="7" t="s">
        <v>31</v>
      </c>
      <c r="C61" s="5">
        <v>1984</v>
      </c>
      <c r="D61" s="5">
        <v>85</v>
      </c>
      <c r="E61" s="5">
        <v>1635</v>
      </c>
      <c r="F61" s="6">
        <v>11.6</v>
      </c>
    </row>
    <row r="62" spans="1:6">
      <c r="A62" s="8">
        <v>27</v>
      </c>
      <c r="B62" s="7" t="s">
        <v>32</v>
      </c>
      <c r="C62" s="5">
        <v>2438</v>
      </c>
      <c r="D62" s="5">
        <v>97</v>
      </c>
      <c r="E62" s="5">
        <v>1800</v>
      </c>
      <c r="F62" s="6">
        <v>12.8</v>
      </c>
    </row>
    <row r="63" spans="1:6">
      <c r="A63" s="8">
        <v>28</v>
      </c>
      <c r="B63" s="7" t="s">
        <v>33</v>
      </c>
      <c r="C63" s="5">
        <v>2473</v>
      </c>
      <c r="D63" s="5">
        <v>125</v>
      </c>
      <c r="E63" s="5">
        <v>1570</v>
      </c>
      <c r="F63" s="6">
        <v>12.7</v>
      </c>
    </row>
    <row r="65" spans="2:6">
      <c r="B65" s="13" t="s">
        <v>42</v>
      </c>
      <c r="C65" s="18">
        <f>COVAR($F$36:$F$63,C36:C63)</f>
        <v>1197.6089285714286</v>
      </c>
      <c r="D65" s="18">
        <f>COVAR($F$36:$F$63,D36:D63)</f>
        <v>61.660714285714285</v>
      </c>
      <c r="E65" s="18">
        <f>COVAR($F$36:$F$63,E36:E63)</f>
        <v>616.28125000000023</v>
      </c>
      <c r="F65" s="18"/>
    </row>
  </sheetData>
  <mergeCells count="2">
    <mergeCell ref="C30:D30"/>
    <mergeCell ref="A34:F34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showGridLines="0" workbookViewId="0">
      <selection activeCell="A6" sqref="A6"/>
    </sheetView>
  </sheetViews>
  <sheetFormatPr defaultRowHeight="12.75"/>
  <cols>
    <col min="1" max="1" width="11.42578125" customWidth="1"/>
    <col min="2" max="2" width="20.28515625" bestFit="1" customWidth="1"/>
    <col min="3" max="3" width="14" bestFit="1" customWidth="1"/>
    <col min="4" max="5" width="11.42578125" customWidth="1"/>
    <col min="6" max="6" width="14.140625" bestFit="1" customWidth="1"/>
    <col min="7" max="8" width="11.42578125" customWidth="1"/>
    <col min="9" max="9" width="14.140625" bestFit="1" customWidth="1"/>
    <col min="10" max="10" width="12.42578125" bestFit="1" customWidth="1"/>
    <col min="11" max="256" width="11.42578125" customWidth="1"/>
  </cols>
  <sheetData>
    <row r="1" spans="1:10">
      <c r="A1" s="2" t="s">
        <v>0</v>
      </c>
      <c r="B1" s="1" t="s">
        <v>1</v>
      </c>
      <c r="C1" s="9" t="s">
        <v>2</v>
      </c>
      <c r="D1" s="9" t="s">
        <v>3</v>
      </c>
      <c r="E1" s="15" t="s">
        <v>34</v>
      </c>
      <c r="F1" s="15" t="s">
        <v>43</v>
      </c>
      <c r="G1" s="15" t="s">
        <v>44</v>
      </c>
    </row>
    <row r="2" spans="1:10">
      <c r="A2" s="8">
        <v>1</v>
      </c>
      <c r="B2" s="7" t="s">
        <v>6</v>
      </c>
      <c r="C2" s="5">
        <v>846</v>
      </c>
      <c r="D2" s="5">
        <v>32</v>
      </c>
      <c r="E2" s="12">
        <f>C2*D2</f>
        <v>27072</v>
      </c>
      <c r="F2" s="12">
        <f>C2^2</f>
        <v>715716</v>
      </c>
      <c r="G2" s="12">
        <f>D2^2</f>
        <v>1024</v>
      </c>
    </row>
    <row r="3" spans="1:10">
      <c r="A3" s="8">
        <v>2</v>
      </c>
      <c r="B3" s="7" t="s">
        <v>7</v>
      </c>
      <c r="C3" s="5">
        <v>993</v>
      </c>
      <c r="D3" s="5">
        <v>39</v>
      </c>
      <c r="E3" s="12">
        <f t="shared" ref="E3:E29" si="0">C3*D3</f>
        <v>38727</v>
      </c>
      <c r="F3" s="12">
        <f t="shared" ref="F3:F29" si="1">C3^2</f>
        <v>986049</v>
      </c>
      <c r="G3" s="12">
        <f t="shared" ref="G3:G29" si="2">D3^2</f>
        <v>1521</v>
      </c>
    </row>
    <row r="4" spans="1:10">
      <c r="A4" s="8">
        <v>3</v>
      </c>
      <c r="B4" s="7" t="s">
        <v>8</v>
      </c>
      <c r="C4" s="5">
        <v>899</v>
      </c>
      <c r="D4" s="5">
        <v>29</v>
      </c>
      <c r="E4" s="12">
        <f t="shared" si="0"/>
        <v>26071</v>
      </c>
      <c r="F4" s="12">
        <f t="shared" si="1"/>
        <v>808201</v>
      </c>
      <c r="G4" s="12">
        <f t="shared" si="2"/>
        <v>841</v>
      </c>
      <c r="I4" s="298" t="s">
        <v>45</v>
      </c>
      <c r="J4" s="298"/>
    </row>
    <row r="5" spans="1:10">
      <c r="A5" s="8">
        <v>4</v>
      </c>
      <c r="B5" s="7" t="s">
        <v>9</v>
      </c>
      <c r="C5" s="5">
        <v>1390</v>
      </c>
      <c r="D5" s="5">
        <v>44</v>
      </c>
      <c r="E5" s="12">
        <f t="shared" si="0"/>
        <v>61160</v>
      </c>
      <c r="F5" s="12">
        <f t="shared" si="1"/>
        <v>1932100</v>
      </c>
      <c r="G5" s="12">
        <f t="shared" si="2"/>
        <v>1936</v>
      </c>
      <c r="I5" s="25" t="s">
        <v>46</v>
      </c>
      <c r="J5" s="26">
        <f>D37/SQRT((1-D37^2)/(A31-2))</f>
        <v>15.117072750563361</v>
      </c>
    </row>
    <row r="6" spans="1:10">
      <c r="A6" s="8">
        <v>5</v>
      </c>
      <c r="B6" s="7" t="s">
        <v>10</v>
      </c>
      <c r="C6" s="5">
        <v>1195</v>
      </c>
      <c r="D6" s="5">
        <v>33</v>
      </c>
      <c r="E6" s="12">
        <f t="shared" si="0"/>
        <v>39435</v>
      </c>
      <c r="F6" s="12">
        <f t="shared" si="1"/>
        <v>1428025</v>
      </c>
      <c r="G6" s="12">
        <f t="shared" si="2"/>
        <v>1089</v>
      </c>
      <c r="I6" s="25" t="s">
        <v>47</v>
      </c>
      <c r="J6" s="26">
        <f>TINV(0.05,26)</f>
        <v>2.0555294386428731</v>
      </c>
    </row>
    <row r="7" spans="1:10">
      <c r="A7" s="8">
        <v>6</v>
      </c>
      <c r="B7" s="7" t="s">
        <v>11</v>
      </c>
      <c r="C7" s="5">
        <v>658</v>
      </c>
      <c r="D7" s="5">
        <v>32</v>
      </c>
      <c r="E7" s="12">
        <f t="shared" si="0"/>
        <v>21056</v>
      </c>
      <c r="F7" s="12">
        <f t="shared" si="1"/>
        <v>432964</v>
      </c>
      <c r="G7" s="12">
        <f t="shared" si="2"/>
        <v>1024</v>
      </c>
      <c r="I7" s="25" t="s">
        <v>48</v>
      </c>
      <c r="J7" s="25">
        <f>TDIST(J5,26,2)</f>
        <v>2.1481585871373126E-14</v>
      </c>
    </row>
    <row r="8" spans="1:10">
      <c r="A8" s="8">
        <v>7</v>
      </c>
      <c r="B8" s="7" t="s">
        <v>12</v>
      </c>
      <c r="C8" s="5">
        <v>1331</v>
      </c>
      <c r="D8" s="5">
        <v>55</v>
      </c>
      <c r="E8" s="12">
        <f t="shared" si="0"/>
        <v>73205</v>
      </c>
      <c r="F8" s="12">
        <f t="shared" si="1"/>
        <v>1771561</v>
      </c>
      <c r="G8" s="12">
        <f t="shared" si="2"/>
        <v>3025</v>
      </c>
    </row>
    <row r="9" spans="1:10">
      <c r="A9" s="8">
        <v>8</v>
      </c>
      <c r="B9" s="7" t="s">
        <v>13</v>
      </c>
      <c r="C9" s="5">
        <v>1597</v>
      </c>
      <c r="D9" s="5">
        <v>74</v>
      </c>
      <c r="E9" s="12">
        <f t="shared" si="0"/>
        <v>118178</v>
      </c>
      <c r="F9" s="12">
        <f t="shared" si="1"/>
        <v>2550409</v>
      </c>
      <c r="G9" s="12">
        <f t="shared" si="2"/>
        <v>5476</v>
      </c>
      <c r="I9" s="299" t="s">
        <v>49</v>
      </c>
      <c r="J9" s="299"/>
    </row>
    <row r="10" spans="1:10">
      <c r="A10" s="8">
        <v>9</v>
      </c>
      <c r="B10" s="7" t="s">
        <v>14</v>
      </c>
      <c r="C10" s="5">
        <v>1761</v>
      </c>
      <c r="D10" s="5">
        <v>74</v>
      </c>
      <c r="E10" s="12">
        <f t="shared" si="0"/>
        <v>130314</v>
      </c>
      <c r="F10" s="12">
        <f t="shared" si="1"/>
        <v>3101121</v>
      </c>
      <c r="G10" s="12">
        <f t="shared" si="2"/>
        <v>5476</v>
      </c>
      <c r="I10" s="30" t="s">
        <v>50</v>
      </c>
      <c r="J10" s="31">
        <f>NORMSINV(0.975)</f>
        <v>1.9599639845400536</v>
      </c>
    </row>
    <row r="11" spans="1:10">
      <c r="A11" s="8">
        <v>10</v>
      </c>
      <c r="B11" s="7" t="s">
        <v>15</v>
      </c>
      <c r="C11" s="5">
        <v>2165</v>
      </c>
      <c r="D11" s="5">
        <v>101</v>
      </c>
      <c r="E11" s="12">
        <f t="shared" si="0"/>
        <v>218665</v>
      </c>
      <c r="F11" s="12">
        <f t="shared" si="1"/>
        <v>4687225</v>
      </c>
      <c r="G11" s="12">
        <f t="shared" si="2"/>
        <v>10201</v>
      </c>
      <c r="I11" s="30" t="s">
        <v>51</v>
      </c>
      <c r="J11" s="31">
        <f>0.5*LN((1+D35)/(1-D35))</f>
        <v>1.807224716606568</v>
      </c>
    </row>
    <row r="12" spans="1:10">
      <c r="A12" s="8">
        <v>11</v>
      </c>
      <c r="B12" s="7" t="s">
        <v>16</v>
      </c>
      <c r="C12" s="5">
        <v>1983</v>
      </c>
      <c r="D12" s="5">
        <v>85</v>
      </c>
      <c r="E12" s="12">
        <f t="shared" si="0"/>
        <v>168555</v>
      </c>
      <c r="F12" s="12">
        <f t="shared" si="1"/>
        <v>3932289</v>
      </c>
      <c r="G12" s="12">
        <f t="shared" si="2"/>
        <v>7225</v>
      </c>
      <c r="I12" s="30" t="s">
        <v>52</v>
      </c>
      <c r="J12" s="31">
        <f>1/(A31-3)</f>
        <v>0.04</v>
      </c>
    </row>
    <row r="13" spans="1:10">
      <c r="A13" s="8">
        <v>12</v>
      </c>
      <c r="B13" s="7" t="s">
        <v>17</v>
      </c>
      <c r="C13" s="5">
        <v>1984</v>
      </c>
      <c r="D13" s="5">
        <v>85</v>
      </c>
      <c r="E13" s="12">
        <f t="shared" si="0"/>
        <v>168640</v>
      </c>
      <c r="F13" s="12">
        <f t="shared" si="1"/>
        <v>3936256</v>
      </c>
      <c r="G13" s="12">
        <f t="shared" si="2"/>
        <v>7225</v>
      </c>
      <c r="I13" s="30" t="s">
        <v>53</v>
      </c>
      <c r="J13" s="31">
        <f>SQRT(J12)</f>
        <v>0.2</v>
      </c>
    </row>
    <row r="14" spans="1:10">
      <c r="A14" s="8">
        <v>13</v>
      </c>
      <c r="B14" s="7" t="s">
        <v>18</v>
      </c>
      <c r="C14" s="5">
        <v>1998</v>
      </c>
      <c r="D14" s="5">
        <v>89</v>
      </c>
      <c r="E14" s="12">
        <f t="shared" si="0"/>
        <v>177822</v>
      </c>
      <c r="F14" s="12">
        <f t="shared" si="1"/>
        <v>3992004</v>
      </c>
      <c r="G14" s="12">
        <f t="shared" si="2"/>
        <v>7921</v>
      </c>
    </row>
    <row r="15" spans="1:10">
      <c r="A15" s="8">
        <v>14</v>
      </c>
      <c r="B15" s="7" t="s">
        <v>19</v>
      </c>
      <c r="C15" s="5">
        <v>1580</v>
      </c>
      <c r="D15" s="5">
        <v>65</v>
      </c>
      <c r="E15" s="12">
        <f t="shared" si="0"/>
        <v>102700</v>
      </c>
      <c r="F15" s="12">
        <f t="shared" si="1"/>
        <v>2496400</v>
      </c>
      <c r="G15" s="12">
        <f t="shared" si="2"/>
        <v>4225</v>
      </c>
      <c r="I15" s="32" t="s">
        <v>54</v>
      </c>
      <c r="J15" s="31">
        <f>J11-J10*J13</f>
        <v>1.4152319196985572</v>
      </c>
    </row>
    <row r="16" spans="1:10">
      <c r="A16" s="8">
        <v>15</v>
      </c>
      <c r="B16" s="7" t="s">
        <v>20</v>
      </c>
      <c r="C16" s="5">
        <v>1390</v>
      </c>
      <c r="D16" s="5">
        <v>54</v>
      </c>
      <c r="E16" s="12">
        <f t="shared" si="0"/>
        <v>75060</v>
      </c>
      <c r="F16" s="12">
        <f t="shared" si="1"/>
        <v>1932100</v>
      </c>
      <c r="G16" s="12">
        <f t="shared" si="2"/>
        <v>2916</v>
      </c>
      <c r="I16" s="32" t="s">
        <v>55</v>
      </c>
      <c r="J16" s="31">
        <f>J11+J10*J13</f>
        <v>2.1992175135145788</v>
      </c>
    </row>
    <row r="17" spans="1:10">
      <c r="A17" s="8">
        <v>16</v>
      </c>
      <c r="B17" s="7" t="s">
        <v>21</v>
      </c>
      <c r="C17" s="5">
        <v>1396</v>
      </c>
      <c r="D17" s="5">
        <v>66</v>
      </c>
      <c r="E17" s="12">
        <f t="shared" si="0"/>
        <v>92136</v>
      </c>
      <c r="F17" s="12">
        <f t="shared" si="1"/>
        <v>1948816</v>
      </c>
      <c r="G17" s="12">
        <f t="shared" si="2"/>
        <v>4356</v>
      </c>
      <c r="J17" s="27"/>
    </row>
    <row r="18" spans="1:10">
      <c r="A18" s="8">
        <v>17</v>
      </c>
      <c r="B18" s="7" t="s">
        <v>22</v>
      </c>
      <c r="C18" s="5">
        <v>2435</v>
      </c>
      <c r="D18" s="5">
        <v>106</v>
      </c>
      <c r="E18" s="12">
        <f t="shared" si="0"/>
        <v>258110</v>
      </c>
      <c r="F18" s="12">
        <f t="shared" si="1"/>
        <v>5929225</v>
      </c>
      <c r="G18" s="12">
        <f t="shared" si="2"/>
        <v>11236</v>
      </c>
      <c r="I18" s="32" t="s">
        <v>56</v>
      </c>
      <c r="J18" s="31">
        <f>(EXP(2*J15)-1)/(EXP(2*J15)+1)</f>
        <v>0.88860000779088277</v>
      </c>
    </row>
    <row r="19" spans="1:10">
      <c r="A19" s="8">
        <v>18</v>
      </c>
      <c r="B19" s="7" t="s">
        <v>23</v>
      </c>
      <c r="C19" s="5">
        <v>1242</v>
      </c>
      <c r="D19" s="5">
        <v>55</v>
      </c>
      <c r="E19" s="12">
        <f t="shared" si="0"/>
        <v>68310</v>
      </c>
      <c r="F19" s="12">
        <f t="shared" si="1"/>
        <v>1542564</v>
      </c>
      <c r="G19" s="12">
        <f t="shared" si="2"/>
        <v>3025</v>
      </c>
      <c r="I19" s="32" t="s">
        <v>57</v>
      </c>
      <c r="J19" s="31">
        <f>(EXP(2*J16)-1)/(EXP(2*J16)+1)</f>
        <v>0.97570560045091537</v>
      </c>
    </row>
    <row r="20" spans="1:10">
      <c r="A20" s="8">
        <v>19</v>
      </c>
      <c r="B20" s="7" t="s">
        <v>24</v>
      </c>
      <c r="C20" s="5">
        <v>2972</v>
      </c>
      <c r="D20" s="5">
        <v>107</v>
      </c>
      <c r="E20" s="12">
        <f t="shared" si="0"/>
        <v>318004</v>
      </c>
      <c r="F20" s="12">
        <f t="shared" si="1"/>
        <v>8832784</v>
      </c>
      <c r="G20" s="12">
        <f t="shared" si="2"/>
        <v>11449</v>
      </c>
      <c r="J20" s="27"/>
    </row>
    <row r="21" spans="1:10">
      <c r="A21" s="8">
        <v>20</v>
      </c>
      <c r="B21" s="7" t="s">
        <v>25</v>
      </c>
      <c r="C21" s="5">
        <v>2958</v>
      </c>
      <c r="D21" s="5">
        <v>150</v>
      </c>
      <c r="E21" s="12">
        <f t="shared" si="0"/>
        <v>443700</v>
      </c>
      <c r="F21" s="12">
        <f t="shared" si="1"/>
        <v>8749764</v>
      </c>
      <c r="G21" s="12">
        <f t="shared" si="2"/>
        <v>22500</v>
      </c>
      <c r="J21" s="27"/>
    </row>
    <row r="22" spans="1:10">
      <c r="A22" s="8">
        <v>21</v>
      </c>
      <c r="B22" s="7" t="s">
        <v>26</v>
      </c>
      <c r="C22" s="5">
        <v>2497</v>
      </c>
      <c r="D22" s="5">
        <v>122</v>
      </c>
      <c r="E22" s="12">
        <f t="shared" si="0"/>
        <v>304634</v>
      </c>
      <c r="F22" s="12">
        <f t="shared" si="1"/>
        <v>6235009</v>
      </c>
      <c r="G22" s="12">
        <f t="shared" si="2"/>
        <v>14884</v>
      </c>
      <c r="I22" s="298" t="s">
        <v>58</v>
      </c>
      <c r="J22" s="298"/>
    </row>
    <row r="23" spans="1:10">
      <c r="A23" s="8">
        <v>22</v>
      </c>
      <c r="B23" s="7" t="s">
        <v>27</v>
      </c>
      <c r="C23" s="5">
        <v>1998</v>
      </c>
      <c r="D23" s="5">
        <v>66</v>
      </c>
      <c r="E23" s="12">
        <f t="shared" si="0"/>
        <v>131868</v>
      </c>
      <c r="F23" s="12">
        <f t="shared" si="1"/>
        <v>3992004</v>
      </c>
      <c r="G23" s="12">
        <f t="shared" si="2"/>
        <v>4356</v>
      </c>
      <c r="I23" s="28" t="s">
        <v>59</v>
      </c>
      <c r="J23" s="29">
        <f>0.5*LN((1+0.9)/(1-0.9))</f>
        <v>1.4722194895832204</v>
      </c>
    </row>
    <row r="24" spans="1:10">
      <c r="A24" s="8">
        <v>23</v>
      </c>
      <c r="B24" s="7" t="s">
        <v>28</v>
      </c>
      <c r="C24" s="5">
        <v>2496</v>
      </c>
      <c r="D24" s="5">
        <v>125</v>
      </c>
      <c r="E24" s="12">
        <f t="shared" si="0"/>
        <v>312000</v>
      </c>
      <c r="F24" s="12">
        <f t="shared" si="1"/>
        <v>6230016</v>
      </c>
      <c r="G24" s="12">
        <f t="shared" si="2"/>
        <v>15625</v>
      </c>
      <c r="I24" s="28" t="s">
        <v>60</v>
      </c>
      <c r="J24" s="29">
        <f>(J11-J23)*SQRT(A31-3)</f>
        <v>1.6750261351167384</v>
      </c>
    </row>
    <row r="25" spans="1:10">
      <c r="A25" s="8">
        <v>24</v>
      </c>
      <c r="B25" s="7" t="s">
        <v>29</v>
      </c>
      <c r="C25" s="5">
        <v>1998</v>
      </c>
      <c r="D25" s="5">
        <v>89</v>
      </c>
      <c r="E25" s="12">
        <f t="shared" si="0"/>
        <v>177822</v>
      </c>
      <c r="F25" s="12">
        <f t="shared" si="1"/>
        <v>3992004</v>
      </c>
      <c r="G25" s="12">
        <f t="shared" si="2"/>
        <v>7921</v>
      </c>
      <c r="I25" s="28" t="s">
        <v>61</v>
      </c>
      <c r="J25" s="29">
        <f>NORMSINV(0.95)</f>
        <v>1.6448536269514715</v>
      </c>
    </row>
    <row r="26" spans="1:10">
      <c r="A26" s="8">
        <v>25</v>
      </c>
      <c r="B26" s="7" t="s">
        <v>30</v>
      </c>
      <c r="C26" s="5">
        <v>1997</v>
      </c>
      <c r="D26" s="5">
        <v>92</v>
      </c>
      <c r="E26" s="12">
        <f t="shared" si="0"/>
        <v>183724</v>
      </c>
      <c r="F26" s="12">
        <f t="shared" si="1"/>
        <v>3988009</v>
      </c>
      <c r="G26" s="12">
        <f t="shared" si="2"/>
        <v>8464</v>
      </c>
    </row>
    <row r="27" spans="1:10">
      <c r="A27" s="8">
        <v>26</v>
      </c>
      <c r="B27" s="7" t="s">
        <v>31</v>
      </c>
      <c r="C27" s="5">
        <v>1984</v>
      </c>
      <c r="D27" s="5">
        <v>85</v>
      </c>
      <c r="E27" s="12">
        <f t="shared" si="0"/>
        <v>168640</v>
      </c>
      <c r="F27" s="12">
        <f t="shared" si="1"/>
        <v>3936256</v>
      </c>
      <c r="G27" s="12">
        <f t="shared" si="2"/>
        <v>7225</v>
      </c>
    </row>
    <row r="28" spans="1:10">
      <c r="A28" s="8">
        <v>27</v>
      </c>
      <c r="B28" s="7" t="s">
        <v>32</v>
      </c>
      <c r="C28" s="5">
        <v>2438</v>
      </c>
      <c r="D28" s="5">
        <v>97</v>
      </c>
      <c r="E28" s="12">
        <f t="shared" si="0"/>
        <v>236486</v>
      </c>
      <c r="F28" s="12">
        <f t="shared" si="1"/>
        <v>5943844</v>
      </c>
      <c r="G28" s="12">
        <f t="shared" si="2"/>
        <v>9409</v>
      </c>
    </row>
    <row r="29" spans="1:10">
      <c r="A29" s="8">
        <v>28</v>
      </c>
      <c r="B29" s="7" t="s">
        <v>33</v>
      </c>
      <c r="C29" s="5">
        <v>2473</v>
      </c>
      <c r="D29" s="5">
        <v>125</v>
      </c>
      <c r="E29" s="12">
        <f t="shared" si="0"/>
        <v>309125</v>
      </c>
      <c r="F29" s="12">
        <f t="shared" si="1"/>
        <v>6115729</v>
      </c>
      <c r="G29" s="12">
        <f t="shared" si="2"/>
        <v>15625</v>
      </c>
    </row>
    <row r="30" spans="1:10">
      <c r="A30" s="289" t="s">
        <v>38</v>
      </c>
      <c r="C30" s="296" t="s">
        <v>39</v>
      </c>
      <c r="D30" s="296"/>
      <c r="E30" s="298" t="s">
        <v>40</v>
      </c>
      <c r="F30" s="298"/>
      <c r="G30" s="298"/>
    </row>
    <row r="31" spans="1:10">
      <c r="A31" s="8">
        <v>28</v>
      </c>
      <c r="C31" s="16">
        <f>AVERAGE(C2:C29)</f>
        <v>1809.0714285714287</v>
      </c>
      <c r="D31" s="16">
        <f>AVERAGE(D2:D29)</f>
        <v>77.714285714285708</v>
      </c>
      <c r="E31" s="17">
        <f>SUM(E2:E29)</f>
        <v>4451219</v>
      </c>
      <c r="F31" s="17">
        <f>SUM(F2:F29)</f>
        <v>102138444</v>
      </c>
      <c r="G31" s="17">
        <f>SUM(G2:G29)</f>
        <v>197200</v>
      </c>
    </row>
    <row r="33" spans="1:6">
      <c r="C33" s="19" t="s">
        <v>62</v>
      </c>
      <c r="D33" s="19">
        <f>E31-A31*C31*D31</f>
        <v>514679.57142857183</v>
      </c>
    </row>
    <row r="34" spans="1:6">
      <c r="C34" s="19" t="s">
        <v>63</v>
      </c>
      <c r="D34" s="19">
        <f>SQRT(F31-A31*C31^2)*SQRT(G31-A31*D31^2)</f>
        <v>543169.2913350953</v>
      </c>
    </row>
    <row r="35" spans="1:6">
      <c r="C35" s="22" t="s">
        <v>64</v>
      </c>
      <c r="D35" s="23">
        <f>D33/D34</f>
        <v>0.94754909682670663</v>
      </c>
    </row>
    <row r="37" spans="1:6">
      <c r="C37" s="20" t="s">
        <v>65</v>
      </c>
      <c r="D37" s="21">
        <f>CORREL(C2:C29,D2:D29)</f>
        <v>0.94754909682670629</v>
      </c>
    </row>
    <row r="42" spans="1:6">
      <c r="A42" s="297" t="s">
        <v>66</v>
      </c>
      <c r="B42" s="297"/>
      <c r="C42" s="297"/>
      <c r="D42" s="297"/>
      <c r="E42" s="297"/>
      <c r="F42" s="297"/>
    </row>
    <row r="43" spans="1:6">
      <c r="A43" s="2" t="s">
        <v>0</v>
      </c>
      <c r="B43" s="1" t="s">
        <v>1</v>
      </c>
      <c r="C43" s="9" t="s">
        <v>2</v>
      </c>
      <c r="D43" s="9" t="s">
        <v>3</v>
      </c>
      <c r="E43" s="9" t="s">
        <v>4</v>
      </c>
      <c r="F43" s="10" t="s">
        <v>5</v>
      </c>
    </row>
    <row r="44" spans="1:6">
      <c r="A44" s="8">
        <v>1</v>
      </c>
      <c r="B44" s="7" t="s">
        <v>6</v>
      </c>
      <c r="C44" s="3">
        <v>846</v>
      </c>
      <c r="D44" s="3">
        <v>32</v>
      </c>
      <c r="E44" s="3">
        <v>650</v>
      </c>
      <c r="F44" s="4">
        <v>5.7</v>
      </c>
    </row>
    <row r="45" spans="1:6">
      <c r="A45" s="8">
        <v>2</v>
      </c>
      <c r="B45" s="7" t="s">
        <v>7</v>
      </c>
      <c r="C45" s="5">
        <v>993</v>
      </c>
      <c r="D45" s="5">
        <v>39</v>
      </c>
      <c r="E45" s="5">
        <v>790</v>
      </c>
      <c r="F45" s="6">
        <v>5.8</v>
      </c>
    </row>
    <row r="46" spans="1:6">
      <c r="A46" s="8">
        <v>3</v>
      </c>
      <c r="B46" s="7" t="s">
        <v>8</v>
      </c>
      <c r="C46" s="5">
        <v>899</v>
      </c>
      <c r="D46" s="5">
        <v>29</v>
      </c>
      <c r="E46" s="5">
        <v>730</v>
      </c>
      <c r="F46" s="6">
        <v>6.1</v>
      </c>
    </row>
    <row r="47" spans="1:6">
      <c r="A47" s="8">
        <v>4</v>
      </c>
      <c r="B47" s="7" t="s">
        <v>9</v>
      </c>
      <c r="C47" s="5">
        <v>1390</v>
      </c>
      <c r="D47" s="5">
        <v>44</v>
      </c>
      <c r="E47" s="5">
        <v>955</v>
      </c>
      <c r="F47" s="6">
        <v>6.5</v>
      </c>
    </row>
    <row r="48" spans="1:6">
      <c r="A48" s="8">
        <v>5</v>
      </c>
      <c r="B48" s="7" t="s">
        <v>10</v>
      </c>
      <c r="C48" s="5">
        <v>1195</v>
      </c>
      <c r="D48" s="5">
        <v>33</v>
      </c>
      <c r="E48" s="5">
        <v>895</v>
      </c>
      <c r="F48" s="6">
        <v>6.8</v>
      </c>
    </row>
    <row r="49" spans="1:6">
      <c r="A49" s="8">
        <v>6</v>
      </c>
      <c r="B49" s="7" t="s">
        <v>11</v>
      </c>
      <c r="C49" s="5">
        <v>658</v>
      </c>
      <c r="D49" s="5">
        <v>32</v>
      </c>
      <c r="E49" s="5">
        <v>740</v>
      </c>
      <c r="F49" s="6">
        <v>6.8</v>
      </c>
    </row>
    <row r="50" spans="1:6">
      <c r="A50" s="8">
        <v>7</v>
      </c>
      <c r="B50" s="7" t="s">
        <v>12</v>
      </c>
      <c r="C50" s="5">
        <v>1331</v>
      </c>
      <c r="D50" s="5">
        <v>55</v>
      </c>
      <c r="E50" s="5">
        <v>1010</v>
      </c>
      <c r="F50" s="6">
        <v>7.1</v>
      </c>
    </row>
    <row r="51" spans="1:6">
      <c r="A51" s="8">
        <v>8</v>
      </c>
      <c r="B51" s="7" t="s">
        <v>13</v>
      </c>
      <c r="C51" s="5">
        <v>1597</v>
      </c>
      <c r="D51" s="5">
        <v>74</v>
      </c>
      <c r="E51" s="5">
        <v>1080</v>
      </c>
      <c r="F51" s="6">
        <v>7.4</v>
      </c>
    </row>
    <row r="52" spans="1:6">
      <c r="A52" s="8">
        <v>9</v>
      </c>
      <c r="B52" s="7" t="s">
        <v>14</v>
      </c>
      <c r="C52" s="5">
        <v>1761</v>
      </c>
      <c r="D52" s="5">
        <v>74</v>
      </c>
      <c r="E52" s="5">
        <v>1100</v>
      </c>
      <c r="F52" s="6">
        <v>9</v>
      </c>
    </row>
    <row r="53" spans="1:6">
      <c r="A53" s="8">
        <v>10</v>
      </c>
      <c r="B53" s="7" t="s">
        <v>15</v>
      </c>
      <c r="C53" s="5">
        <v>2165</v>
      </c>
      <c r="D53" s="5">
        <v>101</v>
      </c>
      <c r="E53" s="5">
        <v>1500</v>
      </c>
      <c r="F53" s="6">
        <v>11.7</v>
      </c>
    </row>
    <row r="54" spans="1:6">
      <c r="A54" s="8">
        <v>11</v>
      </c>
      <c r="B54" s="7" t="s">
        <v>16</v>
      </c>
      <c r="C54" s="5">
        <v>1983</v>
      </c>
      <c r="D54" s="5">
        <v>85</v>
      </c>
      <c r="E54" s="5">
        <v>1075</v>
      </c>
      <c r="F54" s="6">
        <v>9.5</v>
      </c>
    </row>
    <row r="55" spans="1:6">
      <c r="A55" s="8">
        <v>12</v>
      </c>
      <c r="B55" s="7" t="s">
        <v>17</v>
      </c>
      <c r="C55" s="5">
        <v>1984</v>
      </c>
      <c r="D55" s="5">
        <v>85</v>
      </c>
      <c r="E55" s="5">
        <v>1155</v>
      </c>
      <c r="F55" s="6">
        <v>9.5</v>
      </c>
    </row>
    <row r="56" spans="1:6">
      <c r="A56" s="8">
        <v>13</v>
      </c>
      <c r="B56" s="7" t="s">
        <v>18</v>
      </c>
      <c r="C56" s="5">
        <v>1998</v>
      </c>
      <c r="D56" s="5">
        <v>89</v>
      </c>
      <c r="E56" s="5">
        <v>1140</v>
      </c>
      <c r="F56" s="6">
        <v>8.8000000000000007</v>
      </c>
    </row>
    <row r="57" spans="1:6">
      <c r="A57" s="8">
        <v>14</v>
      </c>
      <c r="B57" s="7" t="s">
        <v>19</v>
      </c>
      <c r="C57" s="5">
        <v>1580</v>
      </c>
      <c r="D57" s="5">
        <v>65</v>
      </c>
      <c r="E57" s="5">
        <v>1080</v>
      </c>
      <c r="F57" s="6">
        <v>9.3000000000000007</v>
      </c>
    </row>
    <row r="58" spans="1:6">
      <c r="A58" s="8">
        <v>15</v>
      </c>
      <c r="B58" s="7" t="s">
        <v>20</v>
      </c>
      <c r="C58" s="5">
        <v>1390</v>
      </c>
      <c r="D58" s="5">
        <v>54</v>
      </c>
      <c r="E58" s="5">
        <v>1110</v>
      </c>
      <c r="F58" s="6">
        <v>8.6</v>
      </c>
    </row>
    <row r="59" spans="1:6">
      <c r="A59" s="8">
        <v>16</v>
      </c>
      <c r="B59" s="7" t="s">
        <v>21</v>
      </c>
      <c r="C59" s="5">
        <v>1396</v>
      </c>
      <c r="D59" s="5">
        <v>66</v>
      </c>
      <c r="E59" s="5">
        <v>1140</v>
      </c>
      <c r="F59" s="6">
        <v>7.7</v>
      </c>
    </row>
    <row r="60" spans="1:6">
      <c r="A60" s="8">
        <v>17</v>
      </c>
      <c r="B60" s="7" t="s">
        <v>22</v>
      </c>
      <c r="C60" s="5">
        <v>2435</v>
      </c>
      <c r="D60" s="5">
        <v>106</v>
      </c>
      <c r="E60" s="5">
        <v>1370</v>
      </c>
      <c r="F60" s="6">
        <v>10.8</v>
      </c>
    </row>
    <row r="61" spans="1:6">
      <c r="A61" s="8">
        <v>18</v>
      </c>
      <c r="B61" s="7" t="s">
        <v>23</v>
      </c>
      <c r="C61" s="5">
        <v>1242</v>
      </c>
      <c r="D61" s="5">
        <v>55</v>
      </c>
      <c r="E61" s="5">
        <v>940</v>
      </c>
      <c r="F61" s="6">
        <v>6.6</v>
      </c>
    </row>
    <row r="62" spans="1:6">
      <c r="A62" s="8">
        <v>19</v>
      </c>
      <c r="B62" s="7" t="s">
        <v>24</v>
      </c>
      <c r="C62" s="5">
        <v>2972</v>
      </c>
      <c r="D62" s="5">
        <v>107</v>
      </c>
      <c r="E62" s="5">
        <v>1400</v>
      </c>
      <c r="F62" s="6">
        <v>11.7</v>
      </c>
    </row>
    <row r="63" spans="1:6">
      <c r="A63" s="8">
        <v>20</v>
      </c>
      <c r="B63" s="7" t="s">
        <v>25</v>
      </c>
      <c r="C63" s="5">
        <v>2958</v>
      </c>
      <c r="D63" s="5">
        <v>150</v>
      </c>
      <c r="E63" s="5">
        <v>1550</v>
      </c>
      <c r="F63" s="6">
        <v>11.9</v>
      </c>
    </row>
    <row r="64" spans="1:6">
      <c r="A64" s="8">
        <v>21</v>
      </c>
      <c r="B64" s="7" t="s">
        <v>26</v>
      </c>
      <c r="C64" s="5">
        <v>2497</v>
      </c>
      <c r="D64" s="5">
        <v>122</v>
      </c>
      <c r="E64" s="5">
        <v>1330</v>
      </c>
      <c r="F64" s="6">
        <v>10.8</v>
      </c>
    </row>
    <row r="65" spans="1:6">
      <c r="A65" s="8">
        <v>22</v>
      </c>
      <c r="B65" s="7" t="s">
        <v>27</v>
      </c>
      <c r="C65" s="5">
        <v>1998</v>
      </c>
      <c r="D65" s="5">
        <v>66</v>
      </c>
      <c r="E65" s="5">
        <v>1300</v>
      </c>
      <c r="F65" s="6">
        <v>7.6</v>
      </c>
    </row>
    <row r="66" spans="1:6">
      <c r="A66" s="8">
        <v>23</v>
      </c>
      <c r="B66" s="7" t="s">
        <v>28</v>
      </c>
      <c r="C66" s="5">
        <v>2496</v>
      </c>
      <c r="D66" s="5">
        <v>125</v>
      </c>
      <c r="E66" s="5">
        <v>1670</v>
      </c>
      <c r="F66" s="6">
        <v>11.3</v>
      </c>
    </row>
    <row r="67" spans="1:6">
      <c r="A67" s="8">
        <v>24</v>
      </c>
      <c r="B67" s="7" t="s">
        <v>29</v>
      </c>
      <c r="C67" s="5">
        <v>1998</v>
      </c>
      <c r="D67" s="5">
        <v>89</v>
      </c>
      <c r="E67" s="5">
        <v>1560</v>
      </c>
      <c r="F67" s="6">
        <v>10.8</v>
      </c>
    </row>
    <row r="68" spans="1:6">
      <c r="A68" s="8">
        <v>25</v>
      </c>
      <c r="B68" s="7" t="s">
        <v>30</v>
      </c>
      <c r="C68" s="5">
        <v>1997</v>
      </c>
      <c r="D68" s="5">
        <v>92</v>
      </c>
      <c r="E68" s="5">
        <v>1240</v>
      </c>
      <c r="F68" s="6">
        <v>9.1999999999999993</v>
      </c>
    </row>
    <row r="69" spans="1:6">
      <c r="A69" s="8">
        <v>26</v>
      </c>
      <c r="B69" s="7" t="s">
        <v>31</v>
      </c>
      <c r="C69" s="5">
        <v>1984</v>
      </c>
      <c r="D69" s="5">
        <v>85</v>
      </c>
      <c r="E69" s="5">
        <v>1635</v>
      </c>
      <c r="F69" s="6">
        <v>11.6</v>
      </c>
    </row>
    <row r="70" spans="1:6">
      <c r="A70" s="8">
        <v>27</v>
      </c>
      <c r="B70" s="7" t="s">
        <v>32</v>
      </c>
      <c r="C70" s="5">
        <v>2438</v>
      </c>
      <c r="D70" s="5">
        <v>97</v>
      </c>
      <c r="E70" s="5">
        <v>1800</v>
      </c>
      <c r="F70" s="6">
        <v>12.8</v>
      </c>
    </row>
    <row r="71" spans="1:6">
      <c r="A71" s="8">
        <v>28</v>
      </c>
      <c r="B71" s="7" t="s">
        <v>33</v>
      </c>
      <c r="C71" s="5">
        <v>2473</v>
      </c>
      <c r="D71" s="5">
        <v>125</v>
      </c>
      <c r="E71" s="5">
        <v>1570</v>
      </c>
      <c r="F71" s="6">
        <v>12.7</v>
      </c>
    </row>
    <row r="73" spans="1:6">
      <c r="B73" s="13" t="s">
        <v>67</v>
      </c>
      <c r="C73" s="24">
        <f>CORREL($F$44:$F$71,C44:C71)</f>
        <v>0.8918662579043769</v>
      </c>
      <c r="D73" s="24">
        <f>CORREL($F$44:$F$71,D44:D71)</f>
        <v>0.88780851704807884</v>
      </c>
      <c r="E73" s="24">
        <f>CORREL($F$44:$F$71,E44:E71)</f>
        <v>0.92632639818669704</v>
      </c>
      <c r="F73" s="18"/>
    </row>
  </sheetData>
  <mergeCells count="6">
    <mergeCell ref="C30:D30"/>
    <mergeCell ref="E30:G30"/>
    <mergeCell ref="A42:F42"/>
    <mergeCell ref="I4:J4"/>
    <mergeCell ref="I9:J9"/>
    <mergeCell ref="I22:J2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"/>
  <sheetViews>
    <sheetView showGridLines="0" workbookViewId="0">
      <selection activeCell="D19" sqref="D19"/>
    </sheetView>
  </sheetViews>
  <sheetFormatPr defaultRowHeight="12.75"/>
  <cols>
    <col min="1" max="3" width="11.42578125" customWidth="1"/>
    <col min="4" max="4" width="13.7109375" bestFit="1" customWidth="1"/>
    <col min="5" max="256" width="11.42578125" customWidth="1"/>
  </cols>
  <sheetData>
    <row r="1" spans="1:13">
      <c r="B1" s="298" t="s">
        <v>68</v>
      </c>
      <c r="C1" s="298"/>
      <c r="F1" s="300" t="s">
        <v>69</v>
      </c>
      <c r="G1" s="300"/>
    </row>
    <row r="2" spans="1:13">
      <c r="B2" s="15" t="s">
        <v>70</v>
      </c>
      <c r="C2" s="15" t="s">
        <v>71</v>
      </c>
      <c r="F2" s="108" t="s">
        <v>70</v>
      </c>
      <c r="G2" s="108" t="s">
        <v>71</v>
      </c>
      <c r="L2" s="44" t="s">
        <v>70</v>
      </c>
      <c r="M2" s="44" t="s">
        <v>71</v>
      </c>
    </row>
    <row r="3" spans="1:13">
      <c r="A3">
        <v>1</v>
      </c>
      <c r="B3" s="33">
        <v>77.564232000000004</v>
      </c>
      <c r="C3" s="33">
        <v>1.69672</v>
      </c>
      <c r="E3">
        <v>1</v>
      </c>
      <c r="F3" s="33">
        <v>83.914519999999996</v>
      </c>
      <c r="G3" s="33">
        <v>1.651</v>
      </c>
      <c r="K3">
        <v>1</v>
      </c>
      <c r="L3" s="33">
        <v>83.914519999999996</v>
      </c>
      <c r="M3" s="33">
        <v>1.651</v>
      </c>
    </row>
    <row r="4" spans="1:13">
      <c r="A4">
        <v>2</v>
      </c>
      <c r="B4" s="33">
        <v>50.348711999999999</v>
      </c>
      <c r="C4" s="33">
        <v>1.5392399999999999</v>
      </c>
      <c r="E4">
        <v>2</v>
      </c>
      <c r="F4" s="33">
        <v>68.945983999999996</v>
      </c>
      <c r="G4" s="33">
        <v>1.74498</v>
      </c>
      <c r="K4">
        <v>2</v>
      </c>
      <c r="L4" s="33">
        <v>68.945983999999996</v>
      </c>
      <c r="M4" s="33">
        <v>1.74498</v>
      </c>
    </row>
    <row r="5" spans="1:13">
      <c r="A5">
        <v>3</v>
      </c>
      <c r="B5" s="33">
        <v>76.657048000000003</v>
      </c>
      <c r="C5" s="33">
        <v>1.6255999999999999</v>
      </c>
      <c r="E5">
        <v>3</v>
      </c>
      <c r="F5" s="33">
        <v>100.697424</v>
      </c>
      <c r="G5" s="33">
        <v>1.7602200000000001</v>
      </c>
      <c r="K5">
        <v>3</v>
      </c>
      <c r="L5" s="33">
        <v>100.697424</v>
      </c>
      <c r="M5" s="33">
        <v>1.7602200000000001</v>
      </c>
    </row>
    <row r="6" spans="1:13">
      <c r="A6">
        <v>4</v>
      </c>
      <c r="B6" s="33">
        <v>62.595695999999997</v>
      </c>
      <c r="C6" s="33">
        <v>1.6332199999999999</v>
      </c>
      <c r="E6">
        <v>4</v>
      </c>
      <c r="F6" s="33">
        <v>81.192967999999993</v>
      </c>
      <c r="G6" s="33">
        <v>1.7119599999999999</v>
      </c>
      <c r="K6">
        <v>4</v>
      </c>
      <c r="L6" s="33">
        <v>81.192967999999993</v>
      </c>
      <c r="M6" s="33">
        <v>1.7119599999999999</v>
      </c>
    </row>
    <row r="7" spans="1:13">
      <c r="A7">
        <v>5</v>
      </c>
      <c r="B7" s="33">
        <v>58.067999999999998</v>
      </c>
      <c r="C7" s="33">
        <v>1.4351</v>
      </c>
      <c r="E7">
        <v>5</v>
      </c>
      <c r="F7" s="33">
        <v>93.439952000000005</v>
      </c>
      <c r="G7" s="33">
        <v>1.8135599999999998</v>
      </c>
      <c r="K7">
        <v>5</v>
      </c>
      <c r="L7" s="33">
        <v>93.439952000000005</v>
      </c>
      <c r="M7" s="33">
        <v>1.8135599999999998</v>
      </c>
    </row>
    <row r="8" spans="1:13">
      <c r="A8">
        <v>6</v>
      </c>
      <c r="B8" s="33">
        <v>72.574719999999999</v>
      </c>
      <c r="C8" s="33">
        <v>1.6789399999999999</v>
      </c>
      <c r="E8">
        <v>6</v>
      </c>
      <c r="F8" s="33">
        <v>87.543256</v>
      </c>
      <c r="G8" s="33">
        <v>1.7119599999999999</v>
      </c>
      <c r="K8">
        <v>6</v>
      </c>
      <c r="L8" s="33">
        <v>87.543256</v>
      </c>
      <c r="M8" s="33">
        <v>1.7119599999999999</v>
      </c>
    </row>
    <row r="9" spans="1:13">
      <c r="A9">
        <v>7</v>
      </c>
      <c r="B9" s="33">
        <v>92.532768000000004</v>
      </c>
      <c r="C9" s="33">
        <v>1.6433799999999998</v>
      </c>
      <c r="E9">
        <v>7</v>
      </c>
      <c r="F9" s="33">
        <v>97.522279999999995</v>
      </c>
      <c r="G9" s="33">
        <v>1.78308</v>
      </c>
      <c r="K9">
        <v>7</v>
      </c>
      <c r="L9" s="33">
        <v>97.522279999999995</v>
      </c>
      <c r="M9" s="33">
        <v>1.78308</v>
      </c>
    </row>
    <row r="10" spans="1:13">
      <c r="A10">
        <v>8</v>
      </c>
      <c r="B10" s="33">
        <v>76.657048000000003</v>
      </c>
      <c r="C10" s="33">
        <v>1.6255999999999999</v>
      </c>
      <c r="E10">
        <v>8</v>
      </c>
      <c r="F10" s="33">
        <v>78.017824000000005</v>
      </c>
      <c r="G10" s="33">
        <v>1.6916399999999998</v>
      </c>
      <c r="K10">
        <v>8</v>
      </c>
      <c r="L10" s="33">
        <v>78.017824000000005</v>
      </c>
      <c r="M10" s="33">
        <v>1.6916399999999998</v>
      </c>
    </row>
    <row r="11" spans="1:13">
      <c r="A11">
        <v>9</v>
      </c>
      <c r="B11" s="33">
        <v>58.059775999999999</v>
      </c>
      <c r="C11" s="33">
        <v>1.5417799999999999</v>
      </c>
      <c r="E11">
        <v>9</v>
      </c>
      <c r="F11" s="33">
        <v>81.646559999999994</v>
      </c>
      <c r="G11" s="33">
        <v>1.7703799999999998</v>
      </c>
      <c r="K11">
        <v>9</v>
      </c>
      <c r="L11" s="33">
        <v>81.646559999999994</v>
      </c>
      <c r="M11" s="33">
        <v>1.7703799999999998</v>
      </c>
    </row>
    <row r="12" spans="1:13">
      <c r="A12">
        <v>10</v>
      </c>
      <c r="B12" s="33">
        <v>71.667535999999998</v>
      </c>
      <c r="C12" s="33">
        <v>1.5417799999999999</v>
      </c>
      <c r="E12">
        <v>10</v>
      </c>
      <c r="F12" s="33">
        <v>81.646559999999994</v>
      </c>
      <c r="G12" s="33">
        <v>1.6484599999999998</v>
      </c>
      <c r="K12">
        <v>10</v>
      </c>
      <c r="L12" s="33">
        <v>81.646559999999994</v>
      </c>
      <c r="M12" s="33">
        <v>1.6484599999999998</v>
      </c>
    </row>
    <row r="13" spans="1:13">
      <c r="A13">
        <v>11</v>
      </c>
      <c r="B13" s="33">
        <v>68.038799999999995</v>
      </c>
      <c r="C13" s="33">
        <v>1.62052</v>
      </c>
      <c r="E13">
        <v>11</v>
      </c>
      <c r="F13" s="33">
        <v>79.832191999999992</v>
      </c>
      <c r="G13" s="33">
        <v>1.6103599999999998</v>
      </c>
      <c r="K13">
        <v>11</v>
      </c>
      <c r="L13" s="33">
        <v>79.832191999999992</v>
      </c>
      <c r="M13" s="33">
        <v>1.6103599999999998</v>
      </c>
    </row>
    <row r="14" spans="1:13">
      <c r="A14">
        <v>12</v>
      </c>
      <c r="B14" s="33">
        <v>70.06</v>
      </c>
      <c r="C14" s="33">
        <v>1.57734</v>
      </c>
      <c r="E14">
        <v>12</v>
      </c>
      <c r="F14" s="33">
        <v>90.718400000000003</v>
      </c>
      <c r="G14" s="33">
        <v>1.7729200000000001</v>
      </c>
      <c r="K14">
        <v>12</v>
      </c>
      <c r="L14" s="33">
        <v>90.718400000000003</v>
      </c>
      <c r="M14" s="33">
        <v>1.7729200000000001</v>
      </c>
    </row>
    <row r="15" spans="1:13">
      <c r="A15">
        <v>13</v>
      </c>
      <c r="B15" s="33">
        <v>61.688512000000003</v>
      </c>
      <c r="C15" s="33">
        <v>1.5570199999999998</v>
      </c>
      <c r="E15">
        <v>13</v>
      </c>
      <c r="F15" s="33">
        <v>75.749864000000002</v>
      </c>
      <c r="G15" s="33">
        <v>1.7297399999999998</v>
      </c>
      <c r="K15">
        <v>13</v>
      </c>
      <c r="L15" s="33">
        <v>75.749864000000002</v>
      </c>
      <c r="M15" s="33">
        <v>1.7297399999999998</v>
      </c>
    </row>
    <row r="16" spans="1:13">
      <c r="A16">
        <v>14</v>
      </c>
      <c r="B16" s="33">
        <v>67.585207999999994</v>
      </c>
      <c r="C16" s="33">
        <v>1.4960599999999999</v>
      </c>
      <c r="E16">
        <v>14</v>
      </c>
      <c r="F16" s="33">
        <v>83.914519999999996</v>
      </c>
      <c r="G16" s="33">
        <v>1.69418</v>
      </c>
      <c r="K16">
        <v>14</v>
      </c>
      <c r="L16" s="33">
        <v>83.914519999999996</v>
      </c>
      <c r="M16" s="33">
        <v>1.69418</v>
      </c>
    </row>
    <row r="17" spans="1:13">
      <c r="A17">
        <v>15</v>
      </c>
      <c r="B17" s="33">
        <v>59.874144000000001</v>
      </c>
      <c r="C17" s="33">
        <v>1.62052</v>
      </c>
      <c r="E17">
        <v>15</v>
      </c>
      <c r="F17" s="33">
        <v>71.23</v>
      </c>
      <c r="G17" s="33">
        <v>1.7525999999999999</v>
      </c>
      <c r="K17">
        <v>15</v>
      </c>
      <c r="L17" s="33">
        <v>71.23</v>
      </c>
      <c r="M17" s="33">
        <v>1.7525999999999999</v>
      </c>
    </row>
    <row r="18" spans="1:13">
      <c r="E18">
        <v>16</v>
      </c>
      <c r="F18" s="33">
        <v>99.790239999999997</v>
      </c>
      <c r="G18" s="33">
        <v>1.87198</v>
      </c>
      <c r="K18">
        <v>16</v>
      </c>
      <c r="L18" s="33">
        <v>99.790239999999997</v>
      </c>
      <c r="M18" s="33">
        <v>1.87198</v>
      </c>
    </row>
    <row r="19" spans="1:13">
      <c r="E19">
        <v>17</v>
      </c>
      <c r="F19" s="33">
        <v>73.935496000000001</v>
      </c>
      <c r="G19" s="33">
        <v>1.7373599999999998</v>
      </c>
      <c r="K19">
        <v>17</v>
      </c>
      <c r="L19" s="33">
        <v>73.935496000000001</v>
      </c>
      <c r="M19" s="33">
        <v>1.7373599999999998</v>
      </c>
    </row>
    <row r="20" spans="1:13">
      <c r="E20">
        <v>18</v>
      </c>
      <c r="F20" s="33">
        <v>76.203456000000003</v>
      </c>
      <c r="G20" s="33">
        <v>1.6891</v>
      </c>
      <c r="K20">
        <v>18</v>
      </c>
      <c r="L20" s="33">
        <v>76.203456000000003</v>
      </c>
      <c r="M20" s="33">
        <v>1.6891</v>
      </c>
    </row>
    <row r="21" spans="1:13">
      <c r="E21">
        <v>19</v>
      </c>
      <c r="F21" s="33">
        <v>115.212368</v>
      </c>
      <c r="G21" s="33">
        <v>1.78308</v>
      </c>
      <c r="K21">
        <v>19</v>
      </c>
      <c r="L21" s="33">
        <v>115.212368</v>
      </c>
      <c r="M21" s="33">
        <v>1.78308</v>
      </c>
    </row>
    <row r="22" spans="1:13">
      <c r="E22">
        <v>20</v>
      </c>
      <c r="F22" s="33">
        <v>70.306759999999997</v>
      </c>
      <c r="G22" s="33">
        <v>1.7272000000000001</v>
      </c>
      <c r="K22">
        <v>20</v>
      </c>
      <c r="L22" s="33">
        <v>70.306759999999997</v>
      </c>
      <c r="M22" s="33">
        <v>1.7272000000000001</v>
      </c>
    </row>
    <row r="23" spans="1:13">
      <c r="K23">
        <v>1</v>
      </c>
      <c r="L23" s="33">
        <v>77.564232000000004</v>
      </c>
      <c r="M23" s="33">
        <v>1.69672</v>
      </c>
    </row>
    <row r="24" spans="1:13">
      <c r="B24" s="38" t="s">
        <v>72</v>
      </c>
      <c r="C24" s="39">
        <f>COUNTA(C3:C17)</f>
        <v>15</v>
      </c>
      <c r="F24" s="41" t="s">
        <v>73</v>
      </c>
      <c r="G24" s="42">
        <f>COUNTA(G3:G22)</f>
        <v>20</v>
      </c>
      <c r="K24">
        <v>2</v>
      </c>
      <c r="L24" s="33">
        <v>50.348711999999999</v>
      </c>
      <c r="M24" s="33">
        <v>1.5392399999999999</v>
      </c>
    </row>
    <row r="25" spans="1:13">
      <c r="B25" s="38" t="s">
        <v>74</v>
      </c>
      <c r="C25" s="40">
        <f>CORREL(B3:B17,C3:C17)</f>
        <v>0.56606196344144499</v>
      </c>
      <c r="F25" s="41" t="s">
        <v>75</v>
      </c>
      <c r="G25" s="43">
        <f>CORREL(F3:F22,G3:G22)</f>
        <v>0.49089351542462295</v>
      </c>
      <c r="K25">
        <v>3</v>
      </c>
      <c r="L25" s="33">
        <v>76.657048000000003</v>
      </c>
      <c r="M25" s="33">
        <v>1.6255999999999999</v>
      </c>
    </row>
    <row r="26" spans="1:13">
      <c r="B26" s="38" t="s">
        <v>76</v>
      </c>
      <c r="C26" s="40">
        <f>0.5*LN((1+C25)/(1-C25))</f>
        <v>0.64170884636870018</v>
      </c>
      <c r="F26" s="41" t="s">
        <v>77</v>
      </c>
      <c r="G26" s="43">
        <f>0.5*LN((1+G25)/(1-G25))</f>
        <v>0.53723684791478232</v>
      </c>
      <c r="K26">
        <v>4</v>
      </c>
      <c r="L26" s="33">
        <v>62.595695999999997</v>
      </c>
      <c r="M26" s="33">
        <v>1.6332199999999999</v>
      </c>
    </row>
    <row r="27" spans="1:13">
      <c r="K27">
        <v>5</v>
      </c>
      <c r="L27" s="33">
        <v>58.067999999999998</v>
      </c>
      <c r="M27" s="33">
        <v>1.4351</v>
      </c>
    </row>
    <row r="28" spans="1:13">
      <c r="K28">
        <v>6</v>
      </c>
      <c r="L28" s="33">
        <v>72.574719999999999</v>
      </c>
      <c r="M28" s="33">
        <v>1.6789399999999999</v>
      </c>
    </row>
    <row r="29" spans="1:13">
      <c r="D29" s="36" t="s">
        <v>78</v>
      </c>
      <c r="E29" s="37">
        <f>C26-G26</f>
        <v>0.10447199845391786</v>
      </c>
      <c r="K29">
        <v>7</v>
      </c>
      <c r="L29" s="33">
        <v>92.532768000000004</v>
      </c>
      <c r="M29" s="33">
        <v>1.6433799999999998</v>
      </c>
    </row>
    <row r="30" spans="1:13">
      <c r="D30" s="36" t="s">
        <v>79</v>
      </c>
      <c r="E30" s="37">
        <f>1/(C24-3)+1/(G24-3)</f>
        <v>0.14215686274509803</v>
      </c>
      <c r="G30" s="27"/>
      <c r="K30">
        <v>8</v>
      </c>
      <c r="L30" s="33">
        <v>76.657048000000003</v>
      </c>
      <c r="M30" s="33">
        <v>1.6255999999999999</v>
      </c>
    </row>
    <row r="31" spans="1:13">
      <c r="K31">
        <v>9</v>
      </c>
      <c r="L31" s="33">
        <v>58.059775999999999</v>
      </c>
      <c r="M31" s="33">
        <v>1.5417799999999999</v>
      </c>
    </row>
    <row r="32" spans="1:13">
      <c r="D32" s="34" t="s">
        <v>60</v>
      </c>
      <c r="E32" s="23">
        <f>ABS(E29)/SQRT(E30)</f>
        <v>0.27708689574627499</v>
      </c>
      <c r="K32">
        <v>10</v>
      </c>
      <c r="L32" s="33">
        <v>71.667535999999998</v>
      </c>
      <c r="M32" s="33">
        <v>1.5417799999999999</v>
      </c>
    </row>
    <row r="33" spans="4:13">
      <c r="D33" s="34" t="s">
        <v>50</v>
      </c>
      <c r="E33" s="35">
        <f>NORMSINV(0.975)</f>
        <v>1.9599639845400536</v>
      </c>
      <c r="K33">
        <v>11</v>
      </c>
      <c r="L33" s="33">
        <v>68.038799999999995</v>
      </c>
      <c r="M33" s="33">
        <v>1.62052</v>
      </c>
    </row>
    <row r="34" spans="4:13">
      <c r="K34">
        <v>12</v>
      </c>
      <c r="L34" s="33">
        <v>70.06</v>
      </c>
      <c r="M34" s="33">
        <v>1.57734</v>
      </c>
    </row>
    <row r="35" spans="4:13">
      <c r="K35">
        <v>13</v>
      </c>
      <c r="L35" s="33">
        <v>61.688512000000003</v>
      </c>
      <c r="M35" s="33">
        <v>1.5570199999999998</v>
      </c>
    </row>
    <row r="36" spans="4:13">
      <c r="K36">
        <v>14</v>
      </c>
      <c r="L36" s="33">
        <v>67.585207999999994</v>
      </c>
      <c r="M36" s="33">
        <v>1.4960599999999999</v>
      </c>
    </row>
    <row r="37" spans="4:13">
      <c r="K37">
        <v>15</v>
      </c>
      <c r="L37" s="33">
        <v>59.874144000000001</v>
      </c>
      <c r="M37" s="33">
        <v>1.62052</v>
      </c>
    </row>
    <row r="39" spans="4:13">
      <c r="D39" s="298" t="s">
        <v>80</v>
      </c>
      <c r="E39" s="298"/>
    </row>
    <row r="40" spans="4:13">
      <c r="D40" s="288" t="s">
        <v>81</v>
      </c>
      <c r="E40" s="91">
        <f>((C24-3)*C26+(G24-3)*G26)^2</f>
        <v>283.36781881809986</v>
      </c>
    </row>
    <row r="41" spans="4:13">
      <c r="D41" s="288" t="s">
        <v>82</v>
      </c>
      <c r="E41" s="93">
        <f>(C24-3)+(G24-3)</f>
        <v>29</v>
      </c>
    </row>
    <row r="42" spans="4:13">
      <c r="D42" s="288" t="s">
        <v>83</v>
      </c>
      <c r="E42" s="91">
        <f>(C24-3)*C26^2+(G24-3)*G26^2</f>
        <v>9.8480812449701638</v>
      </c>
    </row>
    <row r="43" spans="4:13">
      <c r="E43" s="27"/>
    </row>
    <row r="44" spans="4:13">
      <c r="D44" s="288" t="s">
        <v>84</v>
      </c>
      <c r="E44" s="91">
        <f>E42-E40/E41</f>
        <v>7.6777147794306444E-2</v>
      </c>
      <c r="G44" s="27">
        <f>SQRT(E44)</f>
        <v>0.27708689574627388</v>
      </c>
    </row>
    <row r="45" spans="4:13">
      <c r="D45" s="288" t="s">
        <v>85</v>
      </c>
      <c r="E45" s="91">
        <f>CHIINV(0.05,1)</f>
        <v>3.8414588206941236</v>
      </c>
    </row>
  </sheetData>
  <mergeCells count="3">
    <mergeCell ref="B1:C1"/>
    <mergeCell ref="F1:G1"/>
    <mergeCell ref="D39:E39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42"/>
  <sheetViews>
    <sheetView showGridLines="0" workbookViewId="0">
      <selection activeCell="E57" sqref="E57"/>
    </sheetView>
  </sheetViews>
  <sheetFormatPr defaultColWidth="11.42578125" defaultRowHeight="12"/>
  <cols>
    <col min="1" max="1" width="7.42578125" style="50" customWidth="1"/>
    <col min="2" max="2" width="11.42578125" style="50"/>
    <col min="3" max="3" width="7.42578125" style="50" customWidth="1"/>
    <col min="4" max="4" width="12.28515625" style="50" bestFit="1" customWidth="1"/>
    <col min="5" max="10" width="11.42578125" style="50"/>
    <col min="11" max="11" width="14" style="50" customWidth="1"/>
    <col min="12" max="16384" width="11.42578125" style="50"/>
  </cols>
  <sheetData>
    <row r="1" spans="2:9">
      <c r="B1" s="49"/>
      <c r="C1" s="49"/>
      <c r="D1" s="49"/>
      <c r="E1" s="49"/>
      <c r="F1" s="49"/>
      <c r="G1" s="49"/>
      <c r="H1" s="49"/>
      <c r="I1" s="49"/>
    </row>
    <row r="2" spans="2:9" ht="12.75" thickBot="1">
      <c r="D2" s="63" t="s">
        <v>86</v>
      </c>
      <c r="E2" s="63" t="s">
        <v>71</v>
      </c>
    </row>
    <row r="3" spans="2:9">
      <c r="B3" s="304" t="s">
        <v>69</v>
      </c>
      <c r="C3" s="55">
        <v>1</v>
      </c>
      <c r="D3" s="56">
        <v>1.6367973312046724</v>
      </c>
      <c r="E3" s="57">
        <v>1.651</v>
      </c>
    </row>
    <row r="4" spans="2:9">
      <c r="B4" s="305"/>
      <c r="C4" s="58">
        <v>2</v>
      </c>
      <c r="D4" s="51">
        <v>0.31564484499057688</v>
      </c>
      <c r="E4" s="59">
        <v>1.74498</v>
      </c>
    </row>
    <row r="5" spans="2:9">
      <c r="B5" s="305"/>
      <c r="C5" s="58">
        <v>3</v>
      </c>
      <c r="D5" s="51">
        <v>1.0046576524555215</v>
      </c>
      <c r="E5" s="59">
        <v>1.7602200000000001</v>
      </c>
    </row>
    <row r="6" spans="2:9">
      <c r="B6" s="305"/>
      <c r="C6" s="58">
        <v>4</v>
      </c>
      <c r="D6" s="51">
        <v>2.7994397656763184</v>
      </c>
      <c r="E6" s="59">
        <v>1.7119599999999999</v>
      </c>
    </row>
    <row r="7" spans="2:9">
      <c r="B7" s="305"/>
      <c r="C7" s="58">
        <v>5</v>
      </c>
      <c r="D7" s="51">
        <v>4.3545737071204238</v>
      </c>
      <c r="E7" s="59">
        <v>1.8135599999999998</v>
      </c>
    </row>
    <row r="8" spans="2:9">
      <c r="B8" s="305"/>
      <c r="C8" s="58">
        <v>6</v>
      </c>
      <c r="D8" s="51">
        <v>2.3250126296821172</v>
      </c>
      <c r="E8" s="59">
        <v>1.7119599999999999</v>
      </c>
    </row>
    <row r="9" spans="2:9">
      <c r="B9" s="305"/>
      <c r="C9" s="58">
        <v>7</v>
      </c>
      <c r="D9" s="51">
        <v>5.6711080729554553E-3</v>
      </c>
      <c r="E9" s="59">
        <v>1.78308</v>
      </c>
    </row>
    <row r="10" spans="2:9">
      <c r="B10" s="305"/>
      <c r="C10" s="58">
        <v>8</v>
      </c>
      <c r="D10" s="51">
        <v>1.7525873844955262</v>
      </c>
      <c r="E10" s="59">
        <v>1.6916399999999998</v>
      </c>
    </row>
    <row r="11" spans="2:9">
      <c r="B11" s="305"/>
      <c r="C11" s="58">
        <v>9</v>
      </c>
      <c r="D11" s="51">
        <v>3.2173381305622808</v>
      </c>
      <c r="E11" s="59">
        <v>1.7703799999999998</v>
      </c>
    </row>
    <row r="12" spans="2:9">
      <c r="B12" s="305"/>
      <c r="C12" s="58">
        <v>10</v>
      </c>
      <c r="D12" s="51">
        <v>3.5344152521575145</v>
      </c>
      <c r="E12" s="59">
        <v>1.6484599999999998</v>
      </c>
    </row>
    <row r="13" spans="2:9">
      <c r="B13" s="305"/>
      <c r="C13" s="58">
        <v>11</v>
      </c>
      <c r="D13" s="51">
        <v>2.5488264389499893</v>
      </c>
      <c r="E13" s="59">
        <v>1.6103599999999998</v>
      </c>
    </row>
    <row r="14" spans="2:9">
      <c r="B14" s="305"/>
      <c r="C14" s="58">
        <v>12</v>
      </c>
      <c r="D14" s="51">
        <v>3.0810919278447324</v>
      </c>
      <c r="E14" s="59">
        <v>1.7729200000000001</v>
      </c>
    </row>
    <row r="15" spans="2:9">
      <c r="B15" s="305"/>
      <c r="C15" s="58">
        <v>13</v>
      </c>
      <c r="D15" s="51">
        <v>0.46045836311693122</v>
      </c>
      <c r="E15" s="59">
        <v>1.7297399999999998</v>
      </c>
    </row>
    <row r="16" spans="2:9">
      <c r="B16" s="305"/>
      <c r="C16" s="58">
        <v>14</v>
      </c>
      <c r="D16" s="51">
        <v>3.218219171381552</v>
      </c>
      <c r="E16" s="59">
        <v>1.69418</v>
      </c>
    </row>
    <row r="17" spans="2:5">
      <c r="B17" s="305"/>
      <c r="C17" s="58">
        <v>15</v>
      </c>
      <c r="D17" s="51">
        <v>2.1871171382243881</v>
      </c>
      <c r="E17" s="59">
        <v>1.7525999999999999</v>
      </c>
    </row>
    <row r="18" spans="2:5">
      <c r="B18" s="305"/>
      <c r="C18" s="58">
        <v>16</v>
      </c>
      <c r="D18" s="51">
        <v>0.73404950171587657</v>
      </c>
      <c r="E18" s="59">
        <v>1.87198</v>
      </c>
    </row>
    <row r="19" spans="2:5">
      <c r="B19" s="305"/>
      <c r="C19" s="58">
        <v>17</v>
      </c>
      <c r="D19" s="51">
        <v>0.15679135162382729</v>
      </c>
      <c r="E19" s="59">
        <v>1.7373599999999998</v>
      </c>
    </row>
    <row r="20" spans="2:5">
      <c r="B20" s="305"/>
      <c r="C20" s="58">
        <v>18</v>
      </c>
      <c r="D20" s="51">
        <v>0.90449929760782344</v>
      </c>
      <c r="E20" s="59">
        <v>1.6891</v>
      </c>
    </row>
    <row r="21" spans="2:5">
      <c r="B21" s="305"/>
      <c r="C21" s="58">
        <v>19</v>
      </c>
      <c r="D21" s="51">
        <v>4.1442368064334412</v>
      </c>
      <c r="E21" s="59">
        <v>1.78308</v>
      </c>
    </row>
    <row r="22" spans="2:5" ht="12.75" thickBot="1">
      <c r="B22" s="306"/>
      <c r="C22" s="60">
        <v>20</v>
      </c>
      <c r="D22" s="61">
        <v>1.6063109828257005</v>
      </c>
      <c r="E22" s="62">
        <v>1.7272000000000001</v>
      </c>
    </row>
    <row r="23" spans="2:5">
      <c r="B23" s="301" t="s">
        <v>68</v>
      </c>
      <c r="C23" s="55">
        <v>1</v>
      </c>
      <c r="D23" s="56">
        <v>4.6571081191080843</v>
      </c>
      <c r="E23" s="57">
        <v>1.69672</v>
      </c>
    </row>
    <row r="24" spans="2:5">
      <c r="B24" s="302"/>
      <c r="C24" s="58">
        <v>2</v>
      </c>
      <c r="D24" s="51">
        <v>3.2518697133053118</v>
      </c>
      <c r="E24" s="59">
        <v>1.5392399999999999</v>
      </c>
    </row>
    <row r="25" spans="2:5">
      <c r="B25" s="302"/>
      <c r="C25" s="58">
        <v>3</v>
      </c>
      <c r="D25" s="51">
        <v>3.8804163714674478</v>
      </c>
      <c r="E25" s="59">
        <v>1.6255999999999999</v>
      </c>
    </row>
    <row r="26" spans="2:5">
      <c r="B26" s="302"/>
      <c r="C26" s="58">
        <v>4</v>
      </c>
      <c r="D26" s="51">
        <v>2.8371461818046289</v>
      </c>
      <c r="E26" s="59">
        <v>1.6332199999999999</v>
      </c>
    </row>
    <row r="27" spans="2:5">
      <c r="B27" s="302"/>
      <c r="C27" s="58">
        <v>5</v>
      </c>
      <c r="D27" s="51">
        <v>4.8806135032599638</v>
      </c>
      <c r="E27" s="59">
        <v>1.4351</v>
      </c>
    </row>
    <row r="28" spans="2:5">
      <c r="B28" s="302"/>
      <c r="C28" s="58">
        <v>6</v>
      </c>
      <c r="D28" s="51">
        <v>3.7731775161000414</v>
      </c>
      <c r="E28" s="59">
        <v>1.6789399999999999</v>
      </c>
    </row>
    <row r="29" spans="2:5">
      <c r="B29" s="302"/>
      <c r="C29" s="58">
        <v>7</v>
      </c>
      <c r="D29" s="51">
        <v>5.6443476185063268</v>
      </c>
      <c r="E29" s="59">
        <v>1.6433799999999998</v>
      </c>
    </row>
    <row r="30" spans="2:5">
      <c r="B30" s="302"/>
      <c r="C30" s="58">
        <v>8</v>
      </c>
      <c r="D30" s="51">
        <v>4.4059233506313813</v>
      </c>
      <c r="E30" s="59">
        <v>1.6255999999999999</v>
      </c>
    </row>
    <row r="31" spans="2:5">
      <c r="B31" s="302"/>
      <c r="C31" s="58">
        <v>9</v>
      </c>
      <c r="D31" s="51">
        <v>3.8411885507957151</v>
      </c>
      <c r="E31" s="59">
        <v>1.5417799999999999</v>
      </c>
    </row>
    <row r="32" spans="2:5">
      <c r="B32" s="302"/>
      <c r="C32" s="58">
        <v>10</v>
      </c>
      <c r="D32" s="51">
        <v>7.5807193647178428</v>
      </c>
      <c r="E32" s="59">
        <v>1.5417799999999999</v>
      </c>
    </row>
    <row r="33" spans="2:5">
      <c r="B33" s="302"/>
      <c r="C33" s="58">
        <v>11</v>
      </c>
      <c r="D33" s="51">
        <v>7.5128428939341436</v>
      </c>
      <c r="E33" s="59">
        <v>1.62052</v>
      </c>
    </row>
    <row r="34" spans="2:5">
      <c r="B34" s="302"/>
      <c r="C34" s="58">
        <v>12</v>
      </c>
      <c r="D34" s="51">
        <v>6.8980233272244682</v>
      </c>
      <c r="E34" s="59">
        <v>1.57734</v>
      </c>
    </row>
    <row r="35" spans="2:5">
      <c r="B35" s="302"/>
      <c r="C35" s="58">
        <v>13</v>
      </c>
      <c r="D35" s="51">
        <v>4.7550586715022316</v>
      </c>
      <c r="E35" s="59">
        <v>1.5570199999999998</v>
      </c>
    </row>
    <row r="36" spans="2:5">
      <c r="B36" s="302"/>
      <c r="C36" s="58">
        <v>14</v>
      </c>
      <c r="D36" s="51">
        <v>6.699174823416584</v>
      </c>
      <c r="E36" s="59">
        <v>1.4960599999999999</v>
      </c>
    </row>
    <row r="37" spans="2:5" ht="12.75" thickBot="1">
      <c r="B37" s="303"/>
      <c r="C37" s="60">
        <v>15</v>
      </c>
      <c r="D37" s="61">
        <v>7.8639027742713683</v>
      </c>
      <c r="E37" s="62">
        <v>1.62052</v>
      </c>
    </row>
    <row r="39" spans="2:5">
      <c r="D39" s="52" t="s">
        <v>87</v>
      </c>
      <c r="E39" s="52">
        <f>CORREL(D3:D22,E3:E22)</f>
        <v>-7.3574321873690868E-2</v>
      </c>
    </row>
    <row r="40" spans="2:5">
      <c r="D40" s="53" t="s">
        <v>88</v>
      </c>
      <c r="E40" s="52">
        <f>CORREL(D23:D37,E23:E37)</f>
        <v>-0.14113739065512107</v>
      </c>
    </row>
    <row r="42" spans="2:5">
      <c r="D42" s="54" t="s">
        <v>89</v>
      </c>
      <c r="E42" s="64">
        <f>CORREL(D3:D37,E3:E37)</f>
        <v>-0.60181444845697663</v>
      </c>
    </row>
  </sheetData>
  <mergeCells count="2">
    <mergeCell ref="B23:B37"/>
    <mergeCell ref="B3:B2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3"/>
  <sheetViews>
    <sheetView showGridLines="0" workbookViewId="0">
      <selection activeCell="E42" sqref="E42"/>
    </sheetView>
  </sheetViews>
  <sheetFormatPr defaultRowHeight="12.75"/>
  <cols>
    <col min="1" max="256" width="11.42578125" customWidth="1"/>
  </cols>
  <sheetData>
    <row r="2" spans="2:4">
      <c r="B2" s="12"/>
      <c r="C2" s="15" t="s">
        <v>90</v>
      </c>
      <c r="D2" s="15" t="s">
        <v>91</v>
      </c>
    </row>
    <row r="3" spans="2:4">
      <c r="B3" s="295">
        <v>1</v>
      </c>
      <c r="C3" s="65">
        <v>0.3</v>
      </c>
      <c r="D3" s="65">
        <v>0.7</v>
      </c>
    </row>
    <row r="4" spans="2:4">
      <c r="B4" s="295">
        <v>2</v>
      </c>
      <c r="C4" s="65">
        <v>0.35</v>
      </c>
      <c r="D4" s="65">
        <v>0.65</v>
      </c>
    </row>
    <row r="5" spans="2:4">
      <c r="B5" s="295">
        <v>3</v>
      </c>
      <c r="C5" s="65">
        <v>0.54</v>
      </c>
      <c r="D5" s="65">
        <v>0.37</v>
      </c>
    </row>
    <row r="6" spans="2:4">
      <c r="B6" s="295">
        <v>4</v>
      </c>
      <c r="C6" s="65">
        <v>0.28000000000000003</v>
      </c>
      <c r="D6" s="65">
        <v>0.54</v>
      </c>
    </row>
    <row r="7" spans="2:4">
      <c r="B7" s="295">
        <v>5</v>
      </c>
      <c r="C7" s="65">
        <v>0.21</v>
      </c>
      <c r="D7" s="65">
        <v>0.83</v>
      </c>
    </row>
    <row r="8" spans="2:4">
      <c r="B8" s="295">
        <v>6</v>
      </c>
      <c r="C8" s="65">
        <v>0.03</v>
      </c>
      <c r="D8" s="65">
        <v>0.31</v>
      </c>
    </row>
    <row r="9" spans="2:4">
      <c r="B9" s="147">
        <v>7</v>
      </c>
      <c r="C9" s="148">
        <v>9.34</v>
      </c>
      <c r="D9" s="148">
        <v>9.67</v>
      </c>
    </row>
    <row r="12" spans="2:4">
      <c r="B12" s="34" t="s">
        <v>92</v>
      </c>
      <c r="C12" s="149">
        <f>CORREL(C3:C8,D3:D8)</f>
        <v>1.8547064323322527E-2</v>
      </c>
    </row>
    <row r="13" spans="2:4">
      <c r="B13" s="150" t="s">
        <v>93</v>
      </c>
      <c r="C13" s="151">
        <f>CORREL(C3:C9,D3:D9)</f>
        <v>0.99764938911764234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42"/>
  <sheetViews>
    <sheetView showGridLines="0" workbookViewId="0">
      <selection activeCell="E51" sqref="E51"/>
    </sheetView>
  </sheetViews>
  <sheetFormatPr defaultRowHeight="12.75"/>
  <cols>
    <col min="1" max="1" width="8" customWidth="1"/>
    <col min="2" max="2" width="11.42578125" customWidth="1"/>
    <col min="3" max="3" width="12.85546875" customWidth="1"/>
    <col min="4" max="256" width="11.42578125" customWidth="1"/>
  </cols>
  <sheetData>
    <row r="2" spans="2:7" ht="13.5" thickBot="1">
      <c r="B2" s="307" t="s">
        <v>94</v>
      </c>
      <c r="C2" s="307"/>
      <c r="D2" s="308" t="s">
        <v>95</v>
      </c>
      <c r="E2" s="308"/>
      <c r="F2" s="309" t="s">
        <v>96</v>
      </c>
      <c r="G2" s="309"/>
    </row>
    <row r="3" spans="2:7">
      <c r="B3" s="82" t="s">
        <v>97</v>
      </c>
      <c r="C3" s="83" t="s">
        <v>5</v>
      </c>
      <c r="D3" s="88" t="s">
        <v>97</v>
      </c>
      <c r="E3" s="83" t="s">
        <v>5</v>
      </c>
      <c r="F3" s="82" t="s">
        <v>97</v>
      </c>
      <c r="G3" s="83" t="s">
        <v>5</v>
      </c>
    </row>
    <row r="4" spans="2:7">
      <c r="B4" s="84">
        <v>3.41</v>
      </c>
      <c r="C4" s="85">
        <v>14.520943151562586</v>
      </c>
      <c r="D4" s="89">
        <v>2.56</v>
      </c>
      <c r="E4" s="85">
        <v>8.5541556020114129</v>
      </c>
      <c r="F4" s="84">
        <v>4.0540000000000003</v>
      </c>
      <c r="G4" s="85">
        <v>15.176727680987989</v>
      </c>
    </row>
    <row r="5" spans="2:7">
      <c r="B5" s="84">
        <v>2.83</v>
      </c>
      <c r="C5" s="85">
        <v>11.588141825384918</v>
      </c>
      <c r="D5" s="89">
        <v>2.2999999999999998</v>
      </c>
      <c r="E5" s="85">
        <v>8.648502906445362</v>
      </c>
      <c r="F5" s="84">
        <v>3.605</v>
      </c>
      <c r="G5" s="85">
        <v>12.25204578413093</v>
      </c>
    </row>
    <row r="6" spans="2:7">
      <c r="B6" s="84">
        <v>1.99</v>
      </c>
      <c r="C6" s="85">
        <v>7.4679136208036141</v>
      </c>
      <c r="D6" s="89">
        <v>1.9750000000000001</v>
      </c>
      <c r="E6" s="85">
        <v>6.8985125822672675</v>
      </c>
      <c r="F6" s="84">
        <v>3.94</v>
      </c>
      <c r="G6" s="85">
        <v>12.715636705692642</v>
      </c>
    </row>
    <row r="7" spans="2:7">
      <c r="B7" s="84">
        <v>2.19</v>
      </c>
      <c r="C7" s="85">
        <v>7.7127632477152082</v>
      </c>
      <c r="D7" s="89">
        <v>1.915</v>
      </c>
      <c r="E7" s="85">
        <v>6.7019737622596542</v>
      </c>
      <c r="F7" s="84">
        <v>2.1549999999999998</v>
      </c>
      <c r="G7" s="85">
        <v>7.8413093018437952</v>
      </c>
    </row>
    <row r="8" spans="2:7">
      <c r="B8" s="84">
        <v>2.6</v>
      </c>
      <c r="C8" s="85">
        <v>10.941361816526225</v>
      </c>
      <c r="D8" s="89">
        <v>2.1349999999999998</v>
      </c>
      <c r="E8" s="85">
        <v>7.9742128493326732</v>
      </c>
      <c r="F8" s="84">
        <v>2.23</v>
      </c>
      <c r="G8" s="85">
        <v>7.6129216522755296</v>
      </c>
    </row>
    <row r="9" spans="2:7">
      <c r="B9" s="84">
        <v>1.925</v>
      </c>
      <c r="C9" s="85">
        <v>7.3742720706994946</v>
      </c>
      <c r="D9" s="89">
        <v>2.02</v>
      </c>
      <c r="E9" s="85">
        <v>7.3974616055130147</v>
      </c>
      <c r="F9" s="84">
        <v>3.38</v>
      </c>
      <c r="G9" s="85">
        <v>11.419382478413294</v>
      </c>
    </row>
    <row r="10" spans="2:7" ht="13.5" thickBot="1">
      <c r="B10" s="84">
        <v>2.13</v>
      </c>
      <c r="C10" s="85">
        <v>6.3066830845928648</v>
      </c>
      <c r="D10" s="90">
        <v>2.8149999999999999</v>
      </c>
      <c r="E10" s="87">
        <v>10.692694502514266</v>
      </c>
      <c r="F10" s="84">
        <v>3.07</v>
      </c>
      <c r="G10" s="85">
        <v>11.309580723813164</v>
      </c>
    </row>
    <row r="11" spans="2:7">
      <c r="B11" s="84">
        <v>3.14</v>
      </c>
      <c r="C11" s="85">
        <v>13.83760465031258</v>
      </c>
      <c r="D11" s="81"/>
      <c r="E11" s="81"/>
      <c r="F11" s="84">
        <v>3.62</v>
      </c>
      <c r="G11" s="85">
        <v>12.647273067489992</v>
      </c>
    </row>
    <row r="12" spans="2:7" ht="13.5" thickBot="1">
      <c r="B12" s="86">
        <v>2.7949999999999999</v>
      </c>
      <c r="C12" s="87">
        <v>10.890707363671936</v>
      </c>
      <c r="D12" s="81"/>
      <c r="E12" s="81"/>
      <c r="F12" s="84">
        <v>3.41</v>
      </c>
      <c r="G12" s="85">
        <v>12.996645251674799</v>
      </c>
    </row>
    <row r="13" spans="2:7">
      <c r="B13" s="81"/>
      <c r="C13" s="81"/>
      <c r="D13" s="81"/>
      <c r="E13" s="81"/>
      <c r="F13" s="84">
        <v>3.84</v>
      </c>
      <c r="G13" s="85">
        <v>13.83760465031258</v>
      </c>
    </row>
    <row r="14" spans="2:7">
      <c r="B14" s="81"/>
      <c r="C14" s="81"/>
      <c r="D14" s="81"/>
      <c r="E14" s="81"/>
      <c r="F14" s="84">
        <v>3.7250000000000001</v>
      </c>
      <c r="G14" s="85">
        <v>13.365868128142832</v>
      </c>
    </row>
    <row r="15" spans="2:7">
      <c r="B15" s="81"/>
      <c r="C15" s="81"/>
      <c r="D15" s="81"/>
      <c r="E15" s="81"/>
      <c r="F15" s="84">
        <v>3.9550000000000001</v>
      </c>
      <c r="G15" s="85">
        <v>14.256926003352355</v>
      </c>
    </row>
    <row r="16" spans="2:7">
      <c r="B16" s="81"/>
      <c r="C16" s="81"/>
      <c r="D16" s="81"/>
      <c r="E16" s="81"/>
      <c r="F16" s="84">
        <v>3.83</v>
      </c>
      <c r="G16" s="85">
        <v>12.925235112929331</v>
      </c>
    </row>
    <row r="17" spans="2:7">
      <c r="B17" s="81"/>
      <c r="C17" s="81"/>
      <c r="D17" s="81"/>
      <c r="E17" s="81"/>
      <c r="F17" s="84">
        <v>2.585</v>
      </c>
      <c r="G17" s="85">
        <v>8.8769539266156183</v>
      </c>
    </row>
    <row r="18" spans="2:7">
      <c r="B18" s="81"/>
      <c r="C18" s="81"/>
      <c r="D18" s="81"/>
      <c r="E18" s="81"/>
      <c r="F18" s="84">
        <v>2.91</v>
      </c>
      <c r="G18" s="85">
        <v>10.741519591566844</v>
      </c>
    </row>
    <row r="19" spans="2:7">
      <c r="B19" s="81"/>
      <c r="C19" s="81"/>
      <c r="D19" s="81"/>
      <c r="E19" s="81"/>
      <c r="F19" s="84">
        <v>2.67</v>
      </c>
      <c r="G19" s="85">
        <v>8.5853751480041574</v>
      </c>
    </row>
    <row r="20" spans="2:7">
      <c r="B20" s="81"/>
      <c r="C20" s="81"/>
      <c r="D20" s="81"/>
      <c r="E20" s="81"/>
      <c r="F20" s="84">
        <v>2.67</v>
      </c>
      <c r="G20" s="85">
        <v>8.2830732061730235</v>
      </c>
    </row>
    <row r="21" spans="2:7">
      <c r="B21" s="81"/>
      <c r="C21" s="81"/>
      <c r="D21" s="81"/>
      <c r="E21" s="81"/>
      <c r="F21" s="84">
        <v>2.5950000000000002</v>
      </c>
      <c r="G21" s="85">
        <v>8.1680305227539538</v>
      </c>
    </row>
    <row r="22" spans="2:7">
      <c r="B22" s="81"/>
      <c r="C22" s="81"/>
      <c r="D22" s="81"/>
      <c r="E22" s="81"/>
      <c r="F22" s="84">
        <v>2.7</v>
      </c>
      <c r="G22" s="85">
        <v>8.7775850393773815</v>
      </c>
    </row>
    <row r="23" spans="2:7">
      <c r="B23" s="81"/>
      <c r="C23" s="81"/>
      <c r="D23" s="81"/>
      <c r="E23" s="81"/>
      <c r="F23" s="84">
        <v>2.556</v>
      </c>
      <c r="G23" s="85">
        <v>7.0220680315019059</v>
      </c>
    </row>
    <row r="24" spans="2:7" ht="13.5" thickBot="1">
      <c r="B24" s="81"/>
      <c r="C24" s="81"/>
      <c r="D24" s="81"/>
      <c r="E24" s="81"/>
      <c r="F24" s="86">
        <v>2.2000000000000002</v>
      </c>
      <c r="G24" s="87">
        <v>6.8783414928454345</v>
      </c>
    </row>
    <row r="26" spans="2:7">
      <c r="B26" s="288" t="s">
        <v>74</v>
      </c>
      <c r="C26" s="91">
        <f>CORREL(B4:B12,C4:C12)</f>
        <v>0.97158116232019576</v>
      </c>
      <c r="D26" s="288" t="s">
        <v>75</v>
      </c>
      <c r="E26" s="91">
        <f>CORREL(D4:D10,E4:E10)</f>
        <v>0.95396157038838703</v>
      </c>
      <c r="F26" s="288" t="s">
        <v>98</v>
      </c>
      <c r="G26" s="91">
        <f>CORREL(F4:F24,G4:G24)</f>
        <v>0.96467067174013799</v>
      </c>
    </row>
    <row r="27" spans="2:7">
      <c r="B27" s="288" t="s">
        <v>72</v>
      </c>
      <c r="C27" s="12">
        <f>COUNTA(C4:C12)</f>
        <v>9</v>
      </c>
      <c r="D27" s="288" t="s">
        <v>73</v>
      </c>
      <c r="E27" s="12">
        <f>COUNTA(E4:E10)</f>
        <v>7</v>
      </c>
      <c r="F27" s="288" t="s">
        <v>99</v>
      </c>
      <c r="G27" s="12">
        <f>COUNTA(G4:G24)</f>
        <v>21</v>
      </c>
    </row>
    <row r="29" spans="2:7">
      <c r="B29" s="288" t="s">
        <v>76</v>
      </c>
      <c r="C29" s="91">
        <f>0.5*LN((1+C26)/(1-C26))</f>
        <v>2.1197694482025193</v>
      </c>
      <c r="D29" s="288" t="s">
        <v>77</v>
      </c>
      <c r="E29" s="91">
        <f>0.5*LN((1+E26)/(1-E26))</f>
        <v>1.8740688456024523</v>
      </c>
      <c r="F29" s="288" t="s">
        <v>100</v>
      </c>
      <c r="G29" s="91">
        <f>0.5*LN((1+G26)/(1-G26))</f>
        <v>2.0091832326476702</v>
      </c>
    </row>
    <row r="30" spans="2:7">
      <c r="B30" s="288" t="s">
        <v>101</v>
      </c>
      <c r="C30" s="12">
        <f>C27-3</f>
        <v>6</v>
      </c>
      <c r="D30" s="288" t="s">
        <v>102</v>
      </c>
      <c r="E30" s="12">
        <f>E27-3</f>
        <v>4</v>
      </c>
      <c r="F30" s="288" t="s">
        <v>103</v>
      </c>
      <c r="G30" s="12">
        <f>G27-3</f>
        <v>18</v>
      </c>
    </row>
    <row r="33" spans="3:4">
      <c r="C33" s="14" t="s">
        <v>81</v>
      </c>
      <c r="D33" s="91">
        <f>SUM(C30*C29,E30*E29,G30*G29)^2</f>
        <v>3178.7258536729487</v>
      </c>
    </row>
    <row r="34" spans="3:4">
      <c r="C34" s="14" t="s">
        <v>82</v>
      </c>
      <c r="D34" s="12">
        <f>SUM(C30,E30,G30)</f>
        <v>28</v>
      </c>
    </row>
    <row r="35" spans="3:4">
      <c r="C35" s="14" t="s">
        <v>83</v>
      </c>
      <c r="D35" s="91">
        <f>SUM(C30*C29^2,E30*E29^2,G30*G29^2)</f>
        <v>113.67178195577347</v>
      </c>
    </row>
    <row r="36" spans="3:4">
      <c r="C36" s="45"/>
    </row>
    <row r="37" spans="3:4">
      <c r="C37" s="92" t="s">
        <v>84</v>
      </c>
      <c r="D37" s="21">
        <f>D35-D33/D34</f>
        <v>0.14585861031100933</v>
      </c>
    </row>
    <row r="38" spans="3:4">
      <c r="C38" s="92" t="s">
        <v>104</v>
      </c>
      <c r="D38" s="20">
        <f>3-1</f>
        <v>2</v>
      </c>
    </row>
    <row r="39" spans="3:4">
      <c r="C39" s="45"/>
    </row>
    <row r="40" spans="3:4">
      <c r="C40" s="14" t="s">
        <v>105</v>
      </c>
      <c r="D40" s="91">
        <f>CHIINV(0.05,D38)</f>
        <v>5.9914645471079817</v>
      </c>
    </row>
    <row r="41" spans="3:4">
      <c r="C41" s="45"/>
    </row>
    <row r="42" spans="3:4">
      <c r="C42" s="92" t="s">
        <v>48</v>
      </c>
      <c r="D42" s="21">
        <f>CHIDIST(D37,D38)</f>
        <v>0.92966655033493029</v>
      </c>
    </row>
  </sheetData>
  <mergeCells count="3">
    <mergeCell ref="B2:C2"/>
    <mergeCell ref="D2:E2"/>
    <mergeCell ref="F2:G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7"/>
  <sheetViews>
    <sheetView showGridLines="0" topLeftCell="A7" workbookViewId="0">
      <selection activeCell="E38" sqref="E38"/>
    </sheetView>
  </sheetViews>
  <sheetFormatPr defaultRowHeight="12.75"/>
  <cols>
    <col min="1" max="1" width="11.42578125" customWidth="1"/>
    <col min="2" max="2" width="25.5703125" customWidth="1"/>
    <col min="3" max="4" width="12.42578125" bestFit="1" customWidth="1"/>
    <col min="5" max="7" width="11.42578125" customWidth="1"/>
    <col min="8" max="8" width="11.5703125" customWidth="1"/>
    <col min="9" max="12" width="9.7109375" customWidth="1"/>
    <col min="13" max="256" width="11.42578125" customWidth="1"/>
  </cols>
  <sheetData>
    <row r="1" spans="1:12">
      <c r="A1" s="2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12">
      <c r="A2" s="8">
        <v>1</v>
      </c>
      <c r="B2" s="7" t="s">
        <v>6</v>
      </c>
      <c r="C2" s="3">
        <v>846</v>
      </c>
      <c r="D2" s="3">
        <v>32</v>
      </c>
      <c r="E2" s="3">
        <v>650</v>
      </c>
      <c r="F2" s="4">
        <v>5.7</v>
      </c>
    </row>
    <row r="3" spans="1:12">
      <c r="A3" s="8">
        <v>2</v>
      </c>
      <c r="B3" s="7" t="s">
        <v>7</v>
      </c>
      <c r="C3" s="5">
        <v>993</v>
      </c>
      <c r="D3" s="5">
        <v>39</v>
      </c>
      <c r="E3" s="5">
        <v>790</v>
      </c>
      <c r="F3" s="6">
        <v>5.8</v>
      </c>
    </row>
    <row r="4" spans="1:12">
      <c r="A4" s="8">
        <v>3</v>
      </c>
      <c r="B4" s="7" t="s">
        <v>8</v>
      </c>
      <c r="C4" s="5">
        <v>899</v>
      </c>
      <c r="D4" s="5">
        <v>29</v>
      </c>
      <c r="E4" s="5">
        <v>730</v>
      </c>
      <c r="F4" s="6">
        <v>6.1</v>
      </c>
      <c r="H4" s="300" t="s">
        <v>106</v>
      </c>
      <c r="I4" s="300"/>
      <c r="J4" s="300"/>
      <c r="K4" s="300"/>
      <c r="L4" s="300"/>
    </row>
    <row r="5" spans="1:12">
      <c r="A5" s="8">
        <v>4</v>
      </c>
      <c r="B5" s="7" t="s">
        <v>9</v>
      </c>
      <c r="C5" s="5">
        <v>1390</v>
      </c>
      <c r="D5" s="5">
        <v>44</v>
      </c>
      <c r="E5" s="5">
        <v>955</v>
      </c>
      <c r="F5" s="6">
        <v>6.5</v>
      </c>
      <c r="H5" s="12"/>
      <c r="I5" s="267" t="s">
        <v>2</v>
      </c>
      <c r="J5" s="267" t="s">
        <v>3</v>
      </c>
      <c r="K5" s="267" t="s">
        <v>4</v>
      </c>
      <c r="L5" s="267" t="s">
        <v>5</v>
      </c>
    </row>
    <row r="6" spans="1:12">
      <c r="A6" s="8">
        <v>5</v>
      </c>
      <c r="B6" s="7" t="s">
        <v>10</v>
      </c>
      <c r="C6" s="5">
        <v>1195</v>
      </c>
      <c r="D6" s="5">
        <v>33</v>
      </c>
      <c r="E6" s="5">
        <v>895</v>
      </c>
      <c r="F6" s="6">
        <v>6.8</v>
      </c>
      <c r="H6" s="267" t="s">
        <v>2</v>
      </c>
      <c r="I6" s="5">
        <v>1</v>
      </c>
      <c r="J6" s="91">
        <f>CORREL($C$2:$C$29,D2:D29)</f>
        <v>0.94754909682670629</v>
      </c>
      <c r="K6" s="91">
        <f>CORREL($C$2:$C$29,E2:E29)</f>
        <v>0.86155646273515196</v>
      </c>
      <c r="L6" s="91">
        <f>CORREL($C$2:$C$29,F2:F29)</f>
        <v>0.8918662579043769</v>
      </c>
    </row>
    <row r="7" spans="1:12">
      <c r="A7" s="8">
        <v>6</v>
      </c>
      <c r="B7" s="7" t="s">
        <v>11</v>
      </c>
      <c r="C7" s="5">
        <v>658</v>
      </c>
      <c r="D7" s="5">
        <v>32</v>
      </c>
      <c r="E7" s="5">
        <v>740</v>
      </c>
      <c r="F7" s="6">
        <v>6.8</v>
      </c>
      <c r="H7" s="267" t="s">
        <v>3</v>
      </c>
      <c r="I7" s="91">
        <f>J6</f>
        <v>0.94754909682670629</v>
      </c>
      <c r="J7" s="12">
        <v>1</v>
      </c>
      <c r="K7" s="91">
        <f>CORREL($D$2:$D$29,E2:E29)</f>
        <v>0.84334697347422716</v>
      </c>
      <c r="L7" s="91">
        <f>CORREL($D$2:$D$29,F2:F29)</f>
        <v>0.88780851704807884</v>
      </c>
    </row>
    <row r="8" spans="1:12">
      <c r="A8" s="8">
        <v>7</v>
      </c>
      <c r="B8" s="7" t="s">
        <v>12</v>
      </c>
      <c r="C8" s="5">
        <v>1331</v>
      </c>
      <c r="D8" s="5">
        <v>55</v>
      </c>
      <c r="E8" s="5">
        <v>1010</v>
      </c>
      <c r="F8" s="6">
        <v>7.1</v>
      </c>
      <c r="H8" s="267" t="s">
        <v>4</v>
      </c>
      <c r="I8" s="91">
        <f>K6</f>
        <v>0.86155646273515196</v>
      </c>
      <c r="J8" s="91">
        <f>K7</f>
        <v>0.84334697347422716</v>
      </c>
      <c r="K8" s="12">
        <v>1</v>
      </c>
      <c r="L8" s="91">
        <f>CORREL(E2:E29,F2:F29)</f>
        <v>0.92632639818669704</v>
      </c>
    </row>
    <row r="9" spans="1:12">
      <c r="A9" s="8">
        <v>8</v>
      </c>
      <c r="B9" s="7" t="s">
        <v>13</v>
      </c>
      <c r="C9" s="5">
        <v>1597</v>
      </c>
      <c r="D9" s="5">
        <v>74</v>
      </c>
      <c r="E9" s="5">
        <v>1080</v>
      </c>
      <c r="F9" s="6">
        <v>7.4</v>
      </c>
      <c r="H9" s="267" t="s">
        <v>5</v>
      </c>
      <c r="I9" s="91">
        <f>L6</f>
        <v>0.8918662579043769</v>
      </c>
      <c r="J9" s="91">
        <f>L7</f>
        <v>0.88780851704807884</v>
      </c>
      <c r="K9" s="91">
        <f>L8</f>
        <v>0.92632639818669704</v>
      </c>
      <c r="L9" s="12">
        <v>1</v>
      </c>
    </row>
    <row r="10" spans="1:12">
      <c r="A10" s="8">
        <v>9</v>
      </c>
      <c r="B10" s="7" t="s">
        <v>14</v>
      </c>
      <c r="C10" s="5">
        <v>1761</v>
      </c>
      <c r="D10" s="5">
        <v>74</v>
      </c>
      <c r="E10" s="5">
        <v>1100</v>
      </c>
      <c r="F10" s="6">
        <v>9</v>
      </c>
    </row>
    <row r="11" spans="1:12">
      <c r="A11" s="8">
        <v>10</v>
      </c>
      <c r="B11" s="7" t="s">
        <v>15</v>
      </c>
      <c r="C11" s="5">
        <v>2165</v>
      </c>
      <c r="D11" s="5">
        <v>101</v>
      </c>
      <c r="E11" s="5">
        <v>1500</v>
      </c>
      <c r="F11" s="6">
        <v>11.7</v>
      </c>
    </row>
    <row r="12" spans="1:12">
      <c r="A12" s="8">
        <v>11</v>
      </c>
      <c r="B12" s="7" t="s">
        <v>16</v>
      </c>
      <c r="C12" s="5">
        <v>1983</v>
      </c>
      <c r="D12" s="5">
        <v>85</v>
      </c>
      <c r="E12" s="5">
        <v>1075</v>
      </c>
      <c r="F12" s="6">
        <v>9.5</v>
      </c>
      <c r="H12" s="271" t="s">
        <v>107</v>
      </c>
      <c r="I12" s="262">
        <f>MDETERM(I6:L9)</f>
        <v>2.5825510210572382E-3</v>
      </c>
    </row>
    <row r="13" spans="1:12">
      <c r="A13" s="8">
        <v>12</v>
      </c>
      <c r="B13" s="7" t="s">
        <v>17</v>
      </c>
      <c r="C13" s="5">
        <v>1984</v>
      </c>
      <c r="D13" s="5">
        <v>85</v>
      </c>
      <c r="E13" s="5">
        <v>1155</v>
      </c>
      <c r="F13" s="6">
        <v>9.5</v>
      </c>
    </row>
    <row r="14" spans="1:12">
      <c r="A14" s="8">
        <v>13</v>
      </c>
      <c r="B14" s="7" t="s">
        <v>18</v>
      </c>
      <c r="C14" s="5">
        <v>1998</v>
      </c>
      <c r="D14" s="5">
        <v>89</v>
      </c>
      <c r="E14" s="5">
        <v>1140</v>
      </c>
      <c r="F14" s="6">
        <v>8.8000000000000007</v>
      </c>
      <c r="H14" s="272" t="s">
        <v>108</v>
      </c>
      <c r="I14" s="259">
        <v>4</v>
      </c>
    </row>
    <row r="15" spans="1:12">
      <c r="A15" s="8">
        <v>14</v>
      </c>
      <c r="B15" s="7" t="s">
        <v>19</v>
      </c>
      <c r="C15" s="5">
        <v>1580</v>
      </c>
      <c r="D15" s="5">
        <v>65</v>
      </c>
      <c r="E15" s="5">
        <v>1080</v>
      </c>
      <c r="F15" s="6">
        <v>9.3000000000000007</v>
      </c>
      <c r="H15" s="273" t="s">
        <v>38</v>
      </c>
      <c r="I15" s="261">
        <v>28</v>
      </c>
    </row>
    <row r="16" spans="1:12">
      <c r="A16" s="8">
        <v>15</v>
      </c>
      <c r="B16" s="7" t="s">
        <v>20</v>
      </c>
      <c r="C16" s="5">
        <v>1390</v>
      </c>
      <c r="D16" s="5">
        <v>54</v>
      </c>
      <c r="E16" s="5">
        <v>1110</v>
      </c>
      <c r="F16" s="6">
        <v>8.6</v>
      </c>
    </row>
    <row r="17" spans="1:12">
      <c r="A17" s="8">
        <v>16</v>
      </c>
      <c r="B17" s="7" t="s">
        <v>21</v>
      </c>
      <c r="C17" s="5">
        <v>1396</v>
      </c>
      <c r="D17" s="5">
        <v>66</v>
      </c>
      <c r="E17" s="5">
        <v>1140</v>
      </c>
      <c r="F17" s="6">
        <v>7.7</v>
      </c>
      <c r="H17" s="270" t="s">
        <v>109</v>
      </c>
      <c r="I17" s="268">
        <f>-(I15-1-(2*I14+5)/6)*LN(I12)</f>
        <v>147.98127708419682</v>
      </c>
    </row>
    <row r="18" spans="1:12">
      <c r="A18" s="8">
        <v>17</v>
      </c>
      <c r="B18" s="7" t="s">
        <v>22</v>
      </c>
      <c r="C18" s="5">
        <v>2435</v>
      </c>
      <c r="D18" s="5">
        <v>106</v>
      </c>
      <c r="E18" s="5">
        <v>1370</v>
      </c>
      <c r="F18" s="6">
        <v>10.8</v>
      </c>
      <c r="H18" s="269" t="s">
        <v>104</v>
      </c>
      <c r="I18" s="261">
        <f>I14*(I14-1)/2</f>
        <v>6</v>
      </c>
    </row>
    <row r="19" spans="1:12">
      <c r="A19" s="8">
        <v>18</v>
      </c>
      <c r="B19" s="7" t="s">
        <v>23</v>
      </c>
      <c r="C19" s="5">
        <v>1242</v>
      </c>
      <c r="D19" s="5">
        <v>55</v>
      </c>
      <c r="E19" s="5">
        <v>940</v>
      </c>
      <c r="F19" s="6">
        <v>6.6</v>
      </c>
    </row>
    <row r="20" spans="1:12">
      <c r="A20" s="8">
        <v>19</v>
      </c>
      <c r="B20" s="7" t="s">
        <v>24</v>
      </c>
      <c r="C20" s="5">
        <v>2972</v>
      </c>
      <c r="D20" s="5">
        <v>107</v>
      </c>
      <c r="E20" s="5">
        <v>1400</v>
      </c>
      <c r="F20" s="6">
        <v>11.7</v>
      </c>
      <c r="H20" s="266" t="s">
        <v>48</v>
      </c>
      <c r="I20" s="262">
        <f>CHIDIST(I17,I18)</f>
        <v>2.0669753458830883E-29</v>
      </c>
    </row>
    <row r="21" spans="1:12">
      <c r="A21" s="8">
        <v>20</v>
      </c>
      <c r="B21" s="7" t="s">
        <v>25</v>
      </c>
      <c r="C21" s="5">
        <v>2958</v>
      </c>
      <c r="D21" s="5">
        <v>150</v>
      </c>
      <c r="E21" s="5">
        <v>1550</v>
      </c>
      <c r="F21" s="6">
        <v>11.9</v>
      </c>
    </row>
    <row r="22" spans="1:12">
      <c r="A22" s="8">
        <v>21</v>
      </c>
      <c r="B22" s="7" t="s">
        <v>26</v>
      </c>
      <c r="C22" s="5">
        <v>2497</v>
      </c>
      <c r="D22" s="5">
        <v>122</v>
      </c>
      <c r="E22" s="5">
        <v>1330</v>
      </c>
      <c r="F22" s="6">
        <v>10.8</v>
      </c>
    </row>
    <row r="23" spans="1:12">
      <c r="A23" s="8">
        <v>22</v>
      </c>
      <c r="B23" s="7" t="s">
        <v>27</v>
      </c>
      <c r="C23" s="5">
        <v>1998</v>
      </c>
      <c r="D23" s="5">
        <v>66</v>
      </c>
      <c r="E23" s="5">
        <v>1300</v>
      </c>
      <c r="F23" s="6">
        <v>7.6</v>
      </c>
      <c r="H23" s="300" t="s">
        <v>110</v>
      </c>
      <c r="I23" s="300"/>
      <c r="J23" s="300"/>
      <c r="K23" s="300"/>
      <c r="L23" s="300"/>
    </row>
    <row r="24" spans="1:12">
      <c r="A24" s="8">
        <v>23</v>
      </c>
      <c r="B24" s="7" t="s">
        <v>28</v>
      </c>
      <c r="C24" s="5">
        <v>2496</v>
      </c>
      <c r="D24" s="5">
        <v>125</v>
      </c>
      <c r="E24" s="5">
        <v>1670</v>
      </c>
      <c r="F24" s="6">
        <v>11.3</v>
      </c>
      <c r="H24" s="12"/>
      <c r="I24" s="267" t="s">
        <v>2</v>
      </c>
      <c r="J24" s="267" t="s">
        <v>3</v>
      </c>
      <c r="K24" s="267" t="s">
        <v>4</v>
      </c>
      <c r="L24" s="267" t="s">
        <v>5</v>
      </c>
    </row>
    <row r="25" spans="1:12">
      <c r="A25" s="8">
        <v>24</v>
      </c>
      <c r="B25" s="7" t="s">
        <v>29</v>
      </c>
      <c r="C25" s="5">
        <v>1998</v>
      </c>
      <c r="D25" s="5">
        <v>89</v>
      </c>
      <c r="E25" s="5">
        <v>1560</v>
      </c>
      <c r="F25" s="6">
        <v>10.8</v>
      </c>
      <c r="H25" s="267" t="s">
        <v>2</v>
      </c>
      <c r="I25" s="5"/>
      <c r="J25" s="91">
        <f>0.5*LN((1+J6)/(1-J6))</f>
        <v>1.8072247166065647</v>
      </c>
      <c r="K25" s="91">
        <f>0.5*LN((1+K6)/(1-K6))</f>
        <v>1.2993528276863626</v>
      </c>
      <c r="L25" s="91">
        <f>0.5*LN((1+L6)/(1-L6))</f>
        <v>1.4309751225834664</v>
      </c>
    </row>
    <row r="26" spans="1:12">
      <c r="A26" s="8">
        <v>25</v>
      </c>
      <c r="B26" s="7" t="s">
        <v>30</v>
      </c>
      <c r="C26" s="5">
        <v>1997</v>
      </c>
      <c r="D26" s="5">
        <v>92</v>
      </c>
      <c r="E26" s="5">
        <v>1240</v>
      </c>
      <c r="F26" s="6">
        <v>9.1999999999999993</v>
      </c>
      <c r="H26" s="267" t="s">
        <v>3</v>
      </c>
      <c r="I26" s="91"/>
      <c r="J26" s="12"/>
      <c r="K26" s="91">
        <f>0.5*LN((1+K7)/(1-K7))</f>
        <v>1.2326524340095661</v>
      </c>
      <c r="L26" s="91">
        <f>0.5*LN((1+L7)/(1-L7))</f>
        <v>1.4114824199095184</v>
      </c>
    </row>
    <row r="27" spans="1:12">
      <c r="A27" s="8">
        <v>26</v>
      </c>
      <c r="B27" s="7" t="s">
        <v>31</v>
      </c>
      <c r="C27" s="5">
        <v>1984</v>
      </c>
      <c r="D27" s="5">
        <v>85</v>
      </c>
      <c r="E27" s="5">
        <v>1635</v>
      </c>
      <c r="F27" s="6">
        <v>11.6</v>
      </c>
      <c r="H27" s="267" t="s">
        <v>4</v>
      </c>
      <c r="I27" s="91"/>
      <c r="J27" s="91"/>
      <c r="K27" s="12"/>
      <c r="L27" s="91">
        <f>0.5*LN((1+L8)/(1-L8))</f>
        <v>1.6318627483913359</v>
      </c>
    </row>
    <row r="28" spans="1:12">
      <c r="A28" s="8">
        <v>27</v>
      </c>
      <c r="B28" s="7" t="s">
        <v>32</v>
      </c>
      <c r="C28" s="5">
        <v>2438</v>
      </c>
      <c r="D28" s="5">
        <v>97</v>
      </c>
      <c r="E28" s="5">
        <v>1800</v>
      </c>
      <c r="F28" s="6">
        <v>12.8</v>
      </c>
      <c r="H28" s="267" t="s">
        <v>5</v>
      </c>
      <c r="I28" s="91"/>
      <c r="J28" s="91"/>
      <c r="K28" s="91"/>
      <c r="L28" s="12"/>
    </row>
    <row r="29" spans="1:12">
      <c r="A29" s="8">
        <v>28</v>
      </c>
      <c r="B29" s="7" t="s">
        <v>33</v>
      </c>
      <c r="C29" s="5">
        <v>2473</v>
      </c>
      <c r="D29" s="5">
        <v>125</v>
      </c>
      <c r="E29" s="5">
        <v>1570</v>
      </c>
      <c r="F29" s="6">
        <v>12.7</v>
      </c>
    </row>
    <row r="32" spans="1:12">
      <c r="H32" s="274" t="s">
        <v>111</v>
      </c>
      <c r="I32" s="268">
        <f>(28-3)*SUM(J25^2,K25^2,L25^2,K26^2,L26^2,L27^2)</f>
        <v>329.41898557384133</v>
      </c>
    </row>
    <row r="33" spans="2:9">
      <c r="B33" s="255" t="s">
        <v>112</v>
      </c>
      <c r="H33" s="260" t="s">
        <v>104</v>
      </c>
      <c r="I33" s="261">
        <f>4*3/2</f>
        <v>6</v>
      </c>
    </row>
    <row r="34" spans="2:9">
      <c r="B34" s="255" t="s">
        <v>113</v>
      </c>
    </row>
    <row r="35" spans="2:9">
      <c r="B35" s="256" t="s">
        <v>114</v>
      </c>
      <c r="C35" s="257">
        <f>CORREL(C2:C29,D2:D29)</f>
        <v>0.94754909682670629</v>
      </c>
      <c r="H35" s="256" t="s">
        <v>48</v>
      </c>
      <c r="I35" s="262">
        <f>CHIDIST(I32,I33)</f>
        <v>4.029551970151502E-68</v>
      </c>
    </row>
    <row r="37" spans="2:9">
      <c r="B37" s="258" t="s">
        <v>84</v>
      </c>
      <c r="C37" s="259">
        <f>-0.5*(2*28-5)*LN(1-C35^2)</f>
        <v>58.173303407029792</v>
      </c>
    </row>
    <row r="38" spans="2:9">
      <c r="B38" s="260" t="s">
        <v>104</v>
      </c>
      <c r="C38" s="261">
        <v>1</v>
      </c>
    </row>
    <row r="39" spans="2:9">
      <c r="D39" s="27"/>
    </row>
    <row r="40" spans="2:9">
      <c r="B40" s="256" t="s">
        <v>48</v>
      </c>
      <c r="C40" s="262">
        <f>CHIDIST(C37,C38)</f>
        <v>2.400141576356667E-14</v>
      </c>
    </row>
    <row r="43" spans="2:9">
      <c r="B43" s="263" t="s">
        <v>115</v>
      </c>
    </row>
    <row r="44" spans="2:9">
      <c r="B44" s="264" t="s">
        <v>46</v>
      </c>
      <c r="C44" s="259">
        <f>C35/SQRT((1-C35^2)/(28-2))</f>
        <v>15.117072750563361</v>
      </c>
    </row>
    <row r="45" spans="2:9">
      <c r="B45" s="265" t="s">
        <v>104</v>
      </c>
      <c r="C45" s="261">
        <f>28-2</f>
        <v>26</v>
      </c>
    </row>
    <row r="47" spans="2:9">
      <c r="B47" s="266" t="s">
        <v>48</v>
      </c>
      <c r="C47" s="262">
        <f>TDIST(ABS(C44),C45,2)</f>
        <v>2.1481585871373126E-14</v>
      </c>
    </row>
  </sheetData>
  <mergeCells count="2">
    <mergeCell ref="H4:L4"/>
    <mergeCell ref="H23:L2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T36"/>
  <sheetViews>
    <sheetView showGridLines="0" zoomScale="90" zoomScaleNormal="90" workbookViewId="0">
      <selection activeCell="R42" sqref="R42"/>
    </sheetView>
  </sheetViews>
  <sheetFormatPr defaultRowHeight="12.75"/>
  <cols>
    <col min="1" max="1" width="11.42578125" customWidth="1"/>
    <col min="2" max="2" width="4.28515625" customWidth="1"/>
    <col min="3" max="3" width="20.28515625" bestFit="1" customWidth="1"/>
    <col min="4" max="4" width="11.5703125" customWidth="1"/>
    <col min="5" max="5" width="13.85546875" customWidth="1"/>
    <col min="6" max="7" width="7.5703125" customWidth="1"/>
    <col min="8" max="8" width="3.7109375" customWidth="1"/>
    <col min="9" max="9" width="10.42578125" bestFit="1" customWidth="1"/>
    <col min="10" max="10" width="9.28515625" bestFit="1" customWidth="1"/>
    <col min="11" max="11" width="10.42578125" bestFit="1" customWidth="1"/>
    <col min="12" max="13" width="8.5703125" customWidth="1"/>
    <col min="14" max="15" width="11.42578125" customWidth="1"/>
    <col min="16" max="16" width="15.28515625" bestFit="1" customWidth="1"/>
    <col min="17" max="256" width="11.42578125" customWidth="1"/>
  </cols>
  <sheetData>
    <row r="2" spans="2:20">
      <c r="B2" s="310" t="s">
        <v>116</v>
      </c>
      <c r="C2" s="310"/>
      <c r="D2" s="310"/>
      <c r="E2" s="310"/>
      <c r="F2" s="310"/>
      <c r="G2" s="310"/>
    </row>
    <row r="3" spans="2:20">
      <c r="B3" s="2" t="s">
        <v>0</v>
      </c>
      <c r="C3" s="275" t="s">
        <v>1</v>
      </c>
      <c r="D3" s="9" t="s">
        <v>2</v>
      </c>
      <c r="E3" s="9" t="s">
        <v>3</v>
      </c>
      <c r="F3" s="9" t="s">
        <v>4</v>
      </c>
      <c r="G3" s="10" t="s">
        <v>5</v>
      </c>
      <c r="I3" s="276" t="s">
        <v>117</v>
      </c>
      <c r="J3" s="9" t="s">
        <v>2</v>
      </c>
      <c r="K3" s="9" t="s">
        <v>3</v>
      </c>
      <c r="L3" s="9" t="s">
        <v>4</v>
      </c>
      <c r="M3" s="10" t="s">
        <v>5</v>
      </c>
      <c r="P3" s="276" t="s">
        <v>118</v>
      </c>
      <c r="Q3" s="9" t="s">
        <v>2</v>
      </c>
      <c r="R3" s="9" t="s">
        <v>3</v>
      </c>
      <c r="S3" s="9" t="s">
        <v>4</v>
      </c>
      <c r="T3" s="10" t="s">
        <v>5</v>
      </c>
    </row>
    <row r="4" spans="2:20">
      <c r="B4" s="8">
        <v>1</v>
      </c>
      <c r="C4" s="7" t="s">
        <v>6</v>
      </c>
      <c r="D4" s="3">
        <v>846</v>
      </c>
      <c r="E4" s="3">
        <v>32</v>
      </c>
      <c r="F4" s="3">
        <v>650</v>
      </c>
      <c r="G4" s="4">
        <v>5.7</v>
      </c>
      <c r="I4" s="9" t="s">
        <v>2</v>
      </c>
      <c r="J4" s="93">
        <v>1</v>
      </c>
      <c r="K4" s="91">
        <f>CORREL($D$4:$D$13,E4:E13)</f>
        <v>0.94217929996763428</v>
      </c>
      <c r="L4" s="91">
        <f>CORREL($D$4:$D$13,F4:F13)</f>
        <v>0.87811895141088825</v>
      </c>
      <c r="M4" s="91">
        <f>CORREL($D$4:$D$13,G4:G13)</f>
        <v>0.90201670253448973</v>
      </c>
      <c r="P4" s="9" t="s">
        <v>2</v>
      </c>
      <c r="Q4" s="91"/>
      <c r="R4" s="91">
        <f t="shared" ref="R4:T7" si="0">0.5*LN((1+K4)/(1-K4))</f>
        <v>1.7571095642289514</v>
      </c>
      <c r="S4" s="91">
        <f t="shared" si="0"/>
        <v>1.3674902198180692</v>
      </c>
      <c r="T4" s="91">
        <f t="shared" si="0"/>
        <v>1.4829364972555077</v>
      </c>
    </row>
    <row r="5" spans="2:20">
      <c r="B5" s="8">
        <v>2</v>
      </c>
      <c r="C5" s="7" t="s">
        <v>7</v>
      </c>
      <c r="D5" s="5">
        <v>993</v>
      </c>
      <c r="E5" s="5">
        <v>39</v>
      </c>
      <c r="F5" s="5">
        <v>790</v>
      </c>
      <c r="G5" s="6">
        <v>5.8</v>
      </c>
      <c r="I5" s="9" t="s">
        <v>3</v>
      </c>
      <c r="J5" s="91">
        <f>K4</f>
        <v>0.94217929996763428</v>
      </c>
      <c r="K5" s="93">
        <v>1</v>
      </c>
      <c r="L5" s="91">
        <f>CORREL($E$4:$E$13,F4:F13)</f>
        <v>0.83601590982231744</v>
      </c>
      <c r="M5" s="91">
        <f>CORREL($E$4:$E$13,G4:G13)</f>
        <v>0.89963073313453124</v>
      </c>
      <c r="P5" s="9" t="s">
        <v>3</v>
      </c>
      <c r="Q5" s="91">
        <f t="shared" ref="Q5:R7" si="1">0.5*LN((1+J5)/(1-J5))</f>
        <v>1.7571095642289514</v>
      </c>
      <c r="R5" s="91"/>
      <c r="S5" s="91">
        <f t="shared" si="0"/>
        <v>1.2077919123084158</v>
      </c>
      <c r="T5" s="91">
        <f t="shared" si="0"/>
        <v>1.4702793709022026</v>
      </c>
    </row>
    <row r="6" spans="2:20">
      <c r="B6" s="8">
        <v>6</v>
      </c>
      <c r="C6" s="7" t="s">
        <v>11</v>
      </c>
      <c r="D6" s="5">
        <v>658</v>
      </c>
      <c r="E6" s="5">
        <v>32</v>
      </c>
      <c r="F6" s="5">
        <v>740</v>
      </c>
      <c r="G6" s="6">
        <v>6.8</v>
      </c>
      <c r="I6" s="9" t="s">
        <v>4</v>
      </c>
      <c r="J6" s="91">
        <f>L4</f>
        <v>0.87811895141088825</v>
      </c>
      <c r="K6" s="91">
        <f>L5</f>
        <v>0.83601590982231744</v>
      </c>
      <c r="L6" s="93">
        <v>1</v>
      </c>
      <c r="M6" s="91">
        <f>CORREL(F4:F13,G4:G13)</f>
        <v>0.91345984958565385</v>
      </c>
      <c r="P6" s="9" t="s">
        <v>4</v>
      </c>
      <c r="Q6" s="91">
        <f t="shared" si="1"/>
        <v>1.3674902198180692</v>
      </c>
      <c r="R6" s="91">
        <f t="shared" si="1"/>
        <v>1.2077919123084158</v>
      </c>
      <c r="S6" s="91"/>
      <c r="T6" s="91">
        <f t="shared" si="0"/>
        <v>1.5480299245253011</v>
      </c>
    </row>
    <row r="7" spans="2:20">
      <c r="B7" s="8">
        <v>7</v>
      </c>
      <c r="C7" s="7" t="s">
        <v>12</v>
      </c>
      <c r="D7" s="5">
        <v>1331</v>
      </c>
      <c r="E7" s="5">
        <v>55</v>
      </c>
      <c r="F7" s="5">
        <v>1010</v>
      </c>
      <c r="G7" s="6">
        <v>7.1</v>
      </c>
      <c r="I7" s="10" t="s">
        <v>5</v>
      </c>
      <c r="J7" s="91">
        <f>M4</f>
        <v>0.90201670253448973</v>
      </c>
      <c r="K7" s="91">
        <f>M5</f>
        <v>0.89963073313453124</v>
      </c>
      <c r="L7" s="91">
        <f>M6</f>
        <v>0.91345984958565385</v>
      </c>
      <c r="M7" s="93">
        <v>1</v>
      </c>
      <c r="P7" s="10" t="s">
        <v>5</v>
      </c>
      <c r="Q7" s="91">
        <f t="shared" si="1"/>
        <v>1.4829364972555077</v>
      </c>
      <c r="R7" s="91">
        <f t="shared" si="1"/>
        <v>1.4702793709022026</v>
      </c>
      <c r="S7" s="91">
        <f t="shared" si="0"/>
        <v>1.5480299245253011</v>
      </c>
      <c r="T7" s="91"/>
    </row>
    <row r="8" spans="2:20">
      <c r="B8" s="8">
        <v>16</v>
      </c>
      <c r="C8" s="7" t="s">
        <v>21</v>
      </c>
      <c r="D8" s="5">
        <v>1396</v>
      </c>
      <c r="E8" s="5">
        <v>66</v>
      </c>
      <c r="F8" s="5">
        <v>1140</v>
      </c>
      <c r="G8" s="6">
        <v>7.7</v>
      </c>
    </row>
    <row r="9" spans="2:20">
      <c r="B9" s="8">
        <v>19</v>
      </c>
      <c r="C9" s="7" t="s">
        <v>24</v>
      </c>
      <c r="D9" s="5">
        <v>2972</v>
      </c>
      <c r="E9" s="5">
        <v>107</v>
      </c>
      <c r="F9" s="5">
        <v>1400</v>
      </c>
      <c r="G9" s="6">
        <v>11.7</v>
      </c>
    </row>
    <row r="10" spans="2:20">
      <c r="B10" s="8">
        <v>21</v>
      </c>
      <c r="C10" s="7" t="s">
        <v>26</v>
      </c>
      <c r="D10" s="5">
        <v>2497</v>
      </c>
      <c r="E10" s="5">
        <v>122</v>
      </c>
      <c r="F10" s="5">
        <v>1330</v>
      </c>
      <c r="G10" s="6">
        <v>10.8</v>
      </c>
      <c r="P10" s="277" t="s">
        <v>119</v>
      </c>
      <c r="Q10" s="9" t="s">
        <v>2</v>
      </c>
      <c r="R10" s="9" t="s">
        <v>3</v>
      </c>
      <c r="S10" s="9" t="s">
        <v>4</v>
      </c>
      <c r="T10" s="10" t="s">
        <v>5</v>
      </c>
    </row>
    <row r="11" spans="2:20">
      <c r="B11" s="8">
        <v>22</v>
      </c>
      <c r="C11" s="7" t="s">
        <v>27</v>
      </c>
      <c r="D11" s="5">
        <v>1998</v>
      </c>
      <c r="E11" s="5">
        <v>66</v>
      </c>
      <c r="F11" s="5">
        <v>1300</v>
      </c>
      <c r="G11" s="6">
        <v>7.6</v>
      </c>
      <c r="P11" s="9" t="s">
        <v>2</v>
      </c>
      <c r="Q11" s="91"/>
      <c r="R11" s="91">
        <f>0.5*LN((1+K17)/(1-K17))</f>
        <v>2.3846121323900427</v>
      </c>
      <c r="S11" s="91">
        <f>0.5*LN((1+L17)/(1-L17))</f>
        <v>1.2521366236594687</v>
      </c>
      <c r="T11" s="91">
        <f>0.5*LN((1+M17)/(1-M17))</f>
        <v>1.4281131836784275</v>
      </c>
    </row>
    <row r="12" spans="2:20">
      <c r="B12" s="8">
        <v>25</v>
      </c>
      <c r="C12" s="7" t="s">
        <v>30</v>
      </c>
      <c r="D12" s="5">
        <v>1997</v>
      </c>
      <c r="E12" s="5">
        <v>92</v>
      </c>
      <c r="F12" s="5">
        <v>1240</v>
      </c>
      <c r="G12" s="6">
        <v>9.1999999999999993</v>
      </c>
      <c r="P12" s="9" t="s">
        <v>3</v>
      </c>
      <c r="Q12" s="91">
        <f>0.5*LN((1+J18)/(1-J18))</f>
        <v>2.3846121323900427</v>
      </c>
      <c r="R12" s="91"/>
      <c r="S12" s="91">
        <f>0.5*LN((1+L18)/(1-L18))</f>
        <v>1.2540070919162849</v>
      </c>
      <c r="T12" s="91">
        <f>0.5*LN((1+M18)/(1-M18))</f>
        <v>1.3801346311032054</v>
      </c>
    </row>
    <row r="13" spans="2:20">
      <c r="B13" s="8">
        <v>27</v>
      </c>
      <c r="C13" s="7" t="s">
        <v>32</v>
      </c>
      <c r="D13" s="5">
        <v>2438</v>
      </c>
      <c r="E13" s="5">
        <v>97</v>
      </c>
      <c r="F13" s="5">
        <v>1800</v>
      </c>
      <c r="G13" s="6">
        <v>12.8</v>
      </c>
      <c r="P13" s="9" t="s">
        <v>4</v>
      </c>
      <c r="Q13" s="91">
        <f>0.5*LN((1+J19)/(1-J19))</f>
        <v>1.2521366236594687</v>
      </c>
      <c r="R13" s="91">
        <f>0.5*LN((1+K19)/(1-K19))</f>
        <v>1.2540070919162849</v>
      </c>
      <c r="S13" s="91"/>
      <c r="T13" s="91">
        <f>0.5*LN((1+M19)/(1-M19))</f>
        <v>1.6956906138950487</v>
      </c>
    </row>
    <row r="14" spans="2:20">
      <c r="P14" s="10" t="s">
        <v>5</v>
      </c>
      <c r="Q14" s="91">
        <f>0.5*LN((1+J20)/(1-J20))</f>
        <v>1.4281131836784275</v>
      </c>
      <c r="R14" s="91">
        <f>0.5*LN((1+K20)/(1-K20))</f>
        <v>1.3801346311032054</v>
      </c>
      <c r="S14" s="91">
        <f>0.5*LN((1+L20)/(1-L20))</f>
        <v>1.6956906138950487</v>
      </c>
      <c r="T14" s="91"/>
    </row>
    <row r="15" spans="2:20">
      <c r="B15" s="311" t="s">
        <v>120</v>
      </c>
      <c r="C15" s="311"/>
      <c r="D15" s="311"/>
      <c r="E15" s="311"/>
      <c r="F15" s="311"/>
      <c r="G15" s="311"/>
    </row>
    <row r="16" spans="2:20">
      <c r="B16" s="2" t="s">
        <v>0</v>
      </c>
      <c r="C16" s="275" t="s">
        <v>1</v>
      </c>
      <c r="D16" s="9" t="s">
        <v>2</v>
      </c>
      <c r="E16" s="9" t="s">
        <v>3</v>
      </c>
      <c r="F16" s="9" t="s">
        <v>4</v>
      </c>
      <c r="G16" s="10" t="s">
        <v>5</v>
      </c>
      <c r="I16" s="277" t="s">
        <v>121</v>
      </c>
      <c r="J16" s="9" t="s">
        <v>2</v>
      </c>
      <c r="K16" s="9" t="s">
        <v>3</v>
      </c>
      <c r="L16" s="9" t="s">
        <v>4</v>
      </c>
      <c r="M16" s="10" t="s">
        <v>5</v>
      </c>
    </row>
    <row r="17" spans="2:20">
      <c r="B17" s="8">
        <v>3</v>
      </c>
      <c r="C17" s="7" t="s">
        <v>8</v>
      </c>
      <c r="D17" s="5">
        <v>899</v>
      </c>
      <c r="E17" s="5">
        <v>29</v>
      </c>
      <c r="F17" s="5">
        <v>730</v>
      </c>
      <c r="G17" s="6">
        <v>6.1</v>
      </c>
      <c r="I17" s="9" t="s">
        <v>2</v>
      </c>
      <c r="J17" s="93">
        <v>1</v>
      </c>
      <c r="K17" s="91">
        <f>CORREL($D$17:$D$34,E17:E34)</f>
        <v>0.98316892222120589</v>
      </c>
      <c r="L17" s="91">
        <f>CORREL($D$17:$D$34,F17:F34)</f>
        <v>0.84888169613036435</v>
      </c>
      <c r="M17" s="91">
        <f>CORREL($D$17:$D$34,G17:G34)</f>
        <v>0.89127928132496748</v>
      </c>
      <c r="P17" s="277" t="s">
        <v>122</v>
      </c>
      <c r="Q17" s="9" t="s">
        <v>2</v>
      </c>
      <c r="R17" s="9" t="s">
        <v>3</v>
      </c>
      <c r="S17" s="9" t="s">
        <v>4</v>
      </c>
      <c r="T17" s="10" t="s">
        <v>5</v>
      </c>
    </row>
    <row r="18" spans="2:20">
      <c r="B18" s="8">
        <v>4</v>
      </c>
      <c r="C18" s="7" t="s">
        <v>9</v>
      </c>
      <c r="D18" s="5">
        <v>1390</v>
      </c>
      <c r="E18" s="5">
        <v>44</v>
      </c>
      <c r="F18" s="5">
        <v>955</v>
      </c>
      <c r="G18" s="6">
        <v>6.5</v>
      </c>
      <c r="I18" s="9" t="s">
        <v>3</v>
      </c>
      <c r="J18" s="91">
        <f>K17</f>
        <v>0.98316892222120589</v>
      </c>
      <c r="K18" s="93">
        <v>1</v>
      </c>
      <c r="L18" s="91">
        <f>CORREL($E$17:$E$34,F17:F34)</f>
        <v>0.84940347561738183</v>
      </c>
      <c r="M18" s="91">
        <f>CORREL($E$17:$E$34,G17:G34)</f>
        <v>0.88098141172305588</v>
      </c>
      <c r="P18" s="9" t="s">
        <v>2</v>
      </c>
      <c r="Q18" s="91"/>
      <c r="R18" s="91">
        <f>(R4-R11)^2</f>
        <v>0.39375947304876502</v>
      </c>
      <c r="S18" s="91">
        <f t="shared" ref="S18:T20" si="2">(S4-S11)^2</f>
        <v>1.3306452146721498E-2</v>
      </c>
      <c r="T18" s="91">
        <f t="shared" si="2"/>
        <v>3.0055957115708602E-3</v>
      </c>
    </row>
    <row r="19" spans="2:20">
      <c r="B19" s="8">
        <v>5</v>
      </c>
      <c r="C19" s="7" t="s">
        <v>10</v>
      </c>
      <c r="D19" s="5">
        <v>1195</v>
      </c>
      <c r="E19" s="5">
        <v>33</v>
      </c>
      <c r="F19" s="5">
        <v>895</v>
      </c>
      <c r="G19" s="6">
        <v>6.8</v>
      </c>
      <c r="I19" s="9" t="s">
        <v>4</v>
      </c>
      <c r="J19" s="91">
        <f>L17</f>
        <v>0.84888169613036435</v>
      </c>
      <c r="K19" s="91">
        <f>L18</f>
        <v>0.84940347561738183</v>
      </c>
      <c r="L19" s="93">
        <v>1</v>
      </c>
      <c r="M19" s="91">
        <f>CORREL(F17:F34,G17:G34)</f>
        <v>0.93486817779194142</v>
      </c>
      <c r="P19" s="9" t="s">
        <v>3</v>
      </c>
      <c r="Q19" s="91">
        <f>R18</f>
        <v>0.39375947304876502</v>
      </c>
      <c r="R19" s="91"/>
      <c r="S19" s="91">
        <f t="shared" si="2"/>
        <v>2.1358428261876033E-3</v>
      </c>
      <c r="T19" s="91">
        <f t="shared" si="2"/>
        <v>8.1260741134289056E-3</v>
      </c>
    </row>
    <row r="20" spans="2:20">
      <c r="B20" s="8">
        <v>8</v>
      </c>
      <c r="C20" s="7" t="s">
        <v>13</v>
      </c>
      <c r="D20" s="5">
        <v>1597</v>
      </c>
      <c r="E20" s="5">
        <v>74</v>
      </c>
      <c r="F20" s="5">
        <v>1080</v>
      </c>
      <c r="G20" s="6">
        <v>7.4</v>
      </c>
      <c r="I20" s="10" t="s">
        <v>5</v>
      </c>
      <c r="J20" s="91">
        <f>M17</f>
        <v>0.89127928132496748</v>
      </c>
      <c r="K20" s="91">
        <f>M18</f>
        <v>0.88098141172305588</v>
      </c>
      <c r="L20" s="91">
        <f>M19</f>
        <v>0.93486817779194142</v>
      </c>
      <c r="M20" s="93">
        <v>1</v>
      </c>
      <c r="P20" s="9" t="s">
        <v>4</v>
      </c>
      <c r="Q20" s="91">
        <f>S18</f>
        <v>1.3306452146721498E-2</v>
      </c>
      <c r="R20" s="91">
        <f>S19</f>
        <v>2.1358428261876033E-3</v>
      </c>
      <c r="S20" s="91"/>
      <c r="T20" s="91">
        <f t="shared" si="2"/>
        <v>2.18036791851491E-2</v>
      </c>
    </row>
    <row r="21" spans="2:20">
      <c r="B21" s="8">
        <v>9</v>
      </c>
      <c r="C21" s="7" t="s">
        <v>14</v>
      </c>
      <c r="D21" s="5">
        <v>1761</v>
      </c>
      <c r="E21" s="5">
        <v>74</v>
      </c>
      <c r="F21" s="5">
        <v>1100</v>
      </c>
      <c r="G21" s="6">
        <v>9</v>
      </c>
      <c r="P21" s="10" t="s">
        <v>5</v>
      </c>
      <c r="Q21" s="91">
        <f>T18</f>
        <v>3.0055957115708602E-3</v>
      </c>
      <c r="R21" s="91">
        <f>T19</f>
        <v>8.1260741134289056E-3</v>
      </c>
      <c r="S21" s="91">
        <f>T20</f>
        <v>2.18036791851491E-2</v>
      </c>
      <c r="T21" s="91"/>
    </row>
    <row r="22" spans="2:20">
      <c r="B22" s="8">
        <v>10</v>
      </c>
      <c r="C22" s="7" t="s">
        <v>15</v>
      </c>
      <c r="D22" s="5">
        <v>2165</v>
      </c>
      <c r="E22" s="5">
        <v>101</v>
      </c>
      <c r="F22" s="5">
        <v>1500</v>
      </c>
      <c r="G22" s="6">
        <v>11.7</v>
      </c>
    </row>
    <row r="23" spans="2:20">
      <c r="B23" s="8">
        <v>11</v>
      </c>
      <c r="C23" s="7" t="s">
        <v>16</v>
      </c>
      <c r="D23" s="5">
        <v>1983</v>
      </c>
      <c r="E23" s="5">
        <v>85</v>
      </c>
      <c r="F23" s="5">
        <v>1075</v>
      </c>
      <c r="G23" s="6">
        <v>9.5</v>
      </c>
    </row>
    <row r="24" spans="2:20">
      <c r="B24" s="8">
        <v>12</v>
      </c>
      <c r="C24" s="7" t="s">
        <v>17</v>
      </c>
      <c r="D24" s="5">
        <v>1984</v>
      </c>
      <c r="E24" s="5">
        <v>85</v>
      </c>
      <c r="F24" s="5">
        <v>1155</v>
      </c>
      <c r="G24" s="6">
        <v>9.5</v>
      </c>
      <c r="P24" s="266" t="s">
        <v>123</v>
      </c>
      <c r="Q24" s="257">
        <f>(R18+S18+T18+S19+T19+T20)</f>
        <v>0.44213711703182301</v>
      </c>
    </row>
    <row r="25" spans="2:20">
      <c r="B25" s="8">
        <v>13</v>
      </c>
      <c r="C25" s="7" t="s">
        <v>18</v>
      </c>
      <c r="D25" s="5">
        <v>1998</v>
      </c>
      <c r="E25" s="5">
        <v>89</v>
      </c>
      <c r="F25" s="5">
        <v>1140</v>
      </c>
      <c r="G25" s="6">
        <v>8.8000000000000007</v>
      </c>
    </row>
    <row r="26" spans="2:20">
      <c r="B26" s="8">
        <v>14</v>
      </c>
      <c r="C26" s="7" t="s">
        <v>19</v>
      </c>
      <c r="D26" s="5">
        <v>1580</v>
      </c>
      <c r="E26" s="5">
        <v>65</v>
      </c>
      <c r="F26" s="5">
        <v>1080</v>
      </c>
      <c r="G26" s="6">
        <v>9.3000000000000007</v>
      </c>
      <c r="P26" s="264" t="s">
        <v>72</v>
      </c>
      <c r="Q26" s="259">
        <f>COUNTA(B4:B13)</f>
        <v>10</v>
      </c>
    </row>
    <row r="27" spans="2:20">
      <c r="B27" s="8">
        <v>15</v>
      </c>
      <c r="C27" s="7" t="s">
        <v>20</v>
      </c>
      <c r="D27" s="5">
        <v>1390</v>
      </c>
      <c r="E27" s="5">
        <v>54</v>
      </c>
      <c r="F27" s="5">
        <v>1110</v>
      </c>
      <c r="G27" s="6">
        <v>8.6</v>
      </c>
      <c r="P27" s="265" t="s">
        <v>73</v>
      </c>
      <c r="Q27" s="261">
        <f>COUNTA(B17:B34)</f>
        <v>18</v>
      </c>
    </row>
    <row r="28" spans="2:20">
      <c r="B28" s="8">
        <v>17</v>
      </c>
      <c r="C28" s="7" t="s">
        <v>22</v>
      </c>
      <c r="D28" s="5">
        <v>2435</v>
      </c>
      <c r="E28" s="5">
        <v>106</v>
      </c>
      <c r="F28" s="5">
        <v>1370</v>
      </c>
      <c r="G28" s="6">
        <v>10.8</v>
      </c>
    </row>
    <row r="29" spans="2:20">
      <c r="B29" s="8">
        <v>18</v>
      </c>
      <c r="C29" s="7" t="s">
        <v>23</v>
      </c>
      <c r="D29" s="5">
        <v>1242</v>
      </c>
      <c r="E29" s="5">
        <v>55</v>
      </c>
      <c r="F29" s="5">
        <v>940</v>
      </c>
      <c r="G29" s="6">
        <v>6.6</v>
      </c>
      <c r="P29" s="266" t="s">
        <v>124</v>
      </c>
      <c r="Q29" s="257">
        <f>(Q26*Q27)/(Q26+Q27)</f>
        <v>6.4285714285714288</v>
      </c>
    </row>
    <row r="30" spans="2:20">
      <c r="B30" s="8">
        <v>20</v>
      </c>
      <c r="C30" s="7" t="s">
        <v>25</v>
      </c>
      <c r="D30" s="5">
        <v>2958</v>
      </c>
      <c r="E30" s="5">
        <v>150</v>
      </c>
      <c r="F30" s="5">
        <v>1550</v>
      </c>
      <c r="G30" s="6">
        <v>11.9</v>
      </c>
    </row>
    <row r="31" spans="2:20">
      <c r="B31" s="8">
        <v>23</v>
      </c>
      <c r="C31" s="7" t="s">
        <v>28</v>
      </c>
      <c r="D31" s="5">
        <v>2496</v>
      </c>
      <c r="E31" s="5">
        <v>125</v>
      </c>
      <c r="F31" s="5">
        <v>1670</v>
      </c>
      <c r="G31" s="6">
        <v>11.3</v>
      </c>
    </row>
    <row r="32" spans="2:20">
      <c r="B32" s="8">
        <v>24</v>
      </c>
      <c r="C32" s="7" t="s">
        <v>29</v>
      </c>
      <c r="D32" s="5">
        <v>1998</v>
      </c>
      <c r="E32" s="5">
        <v>89</v>
      </c>
      <c r="F32" s="5">
        <v>1560</v>
      </c>
      <c r="G32" s="6">
        <v>10.8</v>
      </c>
      <c r="P32" s="266" t="s">
        <v>109</v>
      </c>
      <c r="Q32" s="257">
        <f>(Q29-3)*Q24</f>
        <v>1.5158986869662505</v>
      </c>
    </row>
    <row r="33" spans="2:17">
      <c r="B33" s="8">
        <v>26</v>
      </c>
      <c r="C33" s="7" t="s">
        <v>31</v>
      </c>
      <c r="D33" s="5">
        <v>1984</v>
      </c>
      <c r="E33" s="5">
        <v>85</v>
      </c>
      <c r="F33" s="5">
        <v>1635</v>
      </c>
      <c r="G33" s="6">
        <v>11.6</v>
      </c>
    </row>
    <row r="34" spans="2:17">
      <c r="B34" s="8">
        <v>28</v>
      </c>
      <c r="C34" s="7" t="s">
        <v>33</v>
      </c>
      <c r="D34" s="5">
        <v>2473</v>
      </c>
      <c r="E34" s="5">
        <v>125</v>
      </c>
      <c r="F34" s="5">
        <v>1570</v>
      </c>
      <c r="G34" s="6">
        <v>12.7</v>
      </c>
      <c r="P34" s="266" t="s">
        <v>104</v>
      </c>
      <c r="Q34" s="262">
        <f>4*3/2</f>
        <v>6</v>
      </c>
    </row>
    <row r="36" spans="2:17">
      <c r="P36" s="266" t="s">
        <v>48</v>
      </c>
      <c r="Q36" s="257">
        <f>CHIDIST(Q32,Q34)</f>
        <v>0.95843147806745566</v>
      </c>
    </row>
  </sheetData>
  <mergeCells count="2">
    <mergeCell ref="B2:G2"/>
    <mergeCell ref="B15:G1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1"/>
  <sheetViews>
    <sheetView showGridLines="0" topLeftCell="B1" zoomScaleNormal="100" workbookViewId="0">
      <selection activeCell="L41" sqref="L41"/>
    </sheetView>
  </sheetViews>
  <sheetFormatPr defaultRowHeight="12.75"/>
  <cols>
    <col min="1" max="1" width="4.28515625" customWidth="1"/>
    <col min="2" max="2" width="20.28515625" bestFit="1" customWidth="1"/>
    <col min="3" max="7" width="11.42578125" customWidth="1"/>
    <col min="8" max="8" width="10.42578125" style="280" bestFit="1" customWidth="1"/>
    <col min="9" max="12" width="11.42578125" customWidth="1"/>
    <col min="13" max="13" width="3.7109375" customWidth="1"/>
    <col min="14" max="14" width="10.42578125" bestFit="1" customWidth="1"/>
    <col min="15" max="256" width="11.42578125" customWidth="1"/>
  </cols>
  <sheetData>
    <row r="1" spans="1:18">
      <c r="A1" s="310" t="s">
        <v>116</v>
      </c>
      <c r="B1" s="310"/>
      <c r="C1" s="310"/>
      <c r="D1" s="310"/>
      <c r="E1" s="310"/>
      <c r="F1" s="310"/>
    </row>
    <row r="2" spans="1:18">
      <c r="A2" s="2" t="s">
        <v>0</v>
      </c>
      <c r="B2" s="275" t="s">
        <v>1</v>
      </c>
      <c r="C2" s="9" t="s">
        <v>2</v>
      </c>
      <c r="D2" s="9" t="s">
        <v>3</v>
      </c>
      <c r="E2" s="9" t="s">
        <v>4</v>
      </c>
      <c r="F2" s="10" t="s">
        <v>5</v>
      </c>
      <c r="H2" s="281" t="s">
        <v>117</v>
      </c>
      <c r="I2" s="9" t="s">
        <v>2</v>
      </c>
      <c r="J2" s="9" t="s">
        <v>3</v>
      </c>
      <c r="K2" s="9" t="s">
        <v>4</v>
      </c>
      <c r="L2" s="10" t="s">
        <v>5</v>
      </c>
      <c r="N2" s="277" t="s">
        <v>121</v>
      </c>
      <c r="O2" s="9" t="s">
        <v>2</v>
      </c>
      <c r="P2" s="9" t="s">
        <v>3</v>
      </c>
      <c r="Q2" s="9" t="s">
        <v>4</v>
      </c>
      <c r="R2" s="10" t="s">
        <v>5</v>
      </c>
    </row>
    <row r="3" spans="1:18">
      <c r="A3" s="8">
        <v>1</v>
      </c>
      <c r="B3" s="7" t="s">
        <v>6</v>
      </c>
      <c r="C3" s="3">
        <v>846</v>
      </c>
      <c r="D3" s="3">
        <v>32</v>
      </c>
      <c r="E3" s="3">
        <v>650</v>
      </c>
      <c r="F3" s="4">
        <v>5.7</v>
      </c>
      <c r="H3" s="282" t="s">
        <v>2</v>
      </c>
      <c r="I3" s="93">
        <v>1</v>
      </c>
      <c r="J3" s="91">
        <f>CORREL($C$3:$C$12,D3:D12)</f>
        <v>0.94217929996763428</v>
      </c>
      <c r="K3" s="91">
        <f>CORREL($C$3:$C$12,E3:E12)</f>
        <v>0.87811895141088825</v>
      </c>
      <c r="L3" s="91">
        <f>CORREL($C$3:$C$12,F3:F12)</f>
        <v>0.90201670253448973</v>
      </c>
      <c r="N3" s="9" t="s">
        <v>2</v>
      </c>
      <c r="O3" s="93">
        <v>1</v>
      </c>
      <c r="P3" s="91">
        <f>CORREL($C$16:$C$33,D16:D33)</f>
        <v>0.98316892222120589</v>
      </c>
      <c r="Q3" s="91">
        <f>CORREL($C$16:$C$33,E16:E33)</f>
        <v>0.84888169613036435</v>
      </c>
      <c r="R3" s="91">
        <f>CORREL($C$16:$C$33,F16:F33)</f>
        <v>0.89127928132496748</v>
      </c>
    </row>
    <row r="4" spans="1:18">
      <c r="A4" s="8">
        <v>2</v>
      </c>
      <c r="B4" s="7" t="s">
        <v>7</v>
      </c>
      <c r="C4" s="5">
        <v>993</v>
      </c>
      <c r="D4" s="5">
        <v>39</v>
      </c>
      <c r="E4" s="5">
        <v>790</v>
      </c>
      <c r="F4" s="6">
        <v>5.8</v>
      </c>
      <c r="H4" s="282" t="s">
        <v>3</v>
      </c>
      <c r="I4" s="91">
        <f>J3</f>
        <v>0.94217929996763428</v>
      </c>
      <c r="J4" s="93">
        <v>1</v>
      </c>
      <c r="K4" s="91">
        <f>CORREL($D$3:$D$12,E3:E12)</f>
        <v>0.83601590982231744</v>
      </c>
      <c r="L4" s="91">
        <f>CORREL($D$3:$D$12,F3:F12)</f>
        <v>0.89963073313453124</v>
      </c>
      <c r="N4" s="9" t="s">
        <v>3</v>
      </c>
      <c r="O4" s="91">
        <f>P3</f>
        <v>0.98316892222120589</v>
      </c>
      <c r="P4" s="93">
        <v>1</v>
      </c>
      <c r="Q4" s="91">
        <f>CORREL($D$16:$D$33,E16:E33)</f>
        <v>0.84940347561738183</v>
      </c>
      <c r="R4" s="91">
        <f>CORREL($D$16:$D$33,F16:F33)</f>
        <v>0.88098141172305588</v>
      </c>
    </row>
    <row r="5" spans="1:18">
      <c r="A5" s="8">
        <v>6</v>
      </c>
      <c r="B5" s="7" t="s">
        <v>11</v>
      </c>
      <c r="C5" s="5">
        <v>658</v>
      </c>
      <c r="D5" s="5">
        <v>32</v>
      </c>
      <c r="E5" s="5">
        <v>740</v>
      </c>
      <c r="F5" s="6">
        <v>6.8</v>
      </c>
      <c r="H5" s="282" t="s">
        <v>4</v>
      </c>
      <c r="I5" s="91">
        <f>K3</f>
        <v>0.87811895141088825</v>
      </c>
      <c r="J5" s="91">
        <f>K4</f>
        <v>0.83601590982231744</v>
      </c>
      <c r="K5" s="93">
        <v>1</v>
      </c>
      <c r="L5" s="91">
        <f>CORREL(E3:E12,F3:F12)</f>
        <v>0.91345984958565385</v>
      </c>
      <c r="N5" s="9" t="s">
        <v>4</v>
      </c>
      <c r="O5" s="91">
        <f>Q3</f>
        <v>0.84888169613036435</v>
      </c>
      <c r="P5" s="91">
        <f>Q4</f>
        <v>0.84940347561738183</v>
      </c>
      <c r="Q5" s="93">
        <v>1</v>
      </c>
      <c r="R5" s="91">
        <f>CORREL(E16:E33,F16:F33)</f>
        <v>0.93486817779194142</v>
      </c>
    </row>
    <row r="6" spans="1:18">
      <c r="A6" s="8">
        <v>7</v>
      </c>
      <c r="B6" s="7" t="s">
        <v>12</v>
      </c>
      <c r="C6" s="5">
        <v>1331</v>
      </c>
      <c r="D6" s="5">
        <v>55</v>
      </c>
      <c r="E6" s="5">
        <v>1010</v>
      </c>
      <c r="F6" s="6">
        <v>7.1</v>
      </c>
      <c r="H6" s="282" t="s">
        <v>5</v>
      </c>
      <c r="I6" s="91">
        <f>L3</f>
        <v>0.90201670253448973</v>
      </c>
      <c r="J6" s="91">
        <f>L4</f>
        <v>0.89963073313453124</v>
      </c>
      <c r="K6" s="91">
        <f>L5</f>
        <v>0.91345984958565385</v>
      </c>
      <c r="L6" s="93">
        <v>1</v>
      </c>
      <c r="N6" s="10" t="s">
        <v>5</v>
      </c>
      <c r="O6" s="91">
        <f>R3</f>
        <v>0.89127928132496748</v>
      </c>
      <c r="P6" s="91">
        <f>R4</f>
        <v>0.88098141172305588</v>
      </c>
      <c r="Q6" s="91">
        <f>R5</f>
        <v>0.93486817779194142</v>
      </c>
      <c r="R6" s="93">
        <v>1</v>
      </c>
    </row>
    <row r="7" spans="1:18">
      <c r="A7" s="8">
        <v>16</v>
      </c>
      <c r="B7" s="7" t="s">
        <v>21</v>
      </c>
      <c r="C7" s="5">
        <v>1396</v>
      </c>
      <c r="D7" s="5">
        <v>66</v>
      </c>
      <c r="E7" s="5">
        <v>1140</v>
      </c>
      <c r="F7" s="6">
        <v>7.7</v>
      </c>
    </row>
    <row r="8" spans="1:18">
      <c r="A8" s="8">
        <v>19</v>
      </c>
      <c r="B8" s="7" t="s">
        <v>24</v>
      </c>
      <c r="C8" s="5">
        <v>2972</v>
      </c>
      <c r="D8" s="5">
        <v>107</v>
      </c>
      <c r="E8" s="5">
        <v>1400</v>
      </c>
      <c r="F8" s="6">
        <v>11.7</v>
      </c>
    </row>
    <row r="9" spans="1:18">
      <c r="A9" s="8">
        <v>21</v>
      </c>
      <c r="B9" s="7" t="s">
        <v>26</v>
      </c>
      <c r="C9" s="5">
        <v>2497</v>
      </c>
      <c r="D9" s="5">
        <v>122</v>
      </c>
      <c r="E9" s="5">
        <v>1330</v>
      </c>
      <c r="F9" s="6">
        <v>10.8</v>
      </c>
      <c r="H9" s="283" t="s">
        <v>125</v>
      </c>
      <c r="I9" s="9" t="s">
        <v>2</v>
      </c>
      <c r="J9" s="9" t="s">
        <v>3</v>
      </c>
      <c r="K9" s="9" t="s">
        <v>4</v>
      </c>
      <c r="L9" s="10" t="s">
        <v>5</v>
      </c>
      <c r="N9" s="278" t="s">
        <v>126</v>
      </c>
      <c r="O9" s="9" t="s">
        <v>2</v>
      </c>
      <c r="P9" s="9" t="s">
        <v>3</v>
      </c>
      <c r="Q9" s="9" t="s">
        <v>4</v>
      </c>
      <c r="R9" s="10" t="s">
        <v>5</v>
      </c>
    </row>
    <row r="10" spans="1:18">
      <c r="A10" s="8">
        <v>22</v>
      </c>
      <c r="B10" s="7" t="s">
        <v>27</v>
      </c>
      <c r="C10" s="5">
        <v>1998</v>
      </c>
      <c r="D10" s="5">
        <v>66</v>
      </c>
      <c r="E10" s="5">
        <v>1300</v>
      </c>
      <c r="F10" s="6">
        <v>7.6</v>
      </c>
      <c r="H10" s="282" t="s">
        <v>2</v>
      </c>
      <c r="I10" s="91">
        <f t="shared" ref="I10:L13" si="0">($I$23*I3+$I$24*O3)/($I$23+$I$24)</f>
        <v>1</v>
      </c>
      <c r="J10" s="91">
        <f t="shared" si="0"/>
        <v>0.96852977141635876</v>
      </c>
      <c r="K10" s="91">
        <f t="shared" si="0"/>
        <v>0.85932357301626572</v>
      </c>
      <c r="L10" s="91">
        <f t="shared" si="0"/>
        <v>0.89511407461408254</v>
      </c>
      <c r="N10" s="9" t="s">
        <v>2</v>
      </c>
      <c r="O10" s="91">
        <f t="shared" ref="O10:R13" si="1">I3-O3</f>
        <v>0</v>
      </c>
      <c r="P10" s="91">
        <f t="shared" si="1"/>
        <v>-4.0989622253571611E-2</v>
      </c>
      <c r="Q10" s="91">
        <f t="shared" si="1"/>
        <v>2.9237255280523899E-2</v>
      </c>
      <c r="R10" s="91">
        <f t="shared" si="1"/>
        <v>1.0737421209522258E-2</v>
      </c>
    </row>
    <row r="11" spans="1:18">
      <c r="A11" s="8">
        <v>25</v>
      </c>
      <c r="B11" s="7" t="s">
        <v>30</v>
      </c>
      <c r="C11" s="5">
        <v>1997</v>
      </c>
      <c r="D11" s="5">
        <v>92</v>
      </c>
      <c r="E11" s="5">
        <v>1240</v>
      </c>
      <c r="F11" s="6">
        <v>9.1999999999999993</v>
      </c>
      <c r="H11" s="282" t="s">
        <v>3</v>
      </c>
      <c r="I11" s="91">
        <f t="shared" si="0"/>
        <v>0.96852977141635876</v>
      </c>
      <c r="J11" s="91">
        <f t="shared" si="0"/>
        <v>1</v>
      </c>
      <c r="K11" s="91">
        <f t="shared" si="0"/>
        <v>0.84462220211914463</v>
      </c>
      <c r="L11" s="91">
        <f t="shared" si="0"/>
        <v>0.88764188365572572</v>
      </c>
      <c r="N11" s="9" t="s">
        <v>3</v>
      </c>
      <c r="O11" s="91">
        <f t="shared" si="1"/>
        <v>-4.0989622253571611E-2</v>
      </c>
      <c r="P11" s="91">
        <f t="shared" si="1"/>
        <v>0</v>
      </c>
      <c r="Q11" s="91">
        <f t="shared" si="1"/>
        <v>-1.3387565795064393E-2</v>
      </c>
      <c r="R11" s="91">
        <f t="shared" si="1"/>
        <v>1.864932141147535E-2</v>
      </c>
    </row>
    <row r="12" spans="1:18">
      <c r="A12" s="8">
        <v>27</v>
      </c>
      <c r="B12" s="7" t="s">
        <v>32</v>
      </c>
      <c r="C12" s="5">
        <v>2438</v>
      </c>
      <c r="D12" s="5">
        <v>97</v>
      </c>
      <c r="E12" s="5">
        <v>1800</v>
      </c>
      <c r="F12" s="6">
        <v>12.8</v>
      </c>
      <c r="H12" s="282" t="s">
        <v>4</v>
      </c>
      <c r="I12" s="91">
        <f t="shared" si="0"/>
        <v>0.85932357301626572</v>
      </c>
      <c r="J12" s="91">
        <f t="shared" si="0"/>
        <v>0.84462220211914463</v>
      </c>
      <c r="K12" s="91">
        <f t="shared" si="0"/>
        <v>1</v>
      </c>
      <c r="L12" s="91">
        <f t="shared" si="0"/>
        <v>0.9272223462896958</v>
      </c>
      <c r="N12" s="9" t="s">
        <v>4</v>
      </c>
      <c r="O12" s="91">
        <f t="shared" si="1"/>
        <v>2.9237255280523899E-2</v>
      </c>
      <c r="P12" s="91">
        <f t="shared" si="1"/>
        <v>-1.3387565795064393E-2</v>
      </c>
      <c r="Q12" s="91">
        <f t="shared" si="1"/>
        <v>0</v>
      </c>
      <c r="R12" s="91">
        <f t="shared" si="1"/>
        <v>-2.1408328206287575E-2</v>
      </c>
    </row>
    <row r="13" spans="1:18">
      <c r="H13" s="282" t="s">
        <v>5</v>
      </c>
      <c r="I13" s="91">
        <f t="shared" si="0"/>
        <v>0.89511407461408254</v>
      </c>
      <c r="J13" s="91">
        <f t="shared" si="0"/>
        <v>0.88764188365572572</v>
      </c>
      <c r="K13" s="91">
        <f t="shared" si="0"/>
        <v>0.9272223462896958</v>
      </c>
      <c r="L13" s="91">
        <f t="shared" si="0"/>
        <v>1</v>
      </c>
      <c r="N13" s="10" t="s">
        <v>5</v>
      </c>
      <c r="O13" s="91">
        <f t="shared" si="1"/>
        <v>1.0737421209522258E-2</v>
      </c>
      <c r="P13" s="91">
        <f t="shared" si="1"/>
        <v>1.864932141147535E-2</v>
      </c>
      <c r="Q13" s="91">
        <f t="shared" si="1"/>
        <v>-2.1408328206287575E-2</v>
      </c>
      <c r="R13" s="91">
        <f t="shared" si="1"/>
        <v>0</v>
      </c>
    </row>
    <row r="14" spans="1:18">
      <c r="A14" s="311" t="s">
        <v>120</v>
      </c>
      <c r="B14" s="311"/>
      <c r="C14" s="311"/>
      <c r="D14" s="311"/>
      <c r="E14" s="311"/>
      <c r="F14" s="311"/>
    </row>
    <row r="15" spans="1:18">
      <c r="A15" s="2" t="s">
        <v>0</v>
      </c>
      <c r="B15" s="275" t="s">
        <v>1</v>
      </c>
      <c r="C15" s="9" t="s">
        <v>2</v>
      </c>
      <c r="D15" s="9" t="s">
        <v>3</v>
      </c>
      <c r="E15" s="9" t="s">
        <v>4</v>
      </c>
      <c r="F15" s="10" t="s">
        <v>5</v>
      </c>
    </row>
    <row r="16" spans="1:18">
      <c r="A16" s="8">
        <v>3</v>
      </c>
      <c r="B16" s="7" t="s">
        <v>8</v>
      </c>
      <c r="C16" s="5">
        <v>899</v>
      </c>
      <c r="D16" s="5">
        <v>29</v>
      </c>
      <c r="E16" s="5">
        <v>730</v>
      </c>
      <c r="F16" s="6">
        <v>6.1</v>
      </c>
      <c r="H16" s="283" t="s">
        <v>127</v>
      </c>
      <c r="I16" s="9" t="s">
        <v>2</v>
      </c>
      <c r="J16" s="9" t="s">
        <v>3</v>
      </c>
      <c r="K16" s="9" t="s">
        <v>4</v>
      </c>
      <c r="L16" s="10" t="s">
        <v>5</v>
      </c>
      <c r="N16" s="278" t="s">
        <v>123</v>
      </c>
      <c r="O16" s="9" t="s">
        <v>2</v>
      </c>
      <c r="P16" s="9" t="s">
        <v>3</v>
      </c>
      <c r="Q16" s="9" t="s">
        <v>4</v>
      </c>
      <c r="R16" s="10" t="s">
        <v>5</v>
      </c>
    </row>
    <row r="17" spans="1:18">
      <c r="A17" s="8">
        <v>4</v>
      </c>
      <c r="B17" s="7" t="s">
        <v>9</v>
      </c>
      <c r="C17" s="5">
        <v>1390</v>
      </c>
      <c r="D17" s="5">
        <v>44</v>
      </c>
      <c r="E17" s="5">
        <v>955</v>
      </c>
      <c r="F17" s="6">
        <v>6.5</v>
      </c>
      <c r="H17" s="282" t="s">
        <v>2</v>
      </c>
      <c r="I17" s="93">
        <f t="array" ref="I17:L20">MINVERSE(I10:L13)</f>
        <v>18.163228633442603</v>
      </c>
      <c r="J17" s="91">
        <v>-14.744206731151051</v>
      </c>
      <c r="K17" s="91">
        <v>-1.5326521946714404</v>
      </c>
      <c r="L17" s="91">
        <v>-1.7494767903903323</v>
      </c>
      <c r="N17" s="9" t="s">
        <v>2</v>
      </c>
      <c r="O17" s="91">
        <f t="shared" ref="O17:R20" si="2">I10^2</f>
        <v>1</v>
      </c>
      <c r="P17" s="91">
        <f t="shared" si="2"/>
        <v>0.93804991811982419</v>
      </c>
      <c r="Q17" s="91">
        <f t="shared" si="2"/>
        <v>0.73843700314144134</v>
      </c>
      <c r="R17" s="91">
        <f t="shared" si="2"/>
        <v>0.80122920657222529</v>
      </c>
    </row>
    <row r="18" spans="1:18">
      <c r="A18" s="8">
        <v>5</v>
      </c>
      <c r="B18" s="7" t="s">
        <v>10</v>
      </c>
      <c r="C18" s="5">
        <v>1195</v>
      </c>
      <c r="D18" s="5">
        <v>33</v>
      </c>
      <c r="E18" s="5">
        <v>895</v>
      </c>
      <c r="F18" s="6">
        <v>6.8</v>
      </c>
      <c r="H18" s="282" t="s">
        <v>3</v>
      </c>
      <c r="I18" s="91">
        <v>-14.744206731151049</v>
      </c>
      <c r="J18" s="93">
        <v>16.758705768227895</v>
      </c>
      <c r="K18" s="91">
        <v>0.50714867063457159</v>
      </c>
      <c r="L18" s="91">
        <v>-2.1482217719723731</v>
      </c>
      <c r="N18" s="9" t="s">
        <v>3</v>
      </c>
      <c r="O18" s="91">
        <f t="shared" si="2"/>
        <v>0.93804991811982419</v>
      </c>
      <c r="P18" s="91">
        <f t="shared" si="2"/>
        <v>1</v>
      </c>
      <c r="Q18" s="91">
        <f t="shared" si="2"/>
        <v>0.71338666431259323</v>
      </c>
      <c r="R18" s="91">
        <f t="shared" si="2"/>
        <v>0.78790811361988489</v>
      </c>
    </row>
    <row r="19" spans="1:18">
      <c r="A19" s="8">
        <v>8</v>
      </c>
      <c r="B19" s="7" t="s">
        <v>13</v>
      </c>
      <c r="C19" s="5">
        <v>1597</v>
      </c>
      <c r="D19" s="5">
        <v>74</v>
      </c>
      <c r="E19" s="5">
        <v>1080</v>
      </c>
      <c r="F19" s="6">
        <v>7.4</v>
      </c>
      <c r="H19" s="282" t="s">
        <v>4</v>
      </c>
      <c r="I19" s="91">
        <v>-1.5326521946714402</v>
      </c>
      <c r="J19" s="91">
        <v>0.50714867063457214</v>
      </c>
      <c r="K19" s="93">
        <v>7.3724078095948835</v>
      </c>
      <c r="L19" s="91">
        <v>-5.9141291173740447</v>
      </c>
      <c r="N19" s="9" t="s">
        <v>4</v>
      </c>
      <c r="O19" s="91">
        <f t="shared" si="2"/>
        <v>0.73843700314144134</v>
      </c>
      <c r="P19" s="91">
        <f t="shared" si="2"/>
        <v>0.71338666431259323</v>
      </c>
      <c r="Q19" s="91">
        <f t="shared" si="2"/>
        <v>1</v>
      </c>
      <c r="R19" s="91">
        <f t="shared" si="2"/>
        <v>0.8597412794589685</v>
      </c>
    </row>
    <row r="20" spans="1:18">
      <c r="A20" s="8">
        <v>9</v>
      </c>
      <c r="B20" s="7" t="s">
        <v>14</v>
      </c>
      <c r="C20" s="5">
        <v>1761</v>
      </c>
      <c r="D20" s="5">
        <v>74</v>
      </c>
      <c r="E20" s="5">
        <v>1100</v>
      </c>
      <c r="F20" s="6">
        <v>9</v>
      </c>
      <c r="H20" s="282" t="s">
        <v>5</v>
      </c>
      <c r="I20" s="91">
        <v>-1.7494767903903301</v>
      </c>
      <c r="J20" s="91">
        <v>-2.148221771972374</v>
      </c>
      <c r="K20" s="91">
        <v>-5.9141291173740438</v>
      </c>
      <c r="L20" s="93">
        <v>9.9565455949446235</v>
      </c>
      <c r="N20" s="10" t="s">
        <v>5</v>
      </c>
      <c r="O20" s="91">
        <f t="shared" si="2"/>
        <v>0.80122920657222529</v>
      </c>
      <c r="P20" s="91">
        <f t="shared" si="2"/>
        <v>0.78790811361988489</v>
      </c>
      <c r="Q20" s="91">
        <f t="shared" si="2"/>
        <v>0.8597412794589685</v>
      </c>
      <c r="R20" s="91">
        <f t="shared" si="2"/>
        <v>1</v>
      </c>
    </row>
    <row r="21" spans="1:18">
      <c r="A21" s="8">
        <v>10</v>
      </c>
      <c r="B21" s="7" t="s">
        <v>15</v>
      </c>
      <c r="C21" s="5">
        <v>2165</v>
      </c>
      <c r="D21" s="5">
        <v>101</v>
      </c>
      <c r="E21" s="5">
        <v>1500</v>
      </c>
      <c r="F21" s="6">
        <v>11.7</v>
      </c>
    </row>
    <row r="22" spans="1:18">
      <c r="A22" s="8">
        <v>11</v>
      </c>
      <c r="B22" s="7" t="s">
        <v>16</v>
      </c>
      <c r="C22" s="5">
        <v>1983</v>
      </c>
      <c r="D22" s="5">
        <v>85</v>
      </c>
      <c r="E22" s="5">
        <v>1075</v>
      </c>
      <c r="F22" s="6">
        <v>9.5</v>
      </c>
    </row>
    <row r="23" spans="1:18">
      <c r="A23" s="8">
        <v>12</v>
      </c>
      <c r="B23" s="7" t="s">
        <v>17</v>
      </c>
      <c r="C23" s="5">
        <v>1984</v>
      </c>
      <c r="D23" s="5">
        <v>85</v>
      </c>
      <c r="E23" s="5">
        <v>1155</v>
      </c>
      <c r="F23" s="6">
        <v>9.5</v>
      </c>
      <c r="H23" s="284" t="s">
        <v>72</v>
      </c>
      <c r="I23" s="259">
        <f>COUNTA(A3:A12)</f>
        <v>10</v>
      </c>
    </row>
    <row r="24" spans="1:18">
      <c r="A24" s="8">
        <v>13</v>
      </c>
      <c r="B24" s="7" t="s">
        <v>18</v>
      </c>
      <c r="C24" s="5">
        <v>1998</v>
      </c>
      <c r="D24" s="5">
        <v>89</v>
      </c>
      <c r="E24" s="5">
        <v>1140</v>
      </c>
      <c r="F24" s="6">
        <v>8.8000000000000007</v>
      </c>
      <c r="H24" s="285" t="s">
        <v>73</v>
      </c>
      <c r="I24" s="261">
        <f>COUNTA(A16:A33)</f>
        <v>18</v>
      </c>
    </row>
    <row r="25" spans="1:18">
      <c r="A25" s="8">
        <v>14</v>
      </c>
      <c r="B25" s="7" t="s">
        <v>19</v>
      </c>
      <c r="C25" s="5">
        <v>1580</v>
      </c>
      <c r="D25" s="5">
        <v>65</v>
      </c>
      <c r="E25" s="5">
        <v>1080</v>
      </c>
      <c r="F25" s="6">
        <v>9.3000000000000007</v>
      </c>
    </row>
    <row r="26" spans="1:18">
      <c r="A26" s="8">
        <v>15</v>
      </c>
      <c r="B26" s="7" t="s">
        <v>20</v>
      </c>
      <c r="C26" s="5">
        <v>1390</v>
      </c>
      <c r="D26" s="5">
        <v>54</v>
      </c>
      <c r="E26" s="5">
        <v>1110</v>
      </c>
      <c r="F26" s="6">
        <v>8.6</v>
      </c>
      <c r="H26" s="286" t="s">
        <v>124</v>
      </c>
      <c r="I26" s="262">
        <f>(I23*I24)/(I23+I24)</f>
        <v>6.4285714285714288</v>
      </c>
    </row>
    <row r="27" spans="1:18">
      <c r="A27" s="8">
        <v>17</v>
      </c>
      <c r="B27" s="7" t="s">
        <v>22</v>
      </c>
      <c r="C27" s="5">
        <v>2435</v>
      </c>
      <c r="D27" s="5">
        <v>106</v>
      </c>
      <c r="E27" s="5">
        <v>1370</v>
      </c>
      <c r="F27" s="6">
        <v>10.8</v>
      </c>
    </row>
    <row r="28" spans="1:18">
      <c r="A28" s="8">
        <v>18</v>
      </c>
      <c r="B28" s="7" t="s">
        <v>23</v>
      </c>
      <c r="C28" s="5">
        <v>1242</v>
      </c>
      <c r="D28" s="5">
        <v>55</v>
      </c>
      <c r="E28" s="5">
        <v>940</v>
      </c>
      <c r="F28" s="6">
        <v>6.6</v>
      </c>
      <c r="H28" s="283" t="s">
        <v>128</v>
      </c>
      <c r="I28" s="9" t="s">
        <v>2</v>
      </c>
      <c r="J28" s="9" t="s">
        <v>3</v>
      </c>
      <c r="K28" s="9" t="s">
        <v>4</v>
      </c>
      <c r="L28" s="10" t="s">
        <v>5</v>
      </c>
      <c r="N28" s="278" t="s">
        <v>129</v>
      </c>
      <c r="O28" s="9" t="s">
        <v>2</v>
      </c>
      <c r="P28" s="9" t="s">
        <v>3</v>
      </c>
      <c r="Q28" s="9" t="s">
        <v>4</v>
      </c>
      <c r="R28" s="10" t="s">
        <v>5</v>
      </c>
    </row>
    <row r="29" spans="1:18">
      <c r="A29" s="8">
        <v>20</v>
      </c>
      <c r="B29" s="7" t="s">
        <v>25</v>
      </c>
      <c r="C29" s="5">
        <v>2958</v>
      </c>
      <c r="D29" s="5">
        <v>150</v>
      </c>
      <c r="E29" s="5">
        <v>1550</v>
      </c>
      <c r="F29" s="6">
        <v>11.9</v>
      </c>
      <c r="H29" s="282" t="s">
        <v>2</v>
      </c>
      <c r="I29" s="91">
        <f t="array" ref="I29:L32">SQRT(I26)*MMULT(I17:L20,O10:R13)</f>
        <v>1.3710871172241654</v>
      </c>
      <c r="J29" s="91">
        <v>-1.9183614349326295</v>
      </c>
      <c r="K29" s="91">
        <v>1.9418738202863282</v>
      </c>
      <c r="L29" s="91">
        <v>-0.11950065189123979</v>
      </c>
      <c r="N29" s="9" t="s">
        <v>2</v>
      </c>
      <c r="O29" s="91">
        <f t="array" ref="O29:R32">MMULT(I29:L32,TRANSPOSE(I29:L32))</f>
        <v>9.3451448177706986</v>
      </c>
      <c r="P29" s="91">
        <v>-8.1724196344431714</v>
      </c>
      <c r="Q29" s="91">
        <v>1.5865270428956744</v>
      </c>
      <c r="R29" s="91">
        <v>-2.7406391102227623</v>
      </c>
    </row>
    <row r="30" spans="1:18">
      <c r="A30" s="8">
        <v>23</v>
      </c>
      <c r="B30" s="7" t="s">
        <v>28</v>
      </c>
      <c r="C30" s="5">
        <v>2496</v>
      </c>
      <c r="D30" s="5">
        <v>125</v>
      </c>
      <c r="E30" s="5">
        <v>1670</v>
      </c>
      <c r="F30" s="6">
        <v>11.3</v>
      </c>
      <c r="H30" s="282" t="s">
        <v>3</v>
      </c>
      <c r="I30" s="91">
        <v>-1.7625820761061566</v>
      </c>
      <c r="J30" s="91">
        <v>1.4135384924484047</v>
      </c>
      <c r="K30" s="91">
        <v>-1.5452341697786536</v>
      </c>
      <c r="L30" s="91">
        <v>0.36350049096348824</v>
      </c>
      <c r="N30" s="9" t="s">
        <v>3</v>
      </c>
      <c r="O30" s="91">
        <v>-8.1724196344431714</v>
      </c>
      <c r="P30" s="91">
        <v>7.6246678910262196</v>
      </c>
      <c r="Q30" s="91">
        <v>-1.5562608274741523</v>
      </c>
      <c r="R30" s="91">
        <v>2.0930019934203394</v>
      </c>
    </row>
    <row r="31" spans="1:18">
      <c r="A31" s="8">
        <v>24</v>
      </c>
      <c r="B31" s="7" t="s">
        <v>29</v>
      </c>
      <c r="C31" s="5">
        <v>1998</v>
      </c>
      <c r="D31" s="5">
        <v>89</v>
      </c>
      <c r="E31" s="5">
        <v>1560</v>
      </c>
      <c r="F31" s="6">
        <v>10.8</v>
      </c>
      <c r="H31" s="282" t="s">
        <v>4</v>
      </c>
      <c r="I31" s="91">
        <v>0.33280139750589843</v>
      </c>
      <c r="J31" s="91">
        <v>-0.37060923851063771</v>
      </c>
      <c r="K31" s="91">
        <v>0.19018908706790794</v>
      </c>
      <c r="L31" s="91">
        <v>-0.4179195152567694</v>
      </c>
      <c r="N31" s="9" t="s">
        <v>4</v>
      </c>
      <c r="O31" s="91">
        <v>1.5865270428956744</v>
      </c>
      <c r="P31" s="91">
        <v>-1.5562608274741523</v>
      </c>
      <c r="Q31" s="91">
        <v>0.45893658792349118</v>
      </c>
      <c r="R31" s="91">
        <v>-0.48304395682640477</v>
      </c>
    </row>
    <row r="32" spans="1:18">
      <c r="A32" s="8">
        <v>26</v>
      </c>
      <c r="B32" s="7" t="s">
        <v>31</v>
      </c>
      <c r="C32" s="5">
        <v>1984</v>
      </c>
      <c r="D32" s="5">
        <v>85</v>
      </c>
      <c r="E32" s="5">
        <v>1635</v>
      </c>
      <c r="F32" s="6">
        <v>11.6</v>
      </c>
      <c r="H32" s="282" t="s">
        <v>5</v>
      </c>
      <c r="I32" s="91">
        <v>5.5905736999500438E-2</v>
      </c>
      <c r="J32" s="91">
        <v>0.85335817825288229</v>
      </c>
      <c r="K32" s="91">
        <v>-0.5972116090716999</v>
      </c>
      <c r="L32" s="91">
        <v>0.17181276842142884</v>
      </c>
      <c r="N32" s="10" t="s">
        <v>5</v>
      </c>
      <c r="O32" s="91">
        <v>-2.7406391102227623</v>
      </c>
      <c r="P32" s="91">
        <v>2.0930019934203394</v>
      </c>
      <c r="Q32" s="91">
        <v>-0.48304395682640477</v>
      </c>
      <c r="R32" s="91">
        <v>1.1175269652231796</v>
      </c>
    </row>
    <row r="33" spans="1:14">
      <c r="A33" s="8">
        <v>28</v>
      </c>
      <c r="B33" s="7" t="s">
        <v>33</v>
      </c>
      <c r="C33" s="5">
        <v>2473</v>
      </c>
      <c r="D33" s="5">
        <v>125</v>
      </c>
      <c r="E33" s="5">
        <v>1570</v>
      </c>
      <c r="F33" s="6">
        <v>12.7</v>
      </c>
    </row>
    <row r="35" spans="1:14">
      <c r="H35" s="286" t="s">
        <v>130</v>
      </c>
      <c r="I35" s="279">
        <f>O29+P30+Q31+R32</f>
        <v>18.546276261943593</v>
      </c>
    </row>
    <row r="36" spans="1:14">
      <c r="N36" s="287"/>
    </row>
    <row r="37" spans="1:14">
      <c r="I37" s="278" t="s">
        <v>131</v>
      </c>
      <c r="K37" s="266" t="s">
        <v>109</v>
      </c>
      <c r="L37" s="257">
        <f t="array" ref="L37">0.5*I35-MMULT(TRANSPOSE(I38:I41),MMULT(MINVERSE(O17:R20),I38:I41))</f>
        <v>4.5202374600956139</v>
      </c>
    </row>
    <row r="38" spans="1:14">
      <c r="H38" s="282" t="s">
        <v>2</v>
      </c>
      <c r="I38" s="91">
        <f>I29</f>
        <v>1.3710871172241654</v>
      </c>
    </row>
    <row r="39" spans="1:14">
      <c r="H39" s="282" t="s">
        <v>3</v>
      </c>
      <c r="I39" s="91">
        <f>J30</f>
        <v>1.4135384924484047</v>
      </c>
      <c r="K39" s="256" t="s">
        <v>104</v>
      </c>
      <c r="L39" s="262">
        <f>4*3/2</f>
        <v>6</v>
      </c>
    </row>
    <row r="40" spans="1:14">
      <c r="H40" s="282" t="s">
        <v>4</v>
      </c>
      <c r="I40" s="91">
        <f>K31</f>
        <v>0.19018908706790794</v>
      </c>
    </row>
    <row r="41" spans="1:14">
      <c r="H41" s="282" t="s">
        <v>5</v>
      </c>
      <c r="I41" s="91">
        <f>L32</f>
        <v>0.17181276842142884</v>
      </c>
      <c r="K41" s="256" t="s">
        <v>48</v>
      </c>
      <c r="L41" s="257">
        <f>CHIDIST(L37,L39)</f>
        <v>0.60664120808111643</v>
      </c>
    </row>
  </sheetData>
  <mergeCells count="2">
    <mergeCell ref="A1:F1"/>
    <mergeCell ref="A14:F1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showGridLines="0" workbookViewId="0">
      <selection activeCell="J7" sqref="J7"/>
    </sheetView>
  </sheetViews>
  <sheetFormatPr defaultRowHeight="12.75"/>
  <cols>
    <col min="1" max="1" width="7.42578125" bestFit="1" customWidth="1"/>
    <col min="2" max="2" width="20.28515625" bestFit="1" customWidth="1"/>
    <col min="3" max="6" width="11.42578125" customWidth="1"/>
    <col min="7" max="7" width="11.7109375" style="48" customWidth="1"/>
    <col min="8" max="8" width="11.42578125" style="27" customWidth="1"/>
    <col min="9" max="256" width="11.42578125" customWidth="1"/>
  </cols>
  <sheetData>
    <row r="1" spans="1:8">
      <c r="C1" s="289" t="s">
        <v>90</v>
      </c>
      <c r="D1" s="289" t="s">
        <v>128</v>
      </c>
      <c r="E1" s="289" t="s">
        <v>91</v>
      </c>
    </row>
    <row r="2" spans="1:8">
      <c r="A2" s="2" t="s">
        <v>0</v>
      </c>
      <c r="B2" s="1" t="s">
        <v>1</v>
      </c>
      <c r="C2" s="94" t="s">
        <v>2</v>
      </c>
      <c r="D2" s="94" t="s">
        <v>3</v>
      </c>
      <c r="E2" s="10" t="s">
        <v>5</v>
      </c>
    </row>
    <row r="3" spans="1:8">
      <c r="A3" s="8">
        <v>1</v>
      </c>
      <c r="B3" s="7" t="s">
        <v>6</v>
      </c>
      <c r="C3" s="3">
        <v>846</v>
      </c>
      <c r="D3" s="3">
        <v>32</v>
      </c>
      <c r="E3" s="4">
        <v>5.7</v>
      </c>
    </row>
    <row r="4" spans="1:8">
      <c r="A4" s="8">
        <v>2</v>
      </c>
      <c r="B4" s="7" t="s">
        <v>7</v>
      </c>
      <c r="C4" s="5">
        <v>993</v>
      </c>
      <c r="D4" s="5">
        <v>39</v>
      </c>
      <c r="E4" s="6">
        <v>5.8</v>
      </c>
      <c r="G4" s="295" t="s">
        <v>38</v>
      </c>
      <c r="H4" s="93">
        <f>COUNTA(E3:E30)</f>
        <v>28</v>
      </c>
    </row>
    <row r="5" spans="1:8">
      <c r="A5" s="8">
        <v>3</v>
      </c>
      <c r="B5" s="7" t="s">
        <v>8</v>
      </c>
      <c r="C5" s="5">
        <v>899</v>
      </c>
      <c r="D5" s="5">
        <v>29</v>
      </c>
      <c r="E5" s="6">
        <v>6.1</v>
      </c>
    </row>
    <row r="6" spans="1:8">
      <c r="A6" s="8">
        <v>4</v>
      </c>
      <c r="B6" s="7" t="s">
        <v>9</v>
      </c>
      <c r="C6" s="5">
        <v>1390</v>
      </c>
      <c r="D6" s="5">
        <v>44</v>
      </c>
      <c r="E6" s="6">
        <v>6.5</v>
      </c>
      <c r="G6" s="95" t="s">
        <v>132</v>
      </c>
      <c r="H6" s="96">
        <f>CORREL(E3:E30,C3:C30)</f>
        <v>0.8918662579043769</v>
      </c>
    </row>
    <row r="7" spans="1:8">
      <c r="A7" s="8">
        <v>5</v>
      </c>
      <c r="B7" s="7" t="s">
        <v>10</v>
      </c>
      <c r="C7" s="5">
        <v>1195</v>
      </c>
      <c r="D7" s="5">
        <v>33</v>
      </c>
      <c r="E7" s="6">
        <v>6.8</v>
      </c>
      <c r="G7" s="95" t="s">
        <v>133</v>
      </c>
      <c r="H7" s="96">
        <f>CORREL(E3:E30,D3:D30)</f>
        <v>0.88780851704807884</v>
      </c>
    </row>
    <row r="8" spans="1:8">
      <c r="A8" s="8">
        <v>6</v>
      </c>
      <c r="B8" s="7" t="s">
        <v>11</v>
      </c>
      <c r="C8" s="5">
        <v>658</v>
      </c>
      <c r="D8" s="5">
        <v>32</v>
      </c>
      <c r="E8" s="6">
        <v>6.8</v>
      </c>
    </row>
    <row r="9" spans="1:8">
      <c r="A9" s="8">
        <v>7</v>
      </c>
      <c r="B9" s="7" t="s">
        <v>12</v>
      </c>
      <c r="C9" s="5">
        <v>1331</v>
      </c>
      <c r="D9" s="5">
        <v>55</v>
      </c>
      <c r="E9" s="6">
        <v>7.1</v>
      </c>
      <c r="G9" s="295" t="s">
        <v>134</v>
      </c>
      <c r="H9" s="91">
        <f>CORREL(D3:D30,C3:C30)</f>
        <v>0.94754909682670629</v>
      </c>
    </row>
    <row r="10" spans="1:8">
      <c r="A10" s="8">
        <v>8</v>
      </c>
      <c r="B10" s="7" t="s">
        <v>13</v>
      </c>
      <c r="C10" s="5">
        <v>1597</v>
      </c>
      <c r="D10" s="5">
        <v>74</v>
      </c>
      <c r="E10" s="6">
        <v>7.4</v>
      </c>
    </row>
    <row r="11" spans="1:8">
      <c r="A11" s="8">
        <v>9</v>
      </c>
      <c r="B11" s="7" t="s">
        <v>14</v>
      </c>
      <c r="C11" s="5">
        <v>1761</v>
      </c>
      <c r="D11" s="5">
        <v>74</v>
      </c>
      <c r="E11" s="6">
        <v>9</v>
      </c>
      <c r="G11" s="295" t="s">
        <v>81</v>
      </c>
      <c r="H11" s="91">
        <f>H6-H7</f>
        <v>4.0577408562980644E-3</v>
      </c>
    </row>
    <row r="12" spans="1:8">
      <c r="A12" s="8">
        <v>10</v>
      </c>
      <c r="B12" s="7" t="s">
        <v>15</v>
      </c>
      <c r="C12" s="5">
        <v>2165</v>
      </c>
      <c r="D12" s="5">
        <v>101</v>
      </c>
      <c r="E12" s="6">
        <v>11.7</v>
      </c>
      <c r="G12" s="295" t="s">
        <v>82</v>
      </c>
      <c r="H12" s="91">
        <f>(H4-1)*(1+H9)</f>
        <v>52.583825614321064</v>
      </c>
    </row>
    <row r="13" spans="1:8">
      <c r="A13" s="8">
        <v>11</v>
      </c>
      <c r="B13" s="7" t="s">
        <v>16</v>
      </c>
      <c r="C13" s="5">
        <v>1983</v>
      </c>
      <c r="D13" s="5">
        <v>85</v>
      </c>
      <c r="E13" s="6">
        <v>9.5</v>
      </c>
      <c r="G13" s="295" t="s">
        <v>125</v>
      </c>
      <c r="H13" s="91">
        <f>1-H6^2-H7^2-H9^2+2*H6*H7*H9</f>
        <v>1.9072315928416295E-2</v>
      </c>
    </row>
    <row r="14" spans="1:8">
      <c r="A14" s="8">
        <v>12</v>
      </c>
      <c r="B14" s="7" t="s">
        <v>17</v>
      </c>
      <c r="C14" s="5">
        <v>1984</v>
      </c>
      <c r="D14" s="5">
        <v>85</v>
      </c>
      <c r="E14" s="6">
        <v>9.5</v>
      </c>
      <c r="G14" s="295" t="s">
        <v>135</v>
      </c>
      <c r="H14" s="91">
        <f>(H6+H7)/2</f>
        <v>0.88983738747622787</v>
      </c>
    </row>
    <row r="15" spans="1:8">
      <c r="A15" s="8">
        <v>13</v>
      </c>
      <c r="B15" s="7" t="s">
        <v>18</v>
      </c>
      <c r="C15" s="5">
        <v>1998</v>
      </c>
      <c r="D15" s="5">
        <v>89</v>
      </c>
      <c r="E15" s="6">
        <v>8.8000000000000007</v>
      </c>
      <c r="G15" s="295" t="s">
        <v>83</v>
      </c>
      <c r="H15" s="91">
        <f>(1-H9)^3</f>
        <v>1.4429753514932133E-4</v>
      </c>
    </row>
    <row r="16" spans="1:8">
      <c r="A16" s="8">
        <v>14</v>
      </c>
      <c r="B16" s="7" t="s">
        <v>19</v>
      </c>
      <c r="C16" s="5">
        <v>1580</v>
      </c>
      <c r="D16" s="5">
        <v>65</v>
      </c>
      <c r="E16" s="6">
        <v>9.3000000000000007</v>
      </c>
    </row>
    <row r="17" spans="1:8">
      <c r="A17" s="8">
        <v>15</v>
      </c>
      <c r="B17" s="7" t="s">
        <v>20</v>
      </c>
      <c r="C17" s="5">
        <v>1390</v>
      </c>
      <c r="D17" s="5">
        <v>54</v>
      </c>
      <c r="E17" s="6">
        <v>8.6</v>
      </c>
      <c r="G17" s="97" t="s">
        <v>46</v>
      </c>
      <c r="H17" s="21">
        <f>H11*SQRT((H12)/(2*(H4-1)/(H4-3)*ABS(H13)+H14^2*H15))</f>
        <v>0.14477060473603179</v>
      </c>
    </row>
    <row r="18" spans="1:8">
      <c r="A18" s="8">
        <v>16</v>
      </c>
      <c r="B18" s="7" t="s">
        <v>21</v>
      </c>
      <c r="C18" s="5">
        <v>1396</v>
      </c>
      <c r="D18" s="5">
        <v>66</v>
      </c>
      <c r="E18" s="6">
        <v>7.7</v>
      </c>
      <c r="G18" s="97" t="s">
        <v>104</v>
      </c>
      <c r="H18" s="98">
        <f>H4-3</f>
        <v>25</v>
      </c>
    </row>
    <row r="19" spans="1:8">
      <c r="A19" s="8">
        <v>17</v>
      </c>
      <c r="B19" s="7" t="s">
        <v>22</v>
      </c>
      <c r="C19" s="5">
        <v>2435</v>
      </c>
      <c r="D19" s="5">
        <v>106</v>
      </c>
      <c r="E19" s="6">
        <v>10.8</v>
      </c>
    </row>
    <row r="20" spans="1:8">
      <c r="A20" s="8">
        <v>18</v>
      </c>
      <c r="B20" s="7" t="s">
        <v>23</v>
      </c>
      <c r="C20" s="5">
        <v>1242</v>
      </c>
      <c r="D20" s="5">
        <v>55</v>
      </c>
      <c r="E20" s="6">
        <v>6.6</v>
      </c>
      <c r="G20" s="295" t="s">
        <v>136</v>
      </c>
      <c r="H20" s="91">
        <f>TINV(0.05,H18)</f>
        <v>2.0595385527532977</v>
      </c>
    </row>
    <row r="21" spans="1:8">
      <c r="A21" s="8">
        <v>19</v>
      </c>
      <c r="B21" s="7" t="s">
        <v>24</v>
      </c>
      <c r="C21" s="5">
        <v>2972</v>
      </c>
      <c r="D21" s="5">
        <v>107</v>
      </c>
      <c r="E21" s="6">
        <v>11.7</v>
      </c>
    </row>
    <row r="22" spans="1:8">
      <c r="A22" s="8">
        <v>20</v>
      </c>
      <c r="B22" s="7" t="s">
        <v>25</v>
      </c>
      <c r="C22" s="5">
        <v>2958</v>
      </c>
      <c r="D22" s="5">
        <v>150</v>
      </c>
      <c r="E22" s="6">
        <v>11.9</v>
      </c>
      <c r="G22" s="97" t="s">
        <v>48</v>
      </c>
      <c r="H22" s="21">
        <f>TDIST(H17,H18,2)</f>
        <v>0.88605280542883835</v>
      </c>
    </row>
    <row r="23" spans="1:8">
      <c r="A23" s="8">
        <v>21</v>
      </c>
      <c r="B23" s="7" t="s">
        <v>26</v>
      </c>
      <c r="C23" s="5">
        <v>2497</v>
      </c>
      <c r="D23" s="5">
        <v>122</v>
      </c>
      <c r="E23" s="6">
        <v>10.8</v>
      </c>
    </row>
    <row r="24" spans="1:8">
      <c r="A24" s="8">
        <v>22</v>
      </c>
      <c r="B24" s="7" t="s">
        <v>27</v>
      </c>
      <c r="C24" s="5">
        <v>1998</v>
      </c>
      <c r="D24" s="5">
        <v>66</v>
      </c>
      <c r="E24" s="6">
        <v>7.6</v>
      </c>
    </row>
    <row r="25" spans="1:8">
      <c r="A25" s="8">
        <v>23</v>
      </c>
      <c r="B25" s="7" t="s">
        <v>28</v>
      </c>
      <c r="C25" s="5">
        <v>2496</v>
      </c>
      <c r="D25" s="5">
        <v>125</v>
      </c>
      <c r="E25" s="6">
        <v>11.3</v>
      </c>
    </row>
    <row r="26" spans="1:8">
      <c r="A26" s="8">
        <v>24</v>
      </c>
      <c r="B26" s="7" t="s">
        <v>29</v>
      </c>
      <c r="C26" s="5">
        <v>1998</v>
      </c>
      <c r="D26" s="5">
        <v>89</v>
      </c>
      <c r="E26" s="6">
        <v>10.8</v>
      </c>
    </row>
    <row r="27" spans="1:8">
      <c r="A27" s="8">
        <v>25</v>
      </c>
      <c r="B27" s="7" t="s">
        <v>30</v>
      </c>
      <c r="C27" s="5">
        <v>1997</v>
      </c>
      <c r="D27" s="5">
        <v>92</v>
      </c>
      <c r="E27" s="6">
        <v>9.1999999999999993</v>
      </c>
    </row>
    <row r="28" spans="1:8">
      <c r="A28" s="8">
        <v>26</v>
      </c>
      <c r="B28" s="7" t="s">
        <v>31</v>
      </c>
      <c r="C28" s="5">
        <v>1984</v>
      </c>
      <c r="D28" s="5">
        <v>85</v>
      </c>
      <c r="E28" s="6">
        <v>11.6</v>
      </c>
    </row>
    <row r="29" spans="1:8">
      <c r="A29" s="8">
        <v>27</v>
      </c>
      <c r="B29" s="7" t="s">
        <v>32</v>
      </c>
      <c r="C29" s="5">
        <v>2438</v>
      </c>
      <c r="D29" s="5">
        <v>97</v>
      </c>
      <c r="E29" s="6">
        <v>12.8</v>
      </c>
    </row>
    <row r="30" spans="1:8">
      <c r="A30" s="8">
        <v>28</v>
      </c>
      <c r="B30" s="7" t="s">
        <v>33</v>
      </c>
      <c r="C30" s="5">
        <v>2473</v>
      </c>
      <c r="D30" s="5">
        <v>125</v>
      </c>
      <c r="E30" s="6">
        <v>12.7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H57"/>
  <sheetViews>
    <sheetView showGridLines="0" workbookViewId="0">
      <selection activeCell="J23" sqref="J23"/>
    </sheetView>
  </sheetViews>
  <sheetFormatPr defaultColWidth="11.42578125" defaultRowHeight="12"/>
  <cols>
    <col min="1" max="16384" width="11.42578125" style="66"/>
  </cols>
  <sheetData>
    <row r="5" spans="2:3">
      <c r="B5" s="341" t="s">
        <v>90</v>
      </c>
      <c r="C5" s="341" t="s">
        <v>91</v>
      </c>
    </row>
    <row r="6" spans="2:3">
      <c r="B6" s="342">
        <v>1</v>
      </c>
      <c r="C6" s="342">
        <v>3</v>
      </c>
    </row>
    <row r="7" spans="2:3">
      <c r="B7" s="342">
        <v>1.1000000000000001</v>
      </c>
      <c r="C7" s="342">
        <v>6.8</v>
      </c>
    </row>
    <row r="8" spans="2:3">
      <c r="B8" s="342">
        <v>1.25</v>
      </c>
      <c r="C8" s="342">
        <v>8.3000000000000007</v>
      </c>
    </row>
    <row r="9" spans="2:3">
      <c r="B9" s="342">
        <v>1.5</v>
      </c>
      <c r="C9" s="342">
        <v>9.3048105459783255</v>
      </c>
    </row>
    <row r="10" spans="2:3">
      <c r="B10" s="342">
        <v>2</v>
      </c>
      <c r="C10" s="342">
        <v>9.8144679888450597</v>
      </c>
    </row>
    <row r="11" spans="2:3">
      <c r="B11" s="342">
        <v>2.25</v>
      </c>
      <c r="C11" s="342">
        <v>9.85</v>
      </c>
    </row>
    <row r="12" spans="2:3" ht="12.75" thickBot="1">
      <c r="B12" s="50"/>
      <c r="C12" s="50"/>
    </row>
    <row r="13" spans="2:3" ht="12.75" thickBot="1">
      <c r="B13" s="343" t="s">
        <v>114</v>
      </c>
      <c r="C13" s="344">
        <f>CORREL(B6:B11,C6:C11)</f>
        <v>0.78036364464383257</v>
      </c>
    </row>
    <row r="26" spans="2:3">
      <c r="B26" s="341" t="s">
        <v>90</v>
      </c>
      <c r="C26" s="341" t="s">
        <v>91</v>
      </c>
    </row>
    <row r="27" spans="2:3">
      <c r="B27" s="345">
        <v>-3</v>
      </c>
      <c r="C27" s="51">
        <v>9.643403264762707</v>
      </c>
    </row>
    <row r="28" spans="2:3">
      <c r="B28" s="345">
        <v>-2</v>
      </c>
      <c r="C28" s="51">
        <v>4.2809726174793568</v>
      </c>
    </row>
    <row r="29" spans="2:3">
      <c r="B29" s="345">
        <v>-1</v>
      </c>
      <c r="C29" s="51">
        <v>1.7690733780284573</v>
      </c>
    </row>
    <row r="30" spans="2:3">
      <c r="B30" s="345">
        <v>0</v>
      </c>
      <c r="C30" s="51">
        <v>1.8995799447920625E-2</v>
      </c>
    </row>
    <row r="31" spans="2:3">
      <c r="B31" s="345">
        <v>1</v>
      </c>
      <c r="C31" s="51">
        <v>1.5004386181447356</v>
      </c>
    </row>
    <row r="32" spans="2:3">
      <c r="B32" s="345">
        <v>2</v>
      </c>
      <c r="C32" s="51">
        <v>4.2256683750756689</v>
      </c>
    </row>
    <row r="33" spans="2:8">
      <c r="B33" s="345">
        <v>3</v>
      </c>
      <c r="C33" s="51">
        <v>9.5732628389547987</v>
      </c>
      <c r="D33" s="50"/>
      <c r="E33" s="50"/>
      <c r="F33" s="50"/>
      <c r="G33" s="50"/>
      <c r="H33" s="50"/>
    </row>
    <row r="34" spans="2:8" ht="12.75" thickBot="1">
      <c r="B34" s="50"/>
      <c r="C34" s="50"/>
      <c r="D34" s="50"/>
      <c r="E34" s="50"/>
      <c r="F34" s="50"/>
      <c r="G34" s="50"/>
      <c r="H34" s="50"/>
    </row>
    <row r="35" spans="2:8" ht="12.75" thickBot="1">
      <c r="B35" s="343" t="s">
        <v>137</v>
      </c>
      <c r="C35" s="344">
        <f>CORREL(B27:B33,C27:C33)</f>
        <v>-1.182440084841334E-2</v>
      </c>
      <c r="D35" s="50"/>
      <c r="E35" s="50"/>
      <c r="F35" s="50"/>
      <c r="G35" s="50"/>
      <c r="H35" s="50"/>
    </row>
    <row r="39" spans="2:8" ht="12.75" customHeight="1">
      <c r="B39" s="312" t="s">
        <v>138</v>
      </c>
      <c r="C39" s="312"/>
      <c r="D39" s="312"/>
      <c r="E39" s="312"/>
      <c r="F39" s="312"/>
      <c r="G39" s="312"/>
      <c r="H39" s="312"/>
    </row>
    <row r="43" spans="2:8">
      <c r="B43" s="341" t="s">
        <v>139</v>
      </c>
      <c r="C43" s="341" t="s">
        <v>91</v>
      </c>
      <c r="D43" s="50"/>
      <c r="E43" s="50"/>
      <c r="F43" s="50"/>
      <c r="G43" s="50"/>
      <c r="H43" s="50"/>
    </row>
    <row r="44" spans="2:8">
      <c r="B44" s="345">
        <f>B27^2</f>
        <v>9</v>
      </c>
      <c r="C44" s="51">
        <v>9.643403264762707</v>
      </c>
      <c r="D44" s="50"/>
      <c r="E44" s="50"/>
      <c r="F44" s="50"/>
      <c r="G44" s="50"/>
      <c r="H44" s="50"/>
    </row>
    <row r="45" spans="2:8">
      <c r="B45" s="345">
        <f t="shared" ref="B45:B50" si="0">B28^2</f>
        <v>4</v>
      </c>
      <c r="C45" s="51">
        <v>4.2809726174793568</v>
      </c>
      <c r="D45" s="50"/>
      <c r="E45" s="50"/>
      <c r="F45" s="50"/>
      <c r="G45" s="50"/>
      <c r="H45" s="50"/>
    </row>
    <row r="46" spans="2:8">
      <c r="B46" s="345">
        <f t="shared" si="0"/>
        <v>1</v>
      </c>
      <c r="C46" s="51">
        <v>1.7690733780284573</v>
      </c>
      <c r="D46" s="50"/>
      <c r="E46" s="50"/>
      <c r="F46" s="50"/>
      <c r="G46" s="50"/>
      <c r="H46" s="50"/>
    </row>
    <row r="47" spans="2:8">
      <c r="B47" s="345">
        <f t="shared" si="0"/>
        <v>0</v>
      </c>
      <c r="C47" s="51">
        <v>1.8995799447920625E-2</v>
      </c>
      <c r="D47" s="50"/>
      <c r="E47" s="50"/>
      <c r="F47" s="50"/>
      <c r="G47" s="50"/>
      <c r="H47" s="50"/>
    </row>
    <row r="48" spans="2:8">
      <c r="B48" s="345">
        <f t="shared" si="0"/>
        <v>1</v>
      </c>
      <c r="C48" s="51">
        <v>1.5004386181447356</v>
      </c>
      <c r="D48" s="50"/>
      <c r="E48" s="50"/>
      <c r="F48" s="50"/>
      <c r="G48" s="50"/>
      <c r="H48" s="50"/>
    </row>
    <row r="49" spans="2:8">
      <c r="B49" s="345">
        <f t="shared" si="0"/>
        <v>4</v>
      </c>
      <c r="C49" s="51">
        <v>4.2256683750756689</v>
      </c>
      <c r="D49" s="50"/>
      <c r="E49" s="50"/>
      <c r="F49" s="50"/>
      <c r="G49" s="50"/>
      <c r="H49" s="50"/>
    </row>
    <row r="50" spans="2:8">
      <c r="B50" s="345">
        <f t="shared" si="0"/>
        <v>9</v>
      </c>
      <c r="C50" s="51">
        <v>9.5732628389547987</v>
      </c>
      <c r="D50" s="50"/>
      <c r="E50" s="50"/>
      <c r="F50" s="50"/>
      <c r="G50" s="50"/>
      <c r="H50" s="50"/>
    </row>
    <row r="51" spans="2:8" ht="12.75" thickBot="1">
      <c r="B51" s="50"/>
      <c r="C51" s="50"/>
      <c r="D51" s="50"/>
      <c r="E51" s="50"/>
      <c r="F51" s="50"/>
      <c r="G51" s="50"/>
      <c r="H51" s="50"/>
    </row>
    <row r="52" spans="2:8" ht="12.75" thickBot="1">
      <c r="B52" s="343" t="s">
        <v>140</v>
      </c>
      <c r="C52" s="344">
        <f>CORREL(B44:B50,C44:C50)</f>
        <v>0.99796381572064086</v>
      </c>
      <c r="D52" s="50"/>
      <c r="E52" s="50"/>
      <c r="F52" s="50"/>
      <c r="G52" s="50"/>
      <c r="H52" s="50"/>
    </row>
    <row r="57" spans="2:8" ht="12.75" customHeight="1">
      <c r="B57" s="313" t="s">
        <v>141</v>
      </c>
      <c r="C57" s="313"/>
      <c r="D57" s="313"/>
      <c r="E57" s="313"/>
      <c r="F57" s="313"/>
      <c r="G57" s="313"/>
      <c r="H57" s="313"/>
    </row>
  </sheetData>
  <mergeCells count="2">
    <mergeCell ref="B39:H39"/>
    <mergeCell ref="B57:H57"/>
  </mergeCells>
  <phoneticPr fontId="2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47"/>
  <sheetViews>
    <sheetView showGridLines="0" workbookViewId="0">
      <selection activeCell="F43" sqref="F43"/>
    </sheetView>
  </sheetViews>
  <sheetFormatPr defaultRowHeight="12.75"/>
  <cols>
    <col min="1" max="1" width="3.7109375" customWidth="1"/>
    <col min="2" max="2" width="13.5703125" style="48" bestFit="1" customWidth="1"/>
    <col min="3" max="3" width="12.42578125" bestFit="1" customWidth="1"/>
    <col min="4" max="4" width="11.42578125" customWidth="1"/>
    <col min="5" max="5" width="11.140625" customWidth="1"/>
    <col min="6" max="6" width="15.85546875" customWidth="1"/>
    <col min="7" max="7" width="16.140625" bestFit="1" customWidth="1"/>
    <col min="8" max="8" width="15.85546875" bestFit="1" customWidth="1"/>
    <col min="9" max="256" width="11.42578125" customWidth="1"/>
  </cols>
  <sheetData>
    <row r="1" spans="2:3">
      <c r="B1" s="99" t="s">
        <v>142</v>
      </c>
      <c r="C1" s="99" t="s">
        <v>143</v>
      </c>
    </row>
    <row r="2" spans="2:3">
      <c r="B2" s="295">
        <v>1</v>
      </c>
      <c r="C2" s="65">
        <v>1.651</v>
      </c>
    </row>
    <row r="3" spans="2:3">
      <c r="B3" s="295">
        <v>1</v>
      </c>
      <c r="C3" s="65">
        <v>1.74498</v>
      </c>
    </row>
    <row r="4" spans="2:3">
      <c r="B4" s="295">
        <v>1</v>
      </c>
      <c r="C4" s="65">
        <v>1.7602200000000001</v>
      </c>
    </row>
    <row r="5" spans="2:3">
      <c r="B5" s="295">
        <v>1</v>
      </c>
      <c r="C5" s="65">
        <v>1.7119599999999999</v>
      </c>
    </row>
    <row r="6" spans="2:3">
      <c r="B6" s="295">
        <v>1</v>
      </c>
      <c r="C6" s="65">
        <v>1.8135599999999998</v>
      </c>
    </row>
    <row r="7" spans="2:3">
      <c r="B7" s="295">
        <v>1</v>
      </c>
      <c r="C7" s="65">
        <v>1.7119599999999999</v>
      </c>
    </row>
    <row r="8" spans="2:3">
      <c r="B8" s="295">
        <v>1</v>
      </c>
      <c r="C8" s="65">
        <v>1.78308</v>
      </c>
    </row>
    <row r="9" spans="2:3">
      <c r="B9" s="295">
        <v>1</v>
      </c>
      <c r="C9" s="65">
        <v>1.6916399999999998</v>
      </c>
    </row>
    <row r="10" spans="2:3">
      <c r="B10" s="295">
        <v>1</v>
      </c>
      <c r="C10" s="65">
        <v>1.7703799999999998</v>
      </c>
    </row>
    <row r="11" spans="2:3">
      <c r="B11" s="295">
        <v>1</v>
      </c>
      <c r="C11" s="65">
        <v>1.6484599999999998</v>
      </c>
    </row>
    <row r="12" spans="2:3">
      <c r="B12" s="295">
        <v>1</v>
      </c>
      <c r="C12" s="65">
        <v>1.6103599999999998</v>
      </c>
    </row>
    <row r="13" spans="2:3">
      <c r="B13" s="295">
        <v>1</v>
      </c>
      <c r="C13" s="65">
        <v>1.7729200000000001</v>
      </c>
    </row>
    <row r="14" spans="2:3">
      <c r="B14" s="295">
        <v>1</v>
      </c>
      <c r="C14" s="65">
        <v>1.7297399999999998</v>
      </c>
    </row>
    <row r="15" spans="2:3">
      <c r="B15" s="295">
        <v>1</v>
      </c>
      <c r="C15" s="65">
        <v>1.69418</v>
      </c>
    </row>
    <row r="16" spans="2:3">
      <c r="B16" s="295">
        <v>1</v>
      </c>
      <c r="C16" s="65">
        <v>1.7525999999999999</v>
      </c>
    </row>
    <row r="17" spans="2:8">
      <c r="B17" s="295">
        <v>1</v>
      </c>
      <c r="C17" s="65">
        <v>1.87198</v>
      </c>
    </row>
    <row r="18" spans="2:8">
      <c r="B18" s="295">
        <v>1</v>
      </c>
      <c r="C18" s="65">
        <v>1.7373599999999998</v>
      </c>
    </row>
    <row r="19" spans="2:8">
      <c r="B19" s="295">
        <v>1</v>
      </c>
      <c r="C19" s="65">
        <v>1.6891</v>
      </c>
    </row>
    <row r="20" spans="2:8">
      <c r="B20" s="295">
        <v>1</v>
      </c>
      <c r="C20" s="65">
        <v>1.78308</v>
      </c>
    </row>
    <row r="21" spans="2:8">
      <c r="B21" s="295">
        <v>1</v>
      </c>
      <c r="C21" s="65">
        <v>1.7272000000000001</v>
      </c>
      <c r="E21" s="314" t="s">
        <v>144</v>
      </c>
      <c r="F21" s="314"/>
      <c r="G21" s="314"/>
      <c r="H21" s="314"/>
    </row>
    <row r="22" spans="2:8">
      <c r="B22" s="295">
        <v>0</v>
      </c>
      <c r="C22" s="65">
        <v>1.69672</v>
      </c>
    </row>
    <row r="23" spans="2:8">
      <c r="B23" s="295">
        <v>0</v>
      </c>
      <c r="C23" s="65">
        <v>1.5392399999999999</v>
      </c>
      <c r="F23" s="289" t="s">
        <v>38</v>
      </c>
      <c r="G23" s="289" t="s">
        <v>39</v>
      </c>
      <c r="H23" s="289" t="s">
        <v>145</v>
      </c>
    </row>
    <row r="24" spans="2:8">
      <c r="B24" s="295">
        <v>0</v>
      </c>
      <c r="C24" s="65">
        <v>1.6255999999999999</v>
      </c>
      <c r="E24" s="68"/>
      <c r="F24" s="67" t="s">
        <v>146</v>
      </c>
      <c r="G24" s="101"/>
      <c r="H24" s="72"/>
    </row>
    <row r="25" spans="2:8">
      <c r="B25" s="295">
        <v>0</v>
      </c>
      <c r="C25" s="65">
        <v>1.6332199999999999</v>
      </c>
      <c r="E25" s="67" t="s">
        <v>147</v>
      </c>
      <c r="F25" s="12" t="s">
        <v>148</v>
      </c>
      <c r="G25" s="12" t="s">
        <v>149</v>
      </c>
      <c r="H25" s="12" t="s">
        <v>150</v>
      </c>
    </row>
    <row r="26" spans="2:8">
      <c r="B26" s="295">
        <v>0</v>
      </c>
      <c r="C26" s="65">
        <v>1.4351</v>
      </c>
      <c r="E26" s="68">
        <v>0</v>
      </c>
      <c r="F26" s="103">
        <v>15</v>
      </c>
      <c r="G26" s="110">
        <v>1.5888546666666665</v>
      </c>
      <c r="H26" s="105">
        <v>7.055315259400198E-2</v>
      </c>
    </row>
    <row r="27" spans="2:8">
      <c r="B27" s="295">
        <v>0</v>
      </c>
      <c r="C27" s="65">
        <v>1.6789399999999999</v>
      </c>
      <c r="E27" s="100">
        <v>1</v>
      </c>
      <c r="F27" s="103">
        <v>20</v>
      </c>
      <c r="G27" s="24">
        <v>1.732788</v>
      </c>
      <c r="H27" s="105">
        <v>6.0734548011036685E-2</v>
      </c>
    </row>
    <row r="28" spans="2:8">
      <c r="B28" s="295">
        <v>0</v>
      </c>
      <c r="C28" s="65">
        <v>1.6433799999999998</v>
      </c>
      <c r="E28" s="102" t="s">
        <v>151</v>
      </c>
      <c r="F28" s="104">
        <v>35</v>
      </c>
      <c r="G28" s="106">
        <v>1.6711022857142861</v>
      </c>
      <c r="H28" s="107">
        <v>9.6611120632742367E-2</v>
      </c>
    </row>
    <row r="29" spans="2:8">
      <c r="B29" s="295">
        <v>0</v>
      </c>
      <c r="C29" s="65">
        <v>1.6255999999999999</v>
      </c>
    </row>
    <row r="30" spans="2:8">
      <c r="B30" s="295">
        <v>0</v>
      </c>
      <c r="C30" s="65">
        <v>1.5417799999999999</v>
      </c>
      <c r="F30" s="11" t="s">
        <v>152</v>
      </c>
      <c r="G30" s="111">
        <f>(G27-G26)/H28*SQRT(F26*F27/(F28*(F28-1)))</f>
        <v>0.74803412429988825</v>
      </c>
    </row>
    <row r="31" spans="2:8">
      <c r="B31" s="295">
        <v>0</v>
      </c>
      <c r="C31" s="65">
        <v>1.5417799999999999</v>
      </c>
    </row>
    <row r="32" spans="2:8">
      <c r="B32" s="295">
        <v>0</v>
      </c>
      <c r="C32" s="65">
        <v>1.62052</v>
      </c>
      <c r="F32" s="2" t="s">
        <v>153</v>
      </c>
      <c r="G32" s="109">
        <f>((F26-1)*H26^2+(F27-1)*H27^2)/(F28-2)*(1/F26+1/F27)</f>
        <v>4.9414868043096073E-4</v>
      </c>
    </row>
    <row r="33" spans="2:7">
      <c r="B33" s="295">
        <v>0</v>
      </c>
      <c r="C33" s="65">
        <v>1.57734</v>
      </c>
    </row>
    <row r="34" spans="2:7">
      <c r="B34" s="295">
        <v>0</v>
      </c>
      <c r="C34" s="65">
        <v>1.5570199999999998</v>
      </c>
      <c r="F34" s="20" t="s">
        <v>46</v>
      </c>
      <c r="G34" s="21">
        <f>(G27-G26)/SQRT(G32)</f>
        <v>6.4748925133569051</v>
      </c>
    </row>
    <row r="35" spans="2:7">
      <c r="B35" s="295">
        <v>0</v>
      </c>
      <c r="C35" s="65">
        <v>1.4960599999999999</v>
      </c>
      <c r="F35" s="20" t="s">
        <v>104</v>
      </c>
      <c r="G35" s="20">
        <f>F28-2</f>
        <v>33</v>
      </c>
    </row>
    <row r="36" spans="2:7">
      <c r="B36" s="295">
        <v>0</v>
      </c>
      <c r="C36" s="65">
        <v>1.62052</v>
      </c>
    </row>
    <row r="37" spans="2:7">
      <c r="F37" s="20" t="s">
        <v>48</v>
      </c>
      <c r="G37" s="20">
        <f>TDIST(G34,G35,2)</f>
        <v>2.4009650755070098E-7</v>
      </c>
    </row>
    <row r="38" spans="2:7">
      <c r="B38" s="314" t="s">
        <v>154</v>
      </c>
      <c r="C38" s="314"/>
    </row>
    <row r="40" spans="2:7">
      <c r="B40" s="8" t="s">
        <v>38</v>
      </c>
      <c r="C40" s="2">
        <f>COUNTA(C2:C36)</f>
        <v>35</v>
      </c>
    </row>
    <row r="42" spans="2:7">
      <c r="B42" s="108" t="s">
        <v>114</v>
      </c>
      <c r="C42" s="111">
        <f>CORREL(B2:B36,C2:C36)</f>
        <v>0.74803412429982052</v>
      </c>
    </row>
    <row r="44" spans="2:7">
      <c r="B44" s="97" t="s">
        <v>46</v>
      </c>
      <c r="C44" s="21">
        <f>C42/SQRT((1-C42^2)/(C40-2))</f>
        <v>6.4748925133567914</v>
      </c>
    </row>
    <row r="45" spans="2:7">
      <c r="B45" s="97" t="s">
        <v>104</v>
      </c>
      <c r="C45" s="20">
        <f>C40-2</f>
        <v>33</v>
      </c>
    </row>
    <row r="47" spans="2:7">
      <c r="B47" s="97" t="s">
        <v>48</v>
      </c>
      <c r="C47" s="20">
        <f>TDIST(C44,C40-2,2)</f>
        <v>2.4009650755078071E-7</v>
      </c>
    </row>
  </sheetData>
  <mergeCells count="2">
    <mergeCell ref="B38:C38"/>
    <mergeCell ref="E21:H21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2"/>
  <headerFooter alignWithMargins="0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9"/>
  <sheetViews>
    <sheetView showGridLines="0" workbookViewId="0">
      <selection activeCell="B38" sqref="B38"/>
    </sheetView>
  </sheetViews>
  <sheetFormatPr defaultRowHeight="12.75"/>
  <cols>
    <col min="1" max="1" width="20.7109375" customWidth="1"/>
    <col min="2" max="2" width="21.5703125" customWidth="1"/>
    <col min="3" max="3" width="10.85546875" style="48" customWidth="1"/>
    <col min="4" max="4" width="14.85546875" style="48" bestFit="1" customWidth="1"/>
    <col min="5" max="5" width="13" style="48" bestFit="1" customWidth="1"/>
    <col min="6" max="256" width="11.42578125" customWidth="1"/>
  </cols>
  <sheetData>
    <row r="1" spans="1:5" ht="33.75">
      <c r="A1" s="2" t="s">
        <v>0</v>
      </c>
      <c r="B1" s="1" t="s">
        <v>1</v>
      </c>
      <c r="C1" s="94" t="s">
        <v>2</v>
      </c>
      <c r="D1" s="113" t="s">
        <v>155</v>
      </c>
      <c r="E1" s="112" t="s">
        <v>156</v>
      </c>
    </row>
    <row r="2" spans="1:5">
      <c r="A2" s="8">
        <v>1</v>
      </c>
      <c r="B2" s="7" t="s">
        <v>6</v>
      </c>
      <c r="C2" s="117">
        <v>846</v>
      </c>
      <c r="D2" s="117">
        <f>IF(C2&gt;1200,1,0)</f>
        <v>0</v>
      </c>
      <c r="E2" s="117">
        <v>32</v>
      </c>
    </row>
    <row r="3" spans="1:5">
      <c r="A3" s="8">
        <v>2</v>
      </c>
      <c r="B3" s="7" t="s">
        <v>7</v>
      </c>
      <c r="C3" s="117">
        <v>993</v>
      </c>
      <c r="D3" s="117">
        <f t="shared" ref="D3:D29" si="0">IF(C3&gt;1200,1,0)</f>
        <v>0</v>
      </c>
      <c r="E3" s="117">
        <v>39</v>
      </c>
    </row>
    <row r="4" spans="1:5">
      <c r="A4" s="8">
        <v>3</v>
      </c>
      <c r="B4" s="7" t="s">
        <v>8</v>
      </c>
      <c r="C4" s="117">
        <v>899</v>
      </c>
      <c r="D4" s="117">
        <f t="shared" si="0"/>
        <v>0</v>
      </c>
      <c r="E4" s="117">
        <v>29</v>
      </c>
    </row>
    <row r="5" spans="1:5">
      <c r="A5" s="8">
        <v>4</v>
      </c>
      <c r="B5" s="7" t="s">
        <v>9</v>
      </c>
      <c r="C5" s="117">
        <v>1390</v>
      </c>
      <c r="D5" s="117">
        <f t="shared" si="0"/>
        <v>1</v>
      </c>
      <c r="E5" s="117">
        <v>44</v>
      </c>
    </row>
    <row r="6" spans="1:5">
      <c r="A6" s="8">
        <v>5</v>
      </c>
      <c r="B6" s="7" t="s">
        <v>10</v>
      </c>
      <c r="C6" s="117">
        <v>1195</v>
      </c>
      <c r="D6" s="117">
        <f t="shared" si="0"/>
        <v>0</v>
      </c>
      <c r="E6" s="117">
        <v>33</v>
      </c>
    </row>
    <row r="7" spans="1:5">
      <c r="A7" s="8">
        <v>6</v>
      </c>
      <c r="B7" s="7" t="s">
        <v>11</v>
      </c>
      <c r="C7" s="117">
        <v>658</v>
      </c>
      <c r="D7" s="117">
        <f t="shared" si="0"/>
        <v>0</v>
      </c>
      <c r="E7" s="117">
        <v>32</v>
      </c>
    </row>
    <row r="8" spans="1:5">
      <c r="A8" s="8">
        <v>7</v>
      </c>
      <c r="B8" s="7" t="s">
        <v>12</v>
      </c>
      <c r="C8" s="117">
        <v>1331</v>
      </c>
      <c r="D8" s="117">
        <f t="shared" si="0"/>
        <v>1</v>
      </c>
      <c r="E8" s="117">
        <v>55</v>
      </c>
    </row>
    <row r="9" spans="1:5">
      <c r="A9" s="8">
        <v>8</v>
      </c>
      <c r="B9" s="7" t="s">
        <v>13</v>
      </c>
      <c r="C9" s="117">
        <v>1597</v>
      </c>
      <c r="D9" s="117">
        <f t="shared" si="0"/>
        <v>1</v>
      </c>
      <c r="E9" s="117">
        <v>74</v>
      </c>
    </row>
    <row r="10" spans="1:5">
      <c r="A10" s="8">
        <v>9</v>
      </c>
      <c r="B10" s="7" t="s">
        <v>14</v>
      </c>
      <c r="C10" s="117">
        <v>1761</v>
      </c>
      <c r="D10" s="117">
        <f t="shared" si="0"/>
        <v>1</v>
      </c>
      <c r="E10" s="117">
        <v>74</v>
      </c>
    </row>
    <row r="11" spans="1:5">
      <c r="A11" s="8">
        <v>10</v>
      </c>
      <c r="B11" s="7" t="s">
        <v>15</v>
      </c>
      <c r="C11" s="117">
        <v>2165</v>
      </c>
      <c r="D11" s="117">
        <f t="shared" si="0"/>
        <v>1</v>
      </c>
      <c r="E11" s="117">
        <v>101</v>
      </c>
    </row>
    <row r="12" spans="1:5">
      <c r="A12" s="8">
        <v>11</v>
      </c>
      <c r="B12" s="7" t="s">
        <v>16</v>
      </c>
      <c r="C12" s="117">
        <v>1983</v>
      </c>
      <c r="D12" s="117">
        <f t="shared" si="0"/>
        <v>1</v>
      </c>
      <c r="E12" s="117">
        <v>85</v>
      </c>
    </row>
    <row r="13" spans="1:5">
      <c r="A13" s="8">
        <v>12</v>
      </c>
      <c r="B13" s="7" t="s">
        <v>17</v>
      </c>
      <c r="C13" s="117">
        <v>1984</v>
      </c>
      <c r="D13" s="117">
        <f t="shared" si="0"/>
        <v>1</v>
      </c>
      <c r="E13" s="117">
        <v>85</v>
      </c>
    </row>
    <row r="14" spans="1:5">
      <c r="A14" s="8">
        <v>13</v>
      </c>
      <c r="B14" s="7" t="s">
        <v>18</v>
      </c>
      <c r="C14" s="117">
        <v>1998</v>
      </c>
      <c r="D14" s="117">
        <f t="shared" si="0"/>
        <v>1</v>
      </c>
      <c r="E14" s="117">
        <v>89</v>
      </c>
    </row>
    <row r="15" spans="1:5">
      <c r="A15" s="8">
        <v>14</v>
      </c>
      <c r="B15" s="7" t="s">
        <v>19</v>
      </c>
      <c r="C15" s="117">
        <v>1580</v>
      </c>
      <c r="D15" s="117">
        <f t="shared" si="0"/>
        <v>1</v>
      </c>
      <c r="E15" s="117">
        <v>65</v>
      </c>
    </row>
    <row r="16" spans="1:5">
      <c r="A16" s="8">
        <v>15</v>
      </c>
      <c r="B16" s="7" t="s">
        <v>20</v>
      </c>
      <c r="C16" s="117">
        <v>1390</v>
      </c>
      <c r="D16" s="117">
        <f t="shared" si="0"/>
        <v>1</v>
      </c>
      <c r="E16" s="117">
        <v>54</v>
      </c>
    </row>
    <row r="17" spans="1:5">
      <c r="A17" s="8">
        <v>16</v>
      </c>
      <c r="B17" s="7" t="s">
        <v>21</v>
      </c>
      <c r="C17" s="117">
        <v>1396</v>
      </c>
      <c r="D17" s="117">
        <f t="shared" si="0"/>
        <v>1</v>
      </c>
      <c r="E17" s="117">
        <v>66</v>
      </c>
    </row>
    <row r="18" spans="1:5">
      <c r="A18" s="8">
        <v>17</v>
      </c>
      <c r="B18" s="7" t="s">
        <v>22</v>
      </c>
      <c r="C18" s="117">
        <v>2435</v>
      </c>
      <c r="D18" s="117">
        <f t="shared" si="0"/>
        <v>1</v>
      </c>
      <c r="E18" s="117">
        <v>106</v>
      </c>
    </row>
    <row r="19" spans="1:5">
      <c r="A19" s="8">
        <v>18</v>
      </c>
      <c r="B19" s="7" t="s">
        <v>23</v>
      </c>
      <c r="C19" s="117">
        <v>1242</v>
      </c>
      <c r="D19" s="117">
        <f t="shared" si="0"/>
        <v>1</v>
      </c>
      <c r="E19" s="117">
        <v>55</v>
      </c>
    </row>
    <row r="20" spans="1:5">
      <c r="A20" s="8">
        <v>19</v>
      </c>
      <c r="B20" s="7" t="s">
        <v>24</v>
      </c>
      <c r="C20" s="117">
        <v>2972</v>
      </c>
      <c r="D20" s="117">
        <f t="shared" si="0"/>
        <v>1</v>
      </c>
      <c r="E20" s="117">
        <v>107</v>
      </c>
    </row>
    <row r="21" spans="1:5">
      <c r="A21" s="8">
        <v>20</v>
      </c>
      <c r="B21" s="7" t="s">
        <v>25</v>
      </c>
      <c r="C21" s="117">
        <v>2958</v>
      </c>
      <c r="D21" s="117">
        <f t="shared" si="0"/>
        <v>1</v>
      </c>
      <c r="E21" s="117">
        <v>150</v>
      </c>
    </row>
    <row r="22" spans="1:5">
      <c r="A22" s="8">
        <v>21</v>
      </c>
      <c r="B22" s="7" t="s">
        <v>26</v>
      </c>
      <c r="C22" s="117">
        <v>2497</v>
      </c>
      <c r="D22" s="117">
        <f t="shared" si="0"/>
        <v>1</v>
      </c>
      <c r="E22" s="117">
        <v>122</v>
      </c>
    </row>
    <row r="23" spans="1:5">
      <c r="A23" s="8">
        <v>22</v>
      </c>
      <c r="B23" s="7" t="s">
        <v>27</v>
      </c>
      <c r="C23" s="117">
        <v>1998</v>
      </c>
      <c r="D23" s="117">
        <f t="shared" si="0"/>
        <v>1</v>
      </c>
      <c r="E23" s="117">
        <v>66</v>
      </c>
    </row>
    <row r="24" spans="1:5">
      <c r="A24" s="8">
        <v>23</v>
      </c>
      <c r="B24" s="7" t="s">
        <v>28</v>
      </c>
      <c r="C24" s="117">
        <v>2496</v>
      </c>
      <c r="D24" s="117">
        <f t="shared" si="0"/>
        <v>1</v>
      </c>
      <c r="E24" s="117">
        <v>125</v>
      </c>
    </row>
    <row r="25" spans="1:5">
      <c r="A25" s="8">
        <v>24</v>
      </c>
      <c r="B25" s="7" t="s">
        <v>29</v>
      </c>
      <c r="C25" s="117">
        <v>1998</v>
      </c>
      <c r="D25" s="117">
        <f t="shared" si="0"/>
        <v>1</v>
      </c>
      <c r="E25" s="117">
        <v>89</v>
      </c>
    </row>
    <row r="26" spans="1:5">
      <c r="A26" s="8">
        <v>25</v>
      </c>
      <c r="B26" s="7" t="s">
        <v>30</v>
      </c>
      <c r="C26" s="117">
        <v>1997</v>
      </c>
      <c r="D26" s="117">
        <f t="shared" si="0"/>
        <v>1</v>
      </c>
      <c r="E26" s="117">
        <v>92</v>
      </c>
    </row>
    <row r="27" spans="1:5">
      <c r="A27" s="8">
        <v>26</v>
      </c>
      <c r="B27" s="7" t="s">
        <v>31</v>
      </c>
      <c r="C27" s="117">
        <v>1984</v>
      </c>
      <c r="D27" s="117">
        <f t="shared" si="0"/>
        <v>1</v>
      </c>
      <c r="E27" s="117">
        <v>85</v>
      </c>
    </row>
    <row r="28" spans="1:5">
      <c r="A28" s="8">
        <v>27</v>
      </c>
      <c r="B28" s="7" t="s">
        <v>32</v>
      </c>
      <c r="C28" s="117">
        <v>2438</v>
      </c>
      <c r="D28" s="117">
        <f t="shared" si="0"/>
        <v>1</v>
      </c>
      <c r="E28" s="117">
        <v>97</v>
      </c>
    </row>
    <row r="29" spans="1:5">
      <c r="A29" s="8">
        <v>28</v>
      </c>
      <c r="B29" s="7" t="s">
        <v>33</v>
      </c>
      <c r="C29" s="117">
        <v>2473</v>
      </c>
      <c r="D29" s="117">
        <f t="shared" si="0"/>
        <v>1</v>
      </c>
      <c r="E29" s="117">
        <v>125</v>
      </c>
    </row>
    <row r="32" spans="1:5">
      <c r="A32" s="12" t="s">
        <v>38</v>
      </c>
      <c r="B32" s="12">
        <f>COUNTA(D2:D29)</f>
        <v>28</v>
      </c>
    </row>
    <row r="33" spans="1:5">
      <c r="A33" s="12" t="s">
        <v>157</v>
      </c>
      <c r="B33" s="12">
        <f>COUNTIF(D2:D29,1)</f>
        <v>23</v>
      </c>
    </row>
    <row r="34" spans="1:5">
      <c r="A34" s="12" t="s">
        <v>158</v>
      </c>
      <c r="B34" s="12">
        <f>COUNTIF(D2:D29,0)</f>
        <v>5</v>
      </c>
    </row>
    <row r="36" spans="1:5">
      <c r="A36" s="12" t="s">
        <v>159</v>
      </c>
      <c r="B36" s="91">
        <f>B33/B32</f>
        <v>0.8214285714285714</v>
      </c>
    </row>
    <row r="37" spans="1:5">
      <c r="A37" s="12" t="s">
        <v>160</v>
      </c>
      <c r="B37" s="91">
        <f>NORMSINV(B36)</f>
        <v>0.9208229763683794</v>
      </c>
    </row>
    <row r="38" spans="1:5">
      <c r="A38" s="12" t="s">
        <v>161</v>
      </c>
      <c r="B38" s="91">
        <f>1/SQRT(2*PI())*EXP(-(B37^2)/2)</f>
        <v>0.26108845785139745</v>
      </c>
    </row>
    <row r="39" spans="1:5" ht="24" customHeight="1">
      <c r="D39" s="317" t="s">
        <v>162</v>
      </c>
      <c r="E39" s="318"/>
    </row>
    <row r="40" spans="1:5">
      <c r="A40" s="12" t="s">
        <v>163</v>
      </c>
      <c r="B40" s="91">
        <f>STDEV(E2:E29)</f>
        <v>32.256905253107227</v>
      </c>
      <c r="D40" s="95" t="s">
        <v>114</v>
      </c>
      <c r="E40" s="118">
        <f>CORREL(C2:C29,E2:E29)</f>
        <v>0.94754909682670629</v>
      </c>
    </row>
    <row r="42" spans="1:5">
      <c r="A42" s="12" t="s">
        <v>164</v>
      </c>
      <c r="B42" s="33">
        <f>SUMIF(D2:D29,1,E2:E29)/B33</f>
        <v>87.434782608695656</v>
      </c>
    </row>
    <row r="43" spans="1:5">
      <c r="A43" s="116" t="s">
        <v>165</v>
      </c>
      <c r="B43" s="33">
        <f>SUMIF(D2:D29,0,E2:E29)/B34</f>
        <v>33</v>
      </c>
      <c r="D43" s="315" t="s">
        <v>166</v>
      </c>
      <c r="E43" s="315"/>
    </row>
    <row r="44" spans="1:5">
      <c r="A44" s="114"/>
      <c r="B44" s="115"/>
      <c r="D44" s="95" t="s">
        <v>152</v>
      </c>
      <c r="E44" s="118">
        <f>CORREL(D2:D29,E2:E29)</f>
        <v>0.65817565863316718</v>
      </c>
    </row>
    <row r="45" spans="1:5">
      <c r="A45" s="316" t="s">
        <v>167</v>
      </c>
      <c r="B45" s="316"/>
    </row>
    <row r="46" spans="1:5">
      <c r="A46" s="20" t="s">
        <v>168</v>
      </c>
      <c r="B46" s="21">
        <f>(B42-B43)/B40*((B33*B34)/(B38*(B32^2)))</f>
        <v>0.94808636093348153</v>
      </c>
      <c r="D46" s="97" t="s">
        <v>169</v>
      </c>
      <c r="E46" s="119">
        <f>E44*SQRT((B33*B34*(B32-1))/((B38^2)*(B32^3)))</f>
        <v>0.94808636093348186</v>
      </c>
    </row>
    <row r="48" spans="1:5">
      <c r="A48" s="20" t="s">
        <v>46</v>
      </c>
      <c r="B48" s="21">
        <f>B46/SQRT((1-B46^2)/(B32-2))</f>
        <v>15.201615142652663</v>
      </c>
    </row>
    <row r="49" spans="1:2">
      <c r="A49" s="20" t="s">
        <v>48</v>
      </c>
      <c r="B49" s="20">
        <f>TDIST(B48,B32-2,2)</f>
        <v>1.8848083415546477E-14</v>
      </c>
    </row>
  </sheetData>
  <mergeCells count="3">
    <mergeCell ref="D43:E43"/>
    <mergeCell ref="A45:B45"/>
    <mergeCell ref="D39:E39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"/>
  <sheetViews>
    <sheetView showGridLines="0" workbookViewId="0">
      <selection activeCell="B48" sqref="B48"/>
    </sheetView>
  </sheetViews>
  <sheetFormatPr defaultRowHeight="12.75"/>
  <cols>
    <col min="1" max="1" width="11.85546875" customWidth="1"/>
    <col min="2" max="2" width="16.85546875" bestFit="1" customWidth="1"/>
    <col min="3" max="4" width="15.42578125" customWidth="1"/>
    <col min="5" max="5" width="16.5703125" customWidth="1"/>
    <col min="6" max="6" width="14.7109375" customWidth="1"/>
    <col min="7" max="7" width="12.42578125" bestFit="1" customWidth="1"/>
    <col min="8" max="256" width="11.42578125" customWidth="1"/>
  </cols>
  <sheetData>
    <row r="1" spans="1:6">
      <c r="E1" s="113" t="s">
        <v>170</v>
      </c>
      <c r="F1" s="113" t="s">
        <v>171</v>
      </c>
    </row>
    <row r="2" spans="1:6">
      <c r="A2" s="2" t="s">
        <v>0</v>
      </c>
      <c r="B2" s="1" t="s">
        <v>1</v>
      </c>
      <c r="C2" s="94" t="s">
        <v>2</v>
      </c>
      <c r="D2" s="120" t="s">
        <v>172</v>
      </c>
      <c r="E2" s="113" t="s">
        <v>90</v>
      </c>
      <c r="F2" s="113" t="s">
        <v>91</v>
      </c>
    </row>
    <row r="3" spans="1:6">
      <c r="A3" s="8">
        <v>1</v>
      </c>
      <c r="B3" s="136" t="s">
        <v>6</v>
      </c>
      <c r="C3" s="117">
        <v>846</v>
      </c>
      <c r="D3" s="117">
        <v>32</v>
      </c>
      <c r="E3" s="117">
        <f>IF(C3&gt;1800,1,0)</f>
        <v>0</v>
      </c>
      <c r="F3" s="12">
        <f>IF(D3&gt;75,1,0)</f>
        <v>0</v>
      </c>
    </row>
    <row r="4" spans="1:6">
      <c r="A4" s="8">
        <v>2</v>
      </c>
      <c r="B4" s="136" t="s">
        <v>7</v>
      </c>
      <c r="C4" s="117">
        <v>993</v>
      </c>
      <c r="D4" s="117">
        <v>39</v>
      </c>
      <c r="E4" s="117">
        <f t="shared" ref="E4:E30" si="0">IF(C4&gt;1800,1,0)</f>
        <v>0</v>
      </c>
      <c r="F4" s="12">
        <f t="shared" ref="F4:F30" si="1">IF(D4&gt;75,1,0)</f>
        <v>0</v>
      </c>
    </row>
    <row r="5" spans="1:6">
      <c r="A5" s="8">
        <v>3</v>
      </c>
      <c r="B5" s="136" t="s">
        <v>8</v>
      </c>
      <c r="C5" s="117">
        <v>899</v>
      </c>
      <c r="D5" s="117">
        <v>29</v>
      </c>
      <c r="E5" s="117">
        <f t="shared" si="0"/>
        <v>0</v>
      </c>
      <c r="F5" s="12">
        <f t="shared" si="1"/>
        <v>0</v>
      </c>
    </row>
    <row r="6" spans="1:6">
      <c r="A6" s="8">
        <v>4</v>
      </c>
      <c r="B6" s="136" t="s">
        <v>9</v>
      </c>
      <c r="C6" s="117">
        <v>1390</v>
      </c>
      <c r="D6" s="117">
        <v>44</v>
      </c>
      <c r="E6" s="117">
        <f t="shared" si="0"/>
        <v>0</v>
      </c>
      <c r="F6" s="12">
        <f t="shared" si="1"/>
        <v>0</v>
      </c>
    </row>
    <row r="7" spans="1:6">
      <c r="A7" s="8">
        <v>5</v>
      </c>
      <c r="B7" s="136" t="s">
        <v>10</v>
      </c>
      <c r="C7" s="117">
        <v>1195</v>
      </c>
      <c r="D7" s="117">
        <v>33</v>
      </c>
      <c r="E7" s="117">
        <f t="shared" si="0"/>
        <v>0</v>
      </c>
      <c r="F7" s="12">
        <f t="shared" si="1"/>
        <v>0</v>
      </c>
    </row>
    <row r="8" spans="1:6">
      <c r="A8" s="8">
        <v>6</v>
      </c>
      <c r="B8" s="136" t="s">
        <v>11</v>
      </c>
      <c r="C8" s="117">
        <v>658</v>
      </c>
      <c r="D8" s="117">
        <v>32</v>
      </c>
      <c r="E8" s="117">
        <f t="shared" si="0"/>
        <v>0</v>
      </c>
      <c r="F8" s="12">
        <f t="shared" si="1"/>
        <v>0</v>
      </c>
    </row>
    <row r="9" spans="1:6">
      <c r="A9" s="8">
        <v>7</v>
      </c>
      <c r="B9" s="136" t="s">
        <v>12</v>
      </c>
      <c r="C9" s="117">
        <v>1331</v>
      </c>
      <c r="D9" s="117">
        <v>55</v>
      </c>
      <c r="E9" s="117">
        <f t="shared" si="0"/>
        <v>0</v>
      </c>
      <c r="F9" s="12">
        <f t="shared" si="1"/>
        <v>0</v>
      </c>
    </row>
    <row r="10" spans="1:6">
      <c r="A10" s="8">
        <v>8</v>
      </c>
      <c r="B10" s="136" t="s">
        <v>13</v>
      </c>
      <c r="C10" s="117">
        <v>1597</v>
      </c>
      <c r="D10" s="117">
        <v>74</v>
      </c>
      <c r="E10" s="117">
        <f t="shared" si="0"/>
        <v>0</v>
      </c>
      <c r="F10" s="12">
        <f t="shared" si="1"/>
        <v>0</v>
      </c>
    </row>
    <row r="11" spans="1:6">
      <c r="A11" s="8">
        <v>9</v>
      </c>
      <c r="B11" s="136" t="s">
        <v>14</v>
      </c>
      <c r="C11" s="117">
        <v>1761</v>
      </c>
      <c r="D11" s="117">
        <v>74</v>
      </c>
      <c r="E11" s="117">
        <f t="shared" si="0"/>
        <v>0</v>
      </c>
      <c r="F11" s="12">
        <f t="shared" si="1"/>
        <v>0</v>
      </c>
    </row>
    <row r="12" spans="1:6">
      <c r="A12" s="8">
        <v>10</v>
      </c>
      <c r="B12" s="136" t="s">
        <v>15</v>
      </c>
      <c r="C12" s="117">
        <v>2165</v>
      </c>
      <c r="D12" s="117">
        <v>101</v>
      </c>
      <c r="E12" s="117">
        <f t="shared" si="0"/>
        <v>1</v>
      </c>
      <c r="F12" s="12">
        <f t="shared" si="1"/>
        <v>1</v>
      </c>
    </row>
    <row r="13" spans="1:6">
      <c r="A13" s="8">
        <v>11</v>
      </c>
      <c r="B13" s="136" t="s">
        <v>16</v>
      </c>
      <c r="C13" s="117">
        <v>1983</v>
      </c>
      <c r="D13" s="117">
        <v>85</v>
      </c>
      <c r="E13" s="117">
        <f t="shared" si="0"/>
        <v>1</v>
      </c>
      <c r="F13" s="12">
        <f t="shared" si="1"/>
        <v>1</v>
      </c>
    </row>
    <row r="14" spans="1:6">
      <c r="A14" s="8">
        <v>12</v>
      </c>
      <c r="B14" s="136" t="s">
        <v>17</v>
      </c>
      <c r="C14" s="117">
        <v>1984</v>
      </c>
      <c r="D14" s="117">
        <v>85</v>
      </c>
      <c r="E14" s="117">
        <f t="shared" si="0"/>
        <v>1</v>
      </c>
      <c r="F14" s="12">
        <f t="shared" si="1"/>
        <v>1</v>
      </c>
    </row>
    <row r="15" spans="1:6">
      <c r="A15" s="8">
        <v>13</v>
      </c>
      <c r="B15" s="136" t="s">
        <v>18</v>
      </c>
      <c r="C15" s="117">
        <v>1998</v>
      </c>
      <c r="D15" s="117">
        <v>89</v>
      </c>
      <c r="E15" s="117">
        <f t="shared" si="0"/>
        <v>1</v>
      </c>
      <c r="F15" s="12">
        <f t="shared" si="1"/>
        <v>1</v>
      </c>
    </row>
    <row r="16" spans="1:6">
      <c r="A16" s="8">
        <v>14</v>
      </c>
      <c r="B16" s="136" t="s">
        <v>19</v>
      </c>
      <c r="C16" s="117">
        <v>1580</v>
      </c>
      <c r="D16" s="117">
        <v>65</v>
      </c>
      <c r="E16" s="117">
        <f t="shared" si="0"/>
        <v>0</v>
      </c>
      <c r="F16" s="12">
        <f t="shared" si="1"/>
        <v>0</v>
      </c>
    </row>
    <row r="17" spans="1:6">
      <c r="A17" s="8">
        <v>15</v>
      </c>
      <c r="B17" s="136" t="s">
        <v>20</v>
      </c>
      <c r="C17" s="117">
        <v>1390</v>
      </c>
      <c r="D17" s="117">
        <v>54</v>
      </c>
      <c r="E17" s="117">
        <f t="shared" si="0"/>
        <v>0</v>
      </c>
      <c r="F17" s="12">
        <f t="shared" si="1"/>
        <v>0</v>
      </c>
    </row>
    <row r="18" spans="1:6">
      <c r="A18" s="8">
        <v>16</v>
      </c>
      <c r="B18" s="136" t="s">
        <v>21</v>
      </c>
      <c r="C18" s="117">
        <v>1396</v>
      </c>
      <c r="D18" s="117">
        <v>66</v>
      </c>
      <c r="E18" s="117">
        <f t="shared" si="0"/>
        <v>0</v>
      </c>
      <c r="F18" s="12">
        <f t="shared" si="1"/>
        <v>0</v>
      </c>
    </row>
    <row r="19" spans="1:6">
      <c r="A19" s="8">
        <v>17</v>
      </c>
      <c r="B19" s="136" t="s">
        <v>22</v>
      </c>
      <c r="C19" s="117">
        <v>2435</v>
      </c>
      <c r="D19" s="117">
        <v>106</v>
      </c>
      <c r="E19" s="117">
        <f t="shared" si="0"/>
        <v>1</v>
      </c>
      <c r="F19" s="12">
        <f t="shared" si="1"/>
        <v>1</v>
      </c>
    </row>
    <row r="20" spans="1:6">
      <c r="A20" s="8">
        <v>18</v>
      </c>
      <c r="B20" s="136" t="s">
        <v>23</v>
      </c>
      <c r="C20" s="117">
        <v>1242</v>
      </c>
      <c r="D20" s="117">
        <v>55</v>
      </c>
      <c r="E20" s="117">
        <f t="shared" si="0"/>
        <v>0</v>
      </c>
      <c r="F20" s="12">
        <f t="shared" si="1"/>
        <v>0</v>
      </c>
    </row>
    <row r="21" spans="1:6">
      <c r="A21" s="8">
        <v>19</v>
      </c>
      <c r="B21" s="136" t="s">
        <v>24</v>
      </c>
      <c r="C21" s="117">
        <v>2972</v>
      </c>
      <c r="D21" s="117">
        <v>107</v>
      </c>
      <c r="E21" s="117">
        <f t="shared" si="0"/>
        <v>1</v>
      </c>
      <c r="F21" s="12">
        <f t="shared" si="1"/>
        <v>1</v>
      </c>
    </row>
    <row r="22" spans="1:6">
      <c r="A22" s="8">
        <v>20</v>
      </c>
      <c r="B22" s="136" t="s">
        <v>25</v>
      </c>
      <c r="C22" s="117">
        <v>2958</v>
      </c>
      <c r="D22" s="117">
        <v>150</v>
      </c>
      <c r="E22" s="117">
        <f t="shared" si="0"/>
        <v>1</v>
      </c>
      <c r="F22" s="12">
        <f t="shared" si="1"/>
        <v>1</v>
      </c>
    </row>
    <row r="23" spans="1:6">
      <c r="A23" s="8">
        <v>21</v>
      </c>
      <c r="B23" s="136" t="s">
        <v>26</v>
      </c>
      <c r="C23" s="117">
        <v>2497</v>
      </c>
      <c r="D23" s="117">
        <v>122</v>
      </c>
      <c r="E23" s="117">
        <f t="shared" si="0"/>
        <v>1</v>
      </c>
      <c r="F23" s="12">
        <f t="shared" si="1"/>
        <v>1</v>
      </c>
    </row>
    <row r="24" spans="1:6">
      <c r="A24" s="8">
        <v>22</v>
      </c>
      <c r="B24" s="136" t="s">
        <v>27</v>
      </c>
      <c r="C24" s="117">
        <v>1998</v>
      </c>
      <c r="D24" s="117">
        <v>66</v>
      </c>
      <c r="E24" s="117">
        <f t="shared" si="0"/>
        <v>1</v>
      </c>
      <c r="F24" s="12">
        <f t="shared" si="1"/>
        <v>0</v>
      </c>
    </row>
    <row r="25" spans="1:6">
      <c r="A25" s="8">
        <v>23</v>
      </c>
      <c r="B25" s="136" t="s">
        <v>28</v>
      </c>
      <c r="C25" s="117">
        <v>2496</v>
      </c>
      <c r="D25" s="117">
        <v>125</v>
      </c>
      <c r="E25" s="117">
        <f t="shared" si="0"/>
        <v>1</v>
      </c>
      <c r="F25" s="12">
        <f t="shared" si="1"/>
        <v>1</v>
      </c>
    </row>
    <row r="26" spans="1:6">
      <c r="A26" s="8">
        <v>24</v>
      </c>
      <c r="B26" s="136" t="s">
        <v>29</v>
      </c>
      <c r="C26" s="117">
        <v>1998</v>
      </c>
      <c r="D26" s="117">
        <v>89</v>
      </c>
      <c r="E26" s="117">
        <f t="shared" si="0"/>
        <v>1</v>
      </c>
      <c r="F26" s="12">
        <f t="shared" si="1"/>
        <v>1</v>
      </c>
    </row>
    <row r="27" spans="1:6">
      <c r="A27" s="8">
        <v>25</v>
      </c>
      <c r="B27" s="136" t="s">
        <v>30</v>
      </c>
      <c r="C27" s="117">
        <v>1997</v>
      </c>
      <c r="D27" s="117">
        <v>92</v>
      </c>
      <c r="E27" s="117">
        <f t="shared" si="0"/>
        <v>1</v>
      </c>
      <c r="F27" s="12">
        <f t="shared" si="1"/>
        <v>1</v>
      </c>
    </row>
    <row r="28" spans="1:6">
      <c r="A28" s="8">
        <v>26</v>
      </c>
      <c r="B28" s="136" t="s">
        <v>31</v>
      </c>
      <c r="C28" s="117">
        <v>1984</v>
      </c>
      <c r="D28" s="117">
        <v>85</v>
      </c>
      <c r="E28" s="117">
        <f t="shared" si="0"/>
        <v>1</v>
      </c>
      <c r="F28" s="12">
        <f t="shared" si="1"/>
        <v>1</v>
      </c>
    </row>
    <row r="29" spans="1:6">
      <c r="A29" s="8">
        <v>27</v>
      </c>
      <c r="B29" s="136" t="s">
        <v>32</v>
      </c>
      <c r="C29" s="117">
        <v>2438</v>
      </c>
      <c r="D29" s="117">
        <v>97</v>
      </c>
      <c r="E29" s="117">
        <f t="shared" si="0"/>
        <v>1</v>
      </c>
      <c r="F29" s="12">
        <f t="shared" si="1"/>
        <v>1</v>
      </c>
    </row>
    <row r="30" spans="1:6">
      <c r="A30" s="8">
        <v>28</v>
      </c>
      <c r="B30" s="136" t="s">
        <v>33</v>
      </c>
      <c r="C30" s="117">
        <v>2473</v>
      </c>
      <c r="D30" s="117">
        <v>125</v>
      </c>
      <c r="E30" s="117">
        <f t="shared" si="0"/>
        <v>1</v>
      </c>
      <c r="F30" s="12">
        <f t="shared" si="1"/>
        <v>1</v>
      </c>
    </row>
    <row r="33" spans="1:7">
      <c r="A33" s="308" t="s">
        <v>173</v>
      </c>
      <c r="B33" s="308"/>
      <c r="C33" s="308"/>
      <c r="D33" s="308"/>
      <c r="E33" s="308"/>
      <c r="F33" s="308"/>
      <c r="G33" s="308"/>
    </row>
    <row r="35" spans="1:7">
      <c r="A35" s="67" t="s">
        <v>174</v>
      </c>
      <c r="B35" s="67" t="s">
        <v>90</v>
      </c>
      <c r="C35" s="101"/>
      <c r="D35" s="72"/>
      <c r="F35" s="12" t="s">
        <v>38</v>
      </c>
      <c r="G35" s="131">
        <f>COUNTA(E3:E30)</f>
        <v>28</v>
      </c>
    </row>
    <row r="36" spans="1:7">
      <c r="A36" s="67" t="s">
        <v>91</v>
      </c>
      <c r="B36" s="68">
        <v>0</v>
      </c>
      <c r="C36" s="121">
        <v>1</v>
      </c>
      <c r="D36" s="122" t="s">
        <v>151</v>
      </c>
      <c r="G36" s="130"/>
    </row>
    <row r="37" spans="1:7">
      <c r="A37" s="68">
        <v>0</v>
      </c>
      <c r="B37" s="123">
        <v>13</v>
      </c>
      <c r="C37" s="124">
        <v>1</v>
      </c>
      <c r="D37" s="125">
        <v>14</v>
      </c>
      <c r="F37" s="134" t="s">
        <v>175</v>
      </c>
      <c r="G37" s="135">
        <f>CORREL(E3:E30,F3:F30)</f>
        <v>0.93094933625126253</v>
      </c>
    </row>
    <row r="38" spans="1:7">
      <c r="A38" s="100">
        <v>1</v>
      </c>
      <c r="B38" s="103"/>
      <c r="C38" s="126">
        <v>14</v>
      </c>
      <c r="D38" s="127">
        <v>14</v>
      </c>
      <c r="G38" s="130"/>
    </row>
    <row r="39" spans="1:7">
      <c r="A39" s="102" t="s">
        <v>151</v>
      </c>
      <c r="B39" s="104">
        <v>13</v>
      </c>
      <c r="C39" s="128">
        <v>15</v>
      </c>
      <c r="D39" s="129">
        <v>28</v>
      </c>
      <c r="F39" s="19" t="s">
        <v>46</v>
      </c>
      <c r="G39" s="132">
        <f>G37/SQRT((1-G37^2)/(G35-2))</f>
        <v>12.999999999999977</v>
      </c>
    </row>
    <row r="40" spans="1:7">
      <c r="F40" s="19" t="s">
        <v>104</v>
      </c>
      <c r="G40" s="133">
        <f>COUNTA(E3:E30)-2</f>
        <v>26</v>
      </c>
    </row>
    <row r="41" spans="1:7">
      <c r="B41" s="20" t="s">
        <v>176</v>
      </c>
      <c r="C41" s="21">
        <f>(B37*C38-B38*C37)/SQRT(D37*D38*B39*C39)</f>
        <v>0.93094933625126275</v>
      </c>
    </row>
    <row r="42" spans="1:7">
      <c r="F42" s="19" t="s">
        <v>48</v>
      </c>
      <c r="G42" s="19">
        <f>TDIST(G39,G40,2)</f>
        <v>6.9694623329950972E-13</v>
      </c>
    </row>
  </sheetData>
  <mergeCells count="1">
    <mergeCell ref="A33:G33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55"/>
  <sheetViews>
    <sheetView showGridLines="0" topLeftCell="AH4" workbookViewId="0">
      <selection activeCell="AQ14" sqref="AQ14"/>
    </sheetView>
  </sheetViews>
  <sheetFormatPr defaultRowHeight="12.75"/>
  <cols>
    <col min="1" max="14" width="11.42578125" customWidth="1"/>
    <col min="15" max="15" width="6.5703125" customWidth="1"/>
    <col min="16" max="33" width="11.42578125" customWidth="1"/>
    <col min="34" max="34" width="8.28515625" bestFit="1" customWidth="1"/>
    <col min="35" max="35" width="20.140625" bestFit="1" customWidth="1"/>
    <col min="36" max="36" width="12.5703125" bestFit="1" customWidth="1"/>
    <col min="37" max="37" width="13.42578125" bestFit="1" customWidth="1"/>
    <col min="38" max="38" width="10.85546875" customWidth="1"/>
    <col min="39" max="39" width="11.42578125" customWidth="1"/>
    <col min="40" max="40" width="13" bestFit="1" customWidth="1"/>
    <col min="41" max="256" width="11.42578125" customWidth="1"/>
  </cols>
  <sheetData>
    <row r="1" spans="1:41">
      <c r="A1" s="8" t="s">
        <v>177</v>
      </c>
      <c r="B1" s="15" t="s">
        <v>71</v>
      </c>
      <c r="C1" s="15" t="s">
        <v>70</v>
      </c>
      <c r="D1" s="108" t="s">
        <v>178</v>
      </c>
      <c r="E1" s="108" t="s">
        <v>179</v>
      </c>
      <c r="F1" s="95" t="s">
        <v>180</v>
      </c>
      <c r="G1" s="97" t="s">
        <v>181</v>
      </c>
      <c r="H1" s="97" t="s">
        <v>182</v>
      </c>
      <c r="L1" s="50"/>
      <c r="M1" s="50"/>
      <c r="N1" s="50"/>
      <c r="O1" s="50"/>
      <c r="P1" s="50"/>
      <c r="Q1" s="50"/>
      <c r="R1" s="50"/>
      <c r="S1" s="50"/>
      <c r="T1" s="50"/>
    </row>
    <row r="2" spans="1:41">
      <c r="A2" s="8">
        <v>1</v>
      </c>
      <c r="B2" s="137">
        <v>1.6970000000000001</v>
      </c>
      <c r="C2" s="137">
        <v>77.563999999999993</v>
      </c>
      <c r="D2" s="12">
        <f>RANK(B2,B$2:B$16,2)</f>
        <v>15</v>
      </c>
      <c r="E2" s="12">
        <f>RANK(C2,C$2:C$16,2)</f>
        <v>14</v>
      </c>
      <c r="F2" s="12">
        <f>D2*E2</f>
        <v>210</v>
      </c>
      <c r="G2" s="12">
        <f>D2-E2</f>
        <v>1</v>
      </c>
      <c r="H2" s="12">
        <f>G2^2</f>
        <v>1</v>
      </c>
      <c r="L2" s="50"/>
      <c r="M2" s="50"/>
      <c r="N2" s="50"/>
      <c r="O2" s="50"/>
      <c r="P2" s="50"/>
      <c r="Q2" s="50"/>
      <c r="R2" s="50"/>
      <c r="S2" s="50"/>
      <c r="T2" s="50"/>
    </row>
    <row r="3" spans="1:41">
      <c r="A3" s="8">
        <v>2</v>
      </c>
      <c r="B3" s="137">
        <v>1.5389999999999999</v>
      </c>
      <c r="C3" s="137">
        <v>55</v>
      </c>
      <c r="D3" s="12">
        <f t="shared" ref="D3:D16" si="0">RANK(B3,B$2:B$16,2)</f>
        <v>3</v>
      </c>
      <c r="E3" s="12">
        <f t="shared" ref="E3:E16" si="1">RANK(C3,C$2:C$16,2)</f>
        <v>1</v>
      </c>
      <c r="F3" s="12">
        <f t="shared" ref="F3:F16" si="2">D3*E3</f>
        <v>3</v>
      </c>
      <c r="G3" s="12">
        <f t="shared" ref="G3:G16" si="3">D3-E3</f>
        <v>2</v>
      </c>
      <c r="H3" s="12">
        <f t="shared" ref="H3:H16" si="4">G3^2</f>
        <v>4</v>
      </c>
      <c r="L3" s="312" t="s">
        <v>183</v>
      </c>
      <c r="M3" s="312"/>
      <c r="N3" s="312"/>
      <c r="O3" s="312"/>
      <c r="P3" s="312"/>
      <c r="Q3" s="312"/>
      <c r="R3" s="312"/>
      <c r="S3" s="312"/>
      <c r="T3" s="50"/>
      <c r="W3" s="308" t="s">
        <v>184</v>
      </c>
      <c r="X3" s="308"/>
      <c r="Y3" s="308"/>
      <c r="Z3" s="308"/>
      <c r="AA3" s="308"/>
      <c r="AB3" s="308"/>
      <c r="AC3" s="308"/>
      <c r="AD3" s="308"/>
      <c r="AE3" s="308"/>
      <c r="AI3" s="320" t="s">
        <v>185</v>
      </c>
      <c r="AJ3" s="320"/>
      <c r="AK3" s="320"/>
      <c r="AL3" s="320"/>
      <c r="AM3" s="320"/>
      <c r="AN3" s="320"/>
      <c r="AO3" s="320"/>
    </row>
    <row r="4" spans="1:41" ht="13.5" thickBot="1">
      <c r="A4" s="8">
        <v>3</v>
      </c>
      <c r="B4" s="137">
        <v>1.629</v>
      </c>
      <c r="C4" s="137">
        <v>76.656999999999996</v>
      </c>
      <c r="D4" s="12">
        <f t="shared" si="0"/>
        <v>10</v>
      </c>
      <c r="E4" s="12">
        <f t="shared" si="1"/>
        <v>12</v>
      </c>
      <c r="F4" s="12">
        <f t="shared" si="2"/>
        <v>120</v>
      </c>
      <c r="G4" s="12">
        <f t="shared" si="3"/>
        <v>-2</v>
      </c>
      <c r="H4" s="12">
        <f t="shared" si="4"/>
        <v>4</v>
      </c>
      <c r="L4" s="50"/>
      <c r="M4" s="50"/>
      <c r="N4" s="50"/>
      <c r="O4" s="50"/>
      <c r="P4" s="50"/>
      <c r="Q4" s="50"/>
      <c r="R4" s="50"/>
      <c r="S4" s="50"/>
      <c r="T4" s="50"/>
    </row>
    <row r="5" spans="1:41">
      <c r="A5" s="8">
        <v>4</v>
      </c>
      <c r="B5" s="137">
        <v>1.633</v>
      </c>
      <c r="C5" s="137">
        <v>62.595999999999997</v>
      </c>
      <c r="D5" s="12">
        <f t="shared" si="0"/>
        <v>11</v>
      </c>
      <c r="E5" s="12">
        <f t="shared" si="1"/>
        <v>6</v>
      </c>
      <c r="F5" s="12">
        <f t="shared" si="2"/>
        <v>66</v>
      </c>
      <c r="G5" s="12">
        <f t="shared" si="3"/>
        <v>5</v>
      </c>
      <c r="H5" s="12">
        <f t="shared" si="4"/>
        <v>25</v>
      </c>
      <c r="L5" s="341" t="s">
        <v>90</v>
      </c>
      <c r="M5" s="341" t="s">
        <v>91</v>
      </c>
      <c r="N5" s="294" t="s">
        <v>125</v>
      </c>
      <c r="O5" s="294" t="s">
        <v>123</v>
      </c>
      <c r="P5" s="50"/>
      <c r="Q5" s="50"/>
      <c r="R5" s="50"/>
      <c r="S5" s="50"/>
      <c r="T5" s="50"/>
      <c r="W5" s="12"/>
      <c r="X5" s="15" t="s">
        <v>90</v>
      </c>
      <c r="Y5" s="15" t="s">
        <v>91</v>
      </c>
      <c r="Z5" s="108" t="s">
        <v>125</v>
      </c>
      <c r="AA5" s="108" t="s">
        <v>123</v>
      </c>
      <c r="AI5" s="162" t="s">
        <v>186</v>
      </c>
      <c r="AJ5" s="82" t="s">
        <v>90</v>
      </c>
      <c r="AK5" s="83" t="s">
        <v>125</v>
      </c>
      <c r="AL5" s="82" t="s">
        <v>91</v>
      </c>
      <c r="AM5" s="166" t="s">
        <v>123</v>
      </c>
      <c r="AN5" s="169" t="s">
        <v>181</v>
      </c>
      <c r="AO5" s="170" t="s">
        <v>182</v>
      </c>
    </row>
    <row r="6" spans="1:41">
      <c r="A6" s="8">
        <v>5</v>
      </c>
      <c r="B6" s="137">
        <v>1.5</v>
      </c>
      <c r="C6" s="137">
        <v>58.067999999999998</v>
      </c>
      <c r="D6" s="12">
        <f t="shared" si="0"/>
        <v>2</v>
      </c>
      <c r="E6" s="12">
        <f t="shared" si="1"/>
        <v>3</v>
      </c>
      <c r="F6" s="12">
        <f t="shared" si="2"/>
        <v>6</v>
      </c>
      <c r="G6" s="12">
        <f t="shared" si="3"/>
        <v>-1</v>
      </c>
      <c r="H6" s="12">
        <f t="shared" si="4"/>
        <v>1</v>
      </c>
      <c r="L6" s="342">
        <v>1</v>
      </c>
      <c r="M6" s="342">
        <v>3</v>
      </c>
      <c r="N6" s="342">
        <f>RANK(L6,L$6:L$11,1)</f>
        <v>1</v>
      </c>
      <c r="O6" s="342">
        <f>RANK(M6,M$6:M$11,1)</f>
        <v>1</v>
      </c>
      <c r="P6" s="50"/>
      <c r="Q6" s="50"/>
      <c r="R6" s="50"/>
      <c r="S6" s="50"/>
      <c r="T6" s="50"/>
      <c r="W6" s="295">
        <v>1</v>
      </c>
      <c r="X6" s="65">
        <v>0.3</v>
      </c>
      <c r="Y6" s="65">
        <v>0.7</v>
      </c>
      <c r="Z6" s="295">
        <f>RANK(X6,X$6:X$12,1)</f>
        <v>4</v>
      </c>
      <c r="AA6" s="295">
        <f>RANK(Y6,Y$6:Y$12,1)</f>
        <v>5</v>
      </c>
      <c r="AI6" s="163" t="s">
        <v>81</v>
      </c>
      <c r="AJ6" s="155">
        <v>0</v>
      </c>
      <c r="AK6" s="156">
        <v>1.5</v>
      </c>
      <c r="AL6" s="155">
        <v>42</v>
      </c>
      <c r="AM6" s="167">
        <v>3</v>
      </c>
      <c r="AN6" s="171">
        <f>AK6-AM6</f>
        <v>-1.5</v>
      </c>
      <c r="AO6" s="172">
        <f>AN6^2</f>
        <v>2.25</v>
      </c>
    </row>
    <row r="7" spans="1:41">
      <c r="A7" s="8">
        <v>6</v>
      </c>
      <c r="B7" s="137">
        <v>1.679</v>
      </c>
      <c r="C7" s="137">
        <v>72.575000000000003</v>
      </c>
      <c r="D7" s="12">
        <f t="shared" si="0"/>
        <v>14</v>
      </c>
      <c r="E7" s="12">
        <f t="shared" si="1"/>
        <v>11</v>
      </c>
      <c r="F7" s="12">
        <f t="shared" si="2"/>
        <v>154</v>
      </c>
      <c r="G7" s="12">
        <f t="shared" si="3"/>
        <v>3</v>
      </c>
      <c r="H7" s="12">
        <f t="shared" si="4"/>
        <v>9</v>
      </c>
      <c r="L7" s="342">
        <v>1.1000000000000001</v>
      </c>
      <c r="M7" s="342">
        <v>6.8</v>
      </c>
      <c r="N7" s="342">
        <f t="shared" ref="N7:O11" si="5">RANK(L7,L$6:L$11,1)</f>
        <v>2</v>
      </c>
      <c r="O7" s="342">
        <f t="shared" si="5"/>
        <v>2</v>
      </c>
      <c r="P7" s="50"/>
      <c r="Q7" s="50"/>
      <c r="R7" s="50"/>
      <c r="S7" s="50"/>
      <c r="T7" s="50"/>
      <c r="W7" s="295">
        <v>2</v>
      </c>
      <c r="X7" s="65">
        <v>0.35</v>
      </c>
      <c r="Y7" s="65">
        <v>0.65</v>
      </c>
      <c r="Z7" s="295">
        <f t="shared" ref="Z7:AA12" si="6">RANK(X7,X$6:X$12,1)</f>
        <v>5</v>
      </c>
      <c r="AA7" s="295">
        <f t="shared" si="6"/>
        <v>4</v>
      </c>
      <c r="AI7" s="163" t="s">
        <v>82</v>
      </c>
      <c r="AJ7" s="155">
        <v>0</v>
      </c>
      <c r="AK7" s="156">
        <v>1.5</v>
      </c>
      <c r="AL7" s="155">
        <v>46</v>
      </c>
      <c r="AM7" s="167">
        <v>4</v>
      </c>
      <c r="AN7" s="171">
        <f t="shared" ref="AN7:AN17" si="7">AK7-AM7</f>
        <v>-2.5</v>
      </c>
      <c r="AO7" s="172">
        <f t="shared" ref="AO7:AO17" si="8">AN7^2</f>
        <v>6.25</v>
      </c>
    </row>
    <row r="8" spans="1:41">
      <c r="A8" s="8">
        <v>7</v>
      </c>
      <c r="B8" s="137">
        <v>1.643</v>
      </c>
      <c r="C8" s="137">
        <v>82</v>
      </c>
      <c r="D8" s="12">
        <f t="shared" si="0"/>
        <v>13</v>
      </c>
      <c r="E8" s="12">
        <f t="shared" si="1"/>
        <v>15</v>
      </c>
      <c r="F8" s="12">
        <f t="shared" si="2"/>
        <v>195</v>
      </c>
      <c r="G8" s="12">
        <f t="shared" si="3"/>
        <v>-2</v>
      </c>
      <c r="H8" s="12">
        <f t="shared" si="4"/>
        <v>4</v>
      </c>
      <c r="L8" s="342">
        <v>1.25</v>
      </c>
      <c r="M8" s="342">
        <v>8.3000000000000007</v>
      </c>
      <c r="N8" s="342">
        <f t="shared" si="5"/>
        <v>3</v>
      </c>
      <c r="O8" s="342">
        <f t="shared" si="5"/>
        <v>3</v>
      </c>
      <c r="P8" s="50"/>
      <c r="Q8" s="50"/>
      <c r="R8" s="50"/>
      <c r="S8" s="50"/>
      <c r="T8" s="50"/>
      <c r="W8" s="295">
        <v>3</v>
      </c>
      <c r="X8" s="65">
        <v>0.54</v>
      </c>
      <c r="Y8" s="65">
        <v>0.37</v>
      </c>
      <c r="Z8" s="295">
        <f t="shared" si="6"/>
        <v>6</v>
      </c>
      <c r="AA8" s="295">
        <f t="shared" si="6"/>
        <v>2</v>
      </c>
      <c r="AI8" s="163" t="s">
        <v>83</v>
      </c>
      <c r="AJ8" s="155">
        <v>1</v>
      </c>
      <c r="AK8" s="156">
        <v>3</v>
      </c>
      <c r="AL8" s="155">
        <v>39</v>
      </c>
      <c r="AM8" s="167">
        <v>2</v>
      </c>
      <c r="AN8" s="171">
        <f t="shared" si="7"/>
        <v>1</v>
      </c>
      <c r="AO8" s="172">
        <f t="shared" si="8"/>
        <v>1</v>
      </c>
    </row>
    <row r="9" spans="1:41">
      <c r="A9" s="8">
        <v>8</v>
      </c>
      <c r="B9" s="137">
        <v>1.6259999999999999</v>
      </c>
      <c r="C9" s="137">
        <v>76.667000000000002</v>
      </c>
      <c r="D9" s="12">
        <f t="shared" si="0"/>
        <v>9</v>
      </c>
      <c r="E9" s="12">
        <f t="shared" si="1"/>
        <v>13</v>
      </c>
      <c r="F9" s="12">
        <f t="shared" si="2"/>
        <v>117</v>
      </c>
      <c r="G9" s="12">
        <f t="shared" si="3"/>
        <v>-4</v>
      </c>
      <c r="H9" s="12">
        <f t="shared" si="4"/>
        <v>16</v>
      </c>
      <c r="L9" s="342">
        <v>1.5</v>
      </c>
      <c r="M9" s="342">
        <v>9.3048105459783255</v>
      </c>
      <c r="N9" s="342">
        <f t="shared" si="5"/>
        <v>4</v>
      </c>
      <c r="O9" s="342">
        <f t="shared" si="5"/>
        <v>4</v>
      </c>
      <c r="P9" s="50"/>
      <c r="Q9" s="50"/>
      <c r="R9" s="50"/>
      <c r="S9" s="50"/>
      <c r="T9" s="50"/>
      <c r="W9" s="295">
        <v>4</v>
      </c>
      <c r="X9" s="65">
        <v>0.28000000000000003</v>
      </c>
      <c r="Y9" s="65">
        <v>0.54</v>
      </c>
      <c r="Z9" s="295">
        <f t="shared" si="6"/>
        <v>3</v>
      </c>
      <c r="AA9" s="295">
        <f t="shared" si="6"/>
        <v>3</v>
      </c>
      <c r="AI9" s="163" t="s">
        <v>78</v>
      </c>
      <c r="AJ9" s="155">
        <v>2</v>
      </c>
      <c r="AK9" s="156">
        <v>5</v>
      </c>
      <c r="AL9" s="155">
        <v>37</v>
      </c>
      <c r="AM9" s="167">
        <v>1</v>
      </c>
      <c r="AN9" s="171">
        <f t="shared" si="7"/>
        <v>4</v>
      </c>
      <c r="AO9" s="172">
        <f t="shared" si="8"/>
        <v>16</v>
      </c>
    </row>
    <row r="10" spans="1:41">
      <c r="A10" s="8">
        <v>9</v>
      </c>
      <c r="B10" s="137">
        <v>1.5429999999999999</v>
      </c>
      <c r="C10" s="137">
        <v>58.06</v>
      </c>
      <c r="D10" s="12">
        <f t="shared" si="0"/>
        <v>5</v>
      </c>
      <c r="E10" s="12">
        <f t="shared" si="1"/>
        <v>2</v>
      </c>
      <c r="F10" s="12">
        <f t="shared" si="2"/>
        <v>10</v>
      </c>
      <c r="G10" s="12">
        <f t="shared" si="3"/>
        <v>3</v>
      </c>
      <c r="H10" s="12">
        <f t="shared" si="4"/>
        <v>9</v>
      </c>
      <c r="L10" s="342">
        <v>2</v>
      </c>
      <c r="M10" s="342">
        <v>9.8144679888450597</v>
      </c>
      <c r="N10" s="342">
        <f t="shared" si="5"/>
        <v>5</v>
      </c>
      <c r="O10" s="342">
        <f t="shared" si="5"/>
        <v>5</v>
      </c>
      <c r="P10" s="50"/>
      <c r="Q10" s="50"/>
      <c r="R10" s="50"/>
      <c r="S10" s="50"/>
      <c r="T10" s="50"/>
      <c r="W10" s="295">
        <v>5</v>
      </c>
      <c r="X10" s="65">
        <v>0.21</v>
      </c>
      <c r="Y10" s="65">
        <v>0.83</v>
      </c>
      <c r="Z10" s="295">
        <f t="shared" si="6"/>
        <v>2</v>
      </c>
      <c r="AA10" s="295">
        <f t="shared" si="6"/>
        <v>6</v>
      </c>
      <c r="AI10" s="163" t="s">
        <v>187</v>
      </c>
      <c r="AJ10" s="155">
        <v>2</v>
      </c>
      <c r="AK10" s="156">
        <v>5</v>
      </c>
      <c r="AL10" s="155">
        <v>65</v>
      </c>
      <c r="AM10" s="167">
        <v>8</v>
      </c>
      <c r="AN10" s="171">
        <f t="shared" si="7"/>
        <v>-3</v>
      </c>
      <c r="AO10" s="172">
        <f t="shared" si="8"/>
        <v>9</v>
      </c>
    </row>
    <row r="11" spans="1:41">
      <c r="A11" s="8">
        <v>10</v>
      </c>
      <c r="B11" s="137">
        <v>1.542</v>
      </c>
      <c r="C11" s="137">
        <v>71.668000000000006</v>
      </c>
      <c r="D11" s="12">
        <f t="shared" si="0"/>
        <v>4</v>
      </c>
      <c r="E11" s="12">
        <f t="shared" si="1"/>
        <v>10</v>
      </c>
      <c r="F11" s="12">
        <f t="shared" si="2"/>
        <v>40</v>
      </c>
      <c r="G11" s="12">
        <f t="shared" si="3"/>
        <v>-6</v>
      </c>
      <c r="H11" s="12">
        <f t="shared" si="4"/>
        <v>36</v>
      </c>
      <c r="L11" s="342">
        <v>2.25</v>
      </c>
      <c r="M11" s="342">
        <v>9.85</v>
      </c>
      <c r="N11" s="342">
        <f t="shared" si="5"/>
        <v>6</v>
      </c>
      <c r="O11" s="342">
        <f t="shared" si="5"/>
        <v>6</v>
      </c>
      <c r="P11" s="50"/>
      <c r="Q11" s="50"/>
      <c r="R11" s="50"/>
      <c r="S11" s="50"/>
      <c r="T11" s="50"/>
      <c r="W11" s="295">
        <v>6</v>
      </c>
      <c r="X11" s="65">
        <v>0.03</v>
      </c>
      <c r="Y11" s="65">
        <v>0.31</v>
      </c>
      <c r="Z11" s="295">
        <f t="shared" si="6"/>
        <v>1</v>
      </c>
      <c r="AA11" s="295">
        <f t="shared" si="6"/>
        <v>1</v>
      </c>
      <c r="AI11" s="163" t="s">
        <v>188</v>
      </c>
      <c r="AJ11" s="155">
        <v>2</v>
      </c>
      <c r="AK11" s="156">
        <v>5</v>
      </c>
      <c r="AL11" s="155">
        <v>88</v>
      </c>
      <c r="AM11" s="167">
        <v>11</v>
      </c>
      <c r="AN11" s="171">
        <f t="shared" si="7"/>
        <v>-6</v>
      </c>
      <c r="AO11" s="172">
        <f t="shared" si="8"/>
        <v>36</v>
      </c>
    </row>
    <row r="12" spans="1:41" ht="13.5" thickBot="1">
      <c r="A12" s="8">
        <v>11</v>
      </c>
      <c r="B12" s="137">
        <v>1.621</v>
      </c>
      <c r="C12" s="137">
        <v>68.039000000000001</v>
      </c>
      <c r="D12" s="12">
        <f t="shared" si="0"/>
        <v>8</v>
      </c>
      <c r="E12" s="12">
        <f t="shared" si="1"/>
        <v>8</v>
      </c>
      <c r="F12" s="12">
        <f t="shared" si="2"/>
        <v>64</v>
      </c>
      <c r="G12" s="12">
        <f t="shared" si="3"/>
        <v>0</v>
      </c>
      <c r="H12" s="12">
        <f t="shared" si="4"/>
        <v>0</v>
      </c>
      <c r="L12" s="50"/>
      <c r="M12" s="50"/>
      <c r="N12" s="50"/>
      <c r="O12" s="50"/>
      <c r="P12" s="50"/>
      <c r="Q12" s="50"/>
      <c r="R12" s="50"/>
      <c r="S12" s="50"/>
      <c r="T12" s="50"/>
      <c r="W12" s="147">
        <v>7</v>
      </c>
      <c r="X12" s="148">
        <v>9.34</v>
      </c>
      <c r="Y12" s="148">
        <v>9.67</v>
      </c>
      <c r="Z12" s="295">
        <f t="shared" si="6"/>
        <v>7</v>
      </c>
      <c r="AA12" s="295">
        <f t="shared" si="6"/>
        <v>7</v>
      </c>
      <c r="AI12" s="163" t="s">
        <v>189</v>
      </c>
      <c r="AJ12" s="155">
        <v>5</v>
      </c>
      <c r="AK12" s="156">
        <v>7</v>
      </c>
      <c r="AL12" s="155">
        <v>86</v>
      </c>
      <c r="AM12" s="167">
        <v>10</v>
      </c>
      <c r="AN12" s="171">
        <f t="shared" si="7"/>
        <v>-3</v>
      </c>
      <c r="AO12" s="172">
        <f t="shared" si="8"/>
        <v>9</v>
      </c>
    </row>
    <row r="13" spans="1:41" ht="13.5" thickBot="1">
      <c r="A13" s="8">
        <v>12</v>
      </c>
      <c r="B13" s="137">
        <v>1.577</v>
      </c>
      <c r="C13" s="137">
        <v>70.06</v>
      </c>
      <c r="D13" s="12">
        <f t="shared" si="0"/>
        <v>7</v>
      </c>
      <c r="E13" s="12">
        <f t="shared" si="1"/>
        <v>9</v>
      </c>
      <c r="F13" s="12">
        <f t="shared" si="2"/>
        <v>63</v>
      </c>
      <c r="G13" s="12">
        <f t="shared" si="3"/>
        <v>-2</v>
      </c>
      <c r="H13" s="12">
        <f t="shared" si="4"/>
        <v>4</v>
      </c>
      <c r="L13" s="343" t="s">
        <v>114</v>
      </c>
      <c r="M13" s="344">
        <f>CORREL(L6:L11,M6:M11)</f>
        <v>0.78036364464383257</v>
      </c>
      <c r="N13" s="343" t="s">
        <v>190</v>
      </c>
      <c r="O13" s="344">
        <f>CORREL(N6:N11,O6:O11)</f>
        <v>1</v>
      </c>
      <c r="P13" s="50"/>
      <c r="Q13" s="50"/>
      <c r="R13" s="50"/>
      <c r="S13" s="50"/>
      <c r="T13" s="50"/>
      <c r="AI13" s="163" t="s">
        <v>191</v>
      </c>
      <c r="AJ13" s="155">
        <v>6</v>
      </c>
      <c r="AK13" s="156">
        <v>8</v>
      </c>
      <c r="AL13" s="155">
        <v>56</v>
      </c>
      <c r="AM13" s="167">
        <v>6</v>
      </c>
      <c r="AN13" s="171">
        <f t="shared" si="7"/>
        <v>2</v>
      </c>
      <c r="AO13" s="172">
        <f t="shared" si="8"/>
        <v>4</v>
      </c>
    </row>
    <row r="14" spans="1:41">
      <c r="A14" s="8">
        <v>13</v>
      </c>
      <c r="B14" s="137">
        <v>1.5569999999999999</v>
      </c>
      <c r="C14" s="137">
        <v>61.689</v>
      </c>
      <c r="D14" s="12">
        <f t="shared" si="0"/>
        <v>6</v>
      </c>
      <c r="E14" s="12">
        <f t="shared" si="1"/>
        <v>5</v>
      </c>
      <c r="F14" s="12">
        <f t="shared" si="2"/>
        <v>30</v>
      </c>
      <c r="G14" s="12">
        <f t="shared" si="3"/>
        <v>1</v>
      </c>
      <c r="H14" s="12">
        <f t="shared" si="4"/>
        <v>1</v>
      </c>
      <c r="L14" s="50"/>
      <c r="M14" s="50"/>
      <c r="N14" s="50"/>
      <c r="O14" s="50"/>
      <c r="P14" s="50"/>
      <c r="Q14" s="50"/>
      <c r="R14" s="50"/>
      <c r="S14" s="50"/>
      <c r="T14" s="50"/>
      <c r="AI14" s="163" t="s">
        <v>192</v>
      </c>
      <c r="AJ14" s="155">
        <v>7</v>
      </c>
      <c r="AK14" s="156">
        <v>9</v>
      </c>
      <c r="AL14" s="155">
        <v>62</v>
      </c>
      <c r="AM14" s="167">
        <v>7</v>
      </c>
      <c r="AN14" s="171">
        <f t="shared" si="7"/>
        <v>2</v>
      </c>
      <c r="AO14" s="172">
        <f t="shared" si="8"/>
        <v>4</v>
      </c>
    </row>
    <row r="15" spans="1:41">
      <c r="A15" s="8">
        <v>14</v>
      </c>
      <c r="B15" s="137">
        <v>1.496</v>
      </c>
      <c r="C15" s="137">
        <v>67.584999999999994</v>
      </c>
      <c r="D15" s="12">
        <f t="shared" si="0"/>
        <v>1</v>
      </c>
      <c r="E15" s="12">
        <f t="shared" si="1"/>
        <v>7</v>
      </c>
      <c r="F15" s="12">
        <f t="shared" si="2"/>
        <v>7</v>
      </c>
      <c r="G15" s="12">
        <f t="shared" si="3"/>
        <v>-6</v>
      </c>
      <c r="H15" s="12">
        <f t="shared" si="4"/>
        <v>36</v>
      </c>
      <c r="W15" s="34" t="s">
        <v>92</v>
      </c>
      <c r="X15" s="149">
        <f>CORREL(X6:X11,Y6:Y11)</f>
        <v>1.8547064323322527E-2</v>
      </c>
      <c r="AI15" s="163" t="s">
        <v>193</v>
      </c>
      <c r="AJ15" s="155">
        <v>8</v>
      </c>
      <c r="AK15" s="156">
        <v>10.5</v>
      </c>
      <c r="AL15" s="155">
        <v>92</v>
      </c>
      <c r="AM15" s="167">
        <v>12</v>
      </c>
      <c r="AN15" s="171">
        <f t="shared" si="7"/>
        <v>-1.5</v>
      </c>
      <c r="AO15" s="172">
        <f t="shared" si="8"/>
        <v>2.25</v>
      </c>
    </row>
    <row r="16" spans="1:41" ht="13.5" thickBot="1">
      <c r="A16" s="8">
        <v>15</v>
      </c>
      <c r="B16" s="137">
        <v>1.637</v>
      </c>
      <c r="C16" s="137">
        <v>59.874000000000002</v>
      </c>
      <c r="D16" s="12">
        <f t="shared" si="0"/>
        <v>12</v>
      </c>
      <c r="E16" s="138">
        <f t="shared" si="1"/>
        <v>4</v>
      </c>
      <c r="F16" s="138">
        <f t="shared" si="2"/>
        <v>48</v>
      </c>
      <c r="G16" s="138">
        <f t="shared" si="3"/>
        <v>8</v>
      </c>
      <c r="H16" s="138">
        <f t="shared" si="4"/>
        <v>64</v>
      </c>
      <c r="W16" s="150" t="s">
        <v>93</v>
      </c>
      <c r="X16" s="151">
        <f>CORREL(X6:X12,Y6:Y12)</f>
        <v>0.99764938911764234</v>
      </c>
      <c r="Z16" s="291" t="s">
        <v>190</v>
      </c>
      <c r="AA16" s="152">
        <f>CORREL(Z6:Z12,AA6:AA12)</f>
        <v>0.39285714285714285</v>
      </c>
      <c r="AI16" s="163" t="s">
        <v>194</v>
      </c>
      <c r="AJ16" s="155">
        <v>8</v>
      </c>
      <c r="AK16" s="156">
        <v>10.5</v>
      </c>
      <c r="AL16" s="155">
        <v>54</v>
      </c>
      <c r="AM16" s="167">
        <v>5</v>
      </c>
      <c r="AN16" s="171">
        <f t="shared" si="7"/>
        <v>5.5</v>
      </c>
      <c r="AO16" s="172">
        <f t="shared" si="8"/>
        <v>30.25</v>
      </c>
    </row>
    <row r="17" spans="1:41" ht="13.5" thickBot="1">
      <c r="E17" s="140" t="s">
        <v>40</v>
      </c>
      <c r="F17" s="139">
        <f>SUM(F2:F16)</f>
        <v>1133</v>
      </c>
      <c r="G17" s="140" t="s">
        <v>40</v>
      </c>
      <c r="H17" s="139">
        <f>SUM(H2:H16)</f>
        <v>214</v>
      </c>
      <c r="AA17" s="153"/>
      <c r="AI17" s="164" t="s">
        <v>195</v>
      </c>
      <c r="AJ17" s="157">
        <v>12</v>
      </c>
      <c r="AK17" s="158">
        <v>12</v>
      </c>
      <c r="AL17" s="157">
        <v>81</v>
      </c>
      <c r="AM17" s="168">
        <v>9</v>
      </c>
      <c r="AN17" s="173">
        <f t="shared" si="7"/>
        <v>3</v>
      </c>
      <c r="AO17" s="174">
        <f t="shared" si="8"/>
        <v>9</v>
      </c>
    </row>
    <row r="18" spans="1:41">
      <c r="A18" s="12" t="s">
        <v>38</v>
      </c>
      <c r="B18" s="12">
        <f>COUNTA(A2:A16)</f>
        <v>15</v>
      </c>
      <c r="Z18" s="41" t="s">
        <v>46</v>
      </c>
      <c r="AA18" s="154">
        <f>AA16/SQRT((1-AA16^2)/(7-2))</f>
        <v>0.95525852715132786</v>
      </c>
      <c r="AN18" s="161" t="s">
        <v>40</v>
      </c>
      <c r="AO18" s="159">
        <f>SUM(AO6:AO17)</f>
        <v>129</v>
      </c>
    </row>
    <row r="19" spans="1:41">
      <c r="Z19" s="41" t="s">
        <v>48</v>
      </c>
      <c r="AA19" s="154">
        <f>TDIST(AA18,5,2)</f>
        <v>0.38331687042697282</v>
      </c>
    </row>
    <row r="20" spans="1:41">
      <c r="A20" s="44" t="s">
        <v>196</v>
      </c>
      <c r="B20" s="143">
        <f>CORREL(B2:B16,C2:C16)</f>
        <v>0.58451645251996742</v>
      </c>
      <c r="AJ20" s="165" t="s">
        <v>189</v>
      </c>
      <c r="AK20" s="165">
        <v>8</v>
      </c>
    </row>
    <row r="22" spans="1:41">
      <c r="AI22" s="165" t="s">
        <v>197</v>
      </c>
      <c r="AJ22" s="165" t="s">
        <v>198</v>
      </c>
      <c r="AK22" s="165" t="s">
        <v>199</v>
      </c>
      <c r="AN22" s="184" t="s">
        <v>38</v>
      </c>
      <c r="AO22" s="116">
        <v>12</v>
      </c>
    </row>
    <row r="23" spans="1:41">
      <c r="A23" s="141" t="s">
        <v>200</v>
      </c>
      <c r="B23" s="142">
        <f>CORREL(D2:D16,E2:E16)</f>
        <v>0.61785714285714266</v>
      </c>
      <c r="AI23" s="295">
        <v>1.5</v>
      </c>
      <c r="AJ23" s="295">
        <v>2</v>
      </c>
      <c r="AK23" s="295">
        <f>AJ23^3-AJ23</f>
        <v>6</v>
      </c>
      <c r="AN23" s="184" t="s">
        <v>201</v>
      </c>
      <c r="AO23" s="116">
        <f>AK31</f>
        <v>36</v>
      </c>
    </row>
    <row r="24" spans="1:41">
      <c r="A24" s="141" t="s">
        <v>202</v>
      </c>
      <c r="B24" s="142">
        <f>(12*F17)/(B18*(B18^2-1))-(3*(B18+1))/(B18-1)</f>
        <v>0.61785714285714333</v>
      </c>
      <c r="AI24" s="295">
        <v>3</v>
      </c>
      <c r="AJ24" s="295">
        <v>1</v>
      </c>
      <c r="AK24" s="295">
        <f t="shared" ref="AK24:AK30" si="9">AJ24^3-AJ24</f>
        <v>0</v>
      </c>
      <c r="AN24" s="184" t="s">
        <v>203</v>
      </c>
      <c r="AO24" s="116">
        <v>0</v>
      </c>
    </row>
    <row r="25" spans="1:41">
      <c r="A25" s="141" t="s">
        <v>204</v>
      </c>
      <c r="B25" s="142">
        <f>1-(6*H17)/(B18*((B18^2)-1))</f>
        <v>0.61785714285714288</v>
      </c>
      <c r="AI25" s="295">
        <v>5</v>
      </c>
      <c r="AJ25" s="295">
        <v>3</v>
      </c>
      <c r="AK25" s="295">
        <f t="shared" si="9"/>
        <v>24</v>
      </c>
      <c r="AN25" s="184" t="s">
        <v>205</v>
      </c>
      <c r="AO25" s="116">
        <f>AO18</f>
        <v>129</v>
      </c>
    </row>
    <row r="26" spans="1:41">
      <c r="R26" s="48"/>
      <c r="AI26" s="295">
        <v>7</v>
      </c>
      <c r="AJ26" s="295">
        <v>1</v>
      </c>
      <c r="AK26" s="295">
        <f t="shared" si="9"/>
        <v>0</v>
      </c>
    </row>
    <row r="27" spans="1:41">
      <c r="A27" s="144" t="s">
        <v>46</v>
      </c>
      <c r="B27" s="145">
        <f>B25/SQRT((1-B25^2)/(B18-2))</f>
        <v>2.8331971054874798</v>
      </c>
      <c r="AI27" s="295">
        <v>8</v>
      </c>
      <c r="AJ27" s="295">
        <v>1</v>
      </c>
      <c r="AK27" s="295">
        <f t="shared" si="9"/>
        <v>0</v>
      </c>
      <c r="AN27" s="19" t="s">
        <v>190</v>
      </c>
      <c r="AO27" s="185">
        <f>((AO22^3-AO22)-6*AO25-(AO23+AO24)/2)/SQRT((AO22^3-AO22)^2-(AO23+AO24)*(AO22^3-AO22)+AO23*AO24)</f>
        <v>0.54420018940996895</v>
      </c>
    </row>
    <row r="28" spans="1:41">
      <c r="A28" s="144" t="s">
        <v>48</v>
      </c>
      <c r="B28" s="145">
        <f>TDIST(B27,B18-2,2)</f>
        <v>1.4103928406489467E-2</v>
      </c>
      <c r="AI28" s="295">
        <v>9</v>
      </c>
      <c r="AJ28" s="295">
        <v>1</v>
      </c>
      <c r="AK28" s="295">
        <f t="shared" si="9"/>
        <v>0</v>
      </c>
    </row>
    <row r="29" spans="1:41">
      <c r="AI29" s="295">
        <v>10.5</v>
      </c>
      <c r="AJ29" s="295">
        <v>2</v>
      </c>
      <c r="AK29" s="295">
        <f t="shared" si="9"/>
        <v>6</v>
      </c>
      <c r="AN29" s="19" t="s">
        <v>114</v>
      </c>
      <c r="AO29" s="19">
        <f>CORREL(AK6:AK17,AM6:AM17)</f>
        <v>0.54420018940996917</v>
      </c>
    </row>
    <row r="30" spans="1:41">
      <c r="A30" s="19" t="s">
        <v>60</v>
      </c>
      <c r="B30" s="146">
        <f>B25*SQRT(B18-1)</f>
        <v>2.3118097425424708</v>
      </c>
      <c r="AI30" s="295">
        <v>12</v>
      </c>
      <c r="AJ30" s="295">
        <v>1</v>
      </c>
      <c r="AK30" s="295">
        <f t="shared" si="9"/>
        <v>0</v>
      </c>
    </row>
    <row r="31" spans="1:41">
      <c r="A31" s="19" t="s">
        <v>48</v>
      </c>
      <c r="B31" s="146">
        <f>2*(1-NORMSDIST(B30))</f>
        <v>2.0788170296189623E-2</v>
      </c>
      <c r="AJ31" s="161" t="s">
        <v>206</v>
      </c>
      <c r="AK31" s="160">
        <f>SUM(AK23:AK30)</f>
        <v>36</v>
      </c>
    </row>
    <row r="41" spans="35:38">
      <c r="AI41" s="319" t="s">
        <v>207</v>
      </c>
      <c r="AJ41" s="319"/>
      <c r="AK41" s="319"/>
      <c r="AL41" s="319"/>
    </row>
    <row r="42" spans="35:38" ht="13.5" thickBot="1"/>
    <row r="43" spans="35:38">
      <c r="AI43" s="162" t="s">
        <v>186</v>
      </c>
      <c r="AJ43" s="82" t="s">
        <v>90</v>
      </c>
      <c r="AK43" s="175" t="s">
        <v>208</v>
      </c>
      <c r="AL43" s="176" t="s">
        <v>209</v>
      </c>
    </row>
    <row r="44" spans="35:38">
      <c r="AI44" s="180" t="s">
        <v>81</v>
      </c>
      <c r="AJ44" s="179">
        <v>0</v>
      </c>
      <c r="AK44" s="178">
        <v>1</v>
      </c>
      <c r="AL44" s="183">
        <v>1.5</v>
      </c>
    </row>
    <row r="45" spans="35:38">
      <c r="AI45" s="180" t="s">
        <v>82</v>
      </c>
      <c r="AJ45" s="179">
        <v>0</v>
      </c>
      <c r="AK45" s="178">
        <v>2</v>
      </c>
      <c r="AL45" s="183">
        <v>1.5</v>
      </c>
    </row>
    <row r="46" spans="35:38">
      <c r="AI46" s="180" t="s">
        <v>83</v>
      </c>
      <c r="AJ46" s="182">
        <v>1</v>
      </c>
      <c r="AK46" s="117">
        <v>3</v>
      </c>
      <c r="AL46" s="156">
        <v>3</v>
      </c>
    </row>
    <row r="47" spans="35:38">
      <c r="AI47" s="180" t="s">
        <v>78</v>
      </c>
      <c r="AJ47" s="179">
        <v>2</v>
      </c>
      <c r="AK47" s="178">
        <v>4</v>
      </c>
      <c r="AL47" s="183">
        <f>(4+5+6)/3</f>
        <v>5</v>
      </c>
    </row>
    <row r="48" spans="35:38">
      <c r="AI48" s="180" t="s">
        <v>187</v>
      </c>
      <c r="AJ48" s="179">
        <v>2</v>
      </c>
      <c r="AK48" s="178">
        <v>5</v>
      </c>
      <c r="AL48" s="183">
        <f>(4+5+6)/3</f>
        <v>5</v>
      </c>
    </row>
    <row r="49" spans="35:38">
      <c r="AI49" s="180" t="s">
        <v>188</v>
      </c>
      <c r="AJ49" s="179">
        <v>2</v>
      </c>
      <c r="AK49" s="178">
        <v>6</v>
      </c>
      <c r="AL49" s="183">
        <f>(4+5+6)/3</f>
        <v>5</v>
      </c>
    </row>
    <row r="50" spans="35:38">
      <c r="AI50" s="180" t="s">
        <v>189</v>
      </c>
      <c r="AJ50" s="155">
        <v>5</v>
      </c>
      <c r="AK50" s="295">
        <v>7</v>
      </c>
      <c r="AL50" s="156">
        <v>7</v>
      </c>
    </row>
    <row r="51" spans="35:38">
      <c r="AI51" s="180" t="s">
        <v>191</v>
      </c>
      <c r="AJ51" s="155">
        <v>6</v>
      </c>
      <c r="AK51" s="295">
        <v>8</v>
      </c>
      <c r="AL51" s="156">
        <v>8</v>
      </c>
    </row>
    <row r="52" spans="35:38">
      <c r="AI52" s="180" t="s">
        <v>192</v>
      </c>
      <c r="AJ52" s="155">
        <v>7</v>
      </c>
      <c r="AK52" s="295">
        <v>9</v>
      </c>
      <c r="AL52" s="156">
        <v>9</v>
      </c>
    </row>
    <row r="53" spans="35:38">
      <c r="AI53" s="180" t="s">
        <v>193</v>
      </c>
      <c r="AJ53" s="179">
        <v>8</v>
      </c>
      <c r="AK53" s="178">
        <v>10</v>
      </c>
      <c r="AL53" s="183">
        <v>10.5</v>
      </c>
    </row>
    <row r="54" spans="35:38">
      <c r="AI54" s="180" t="s">
        <v>194</v>
      </c>
      <c r="AJ54" s="179">
        <v>8</v>
      </c>
      <c r="AK54" s="178">
        <v>11</v>
      </c>
      <c r="AL54" s="183">
        <v>10.5</v>
      </c>
    </row>
    <row r="55" spans="35:38" ht="13.5" thickBot="1">
      <c r="AI55" s="181" t="s">
        <v>195</v>
      </c>
      <c r="AJ55" s="157">
        <v>12</v>
      </c>
      <c r="AK55" s="177">
        <v>12</v>
      </c>
      <c r="AL55" s="158">
        <v>12</v>
      </c>
    </row>
  </sheetData>
  <mergeCells count="4">
    <mergeCell ref="AI41:AL41"/>
    <mergeCell ref="L3:S3"/>
    <mergeCell ref="W3:AE3"/>
    <mergeCell ref="AI3:AO3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N43"/>
  <sheetViews>
    <sheetView showGridLines="0" workbookViewId="0">
      <selection activeCell="J37" sqref="J37"/>
    </sheetView>
  </sheetViews>
  <sheetFormatPr defaultRowHeight="12.75"/>
  <cols>
    <col min="1" max="1" width="11.42578125" customWidth="1"/>
    <col min="2" max="4" width="11.42578125" style="48" customWidth="1"/>
    <col min="5" max="256" width="11.42578125" customWidth="1"/>
  </cols>
  <sheetData>
    <row r="1" spans="2:11">
      <c r="B1" s="308" t="s">
        <v>210</v>
      </c>
      <c r="C1" s="308"/>
      <c r="D1" s="308"/>
      <c r="E1" s="308"/>
      <c r="F1" s="308"/>
      <c r="G1" s="308"/>
      <c r="H1" s="308"/>
      <c r="I1" s="308"/>
      <c r="J1" s="308"/>
      <c r="K1" s="308"/>
    </row>
    <row r="3" spans="2:11">
      <c r="B3" s="8" t="s">
        <v>177</v>
      </c>
      <c r="C3" s="15" t="s">
        <v>71</v>
      </c>
      <c r="D3" s="15" t="s">
        <v>70</v>
      </c>
      <c r="E3" s="95" t="s">
        <v>211</v>
      </c>
      <c r="F3" s="95" t="s">
        <v>212</v>
      </c>
      <c r="G3" s="95" t="s">
        <v>213</v>
      </c>
      <c r="H3" s="95" t="s">
        <v>214</v>
      </c>
      <c r="I3" s="95" t="s">
        <v>215</v>
      </c>
    </row>
    <row r="4" spans="2:11">
      <c r="B4" s="8">
        <v>1</v>
      </c>
      <c r="C4" s="186">
        <v>1.496</v>
      </c>
      <c r="D4" s="186">
        <v>67.584999999999994</v>
      </c>
      <c r="E4" s="188">
        <v>67.584999999999994</v>
      </c>
      <c r="F4" s="44"/>
      <c r="G4" s="44"/>
      <c r="H4" s="44"/>
      <c r="I4" s="44"/>
    </row>
    <row r="5" spans="2:11">
      <c r="B5" s="8">
        <v>2</v>
      </c>
      <c r="C5" s="186">
        <v>1.5</v>
      </c>
      <c r="D5" s="186">
        <v>58.067999999999998</v>
      </c>
      <c r="E5" s="295">
        <f>IF($D5&gt;$D$4,1,-1)</f>
        <v>-1</v>
      </c>
      <c r="F5" s="188">
        <v>58.067999999999998</v>
      </c>
      <c r="G5" s="44"/>
      <c r="H5" s="44"/>
      <c r="I5" s="44"/>
    </row>
    <row r="6" spans="2:11">
      <c r="B6" s="8">
        <v>3</v>
      </c>
      <c r="C6" s="186">
        <v>1.5389999999999999</v>
      </c>
      <c r="D6" s="186">
        <v>55</v>
      </c>
      <c r="E6" s="295">
        <f>IF($D6&gt;$D$4,1,-1)</f>
        <v>-1</v>
      </c>
      <c r="F6" s="295">
        <f>IF($D6&gt;$D$5,1,-1)</f>
        <v>-1</v>
      </c>
      <c r="G6" s="188">
        <v>55</v>
      </c>
      <c r="H6" s="44"/>
      <c r="I6" s="44"/>
    </row>
    <row r="7" spans="2:11">
      <c r="B7" s="8">
        <v>4</v>
      </c>
      <c r="C7" s="186">
        <v>1.542</v>
      </c>
      <c r="D7" s="186">
        <v>71.668000000000006</v>
      </c>
      <c r="E7" s="295">
        <f>IF($D7&gt;$D$4,1,-1)</f>
        <v>1</v>
      </c>
      <c r="F7" s="295">
        <f>IF($D7&gt;$D$5,1,-1)</f>
        <v>1</v>
      </c>
      <c r="G7" s="295">
        <f>IF(D7&gt;$D$6,1,-1)</f>
        <v>1</v>
      </c>
      <c r="H7" s="188">
        <f>D7</f>
        <v>71.668000000000006</v>
      </c>
      <c r="I7" s="44"/>
    </row>
    <row r="8" spans="2:11">
      <c r="B8" s="8">
        <v>5</v>
      </c>
      <c r="C8" s="186">
        <v>1.5429999999999999</v>
      </c>
      <c r="D8" s="186">
        <v>58.06</v>
      </c>
      <c r="E8" s="295">
        <f>IF($D8&gt;$D$4,1,-1)</f>
        <v>-1</v>
      </c>
      <c r="F8" s="295">
        <f>IF($D8&gt;$D$5,1,-1)</f>
        <v>-1</v>
      </c>
      <c r="G8" s="295">
        <f>IF(D8&gt;$D$6,1,-1)</f>
        <v>1</v>
      </c>
      <c r="H8" s="117">
        <f>IF(D8&gt;$H$7,1,-1)</f>
        <v>-1</v>
      </c>
      <c r="I8" s="188">
        <f>D8</f>
        <v>58.06</v>
      </c>
    </row>
    <row r="9" spans="2:11">
      <c r="B9" s="8">
        <v>6</v>
      </c>
      <c r="C9" s="186">
        <v>1.5569999999999999</v>
      </c>
      <c r="D9" s="186">
        <v>61.689</v>
      </c>
      <c r="E9" s="295">
        <f>IF($D9&gt;$D$4,1,-1)</f>
        <v>-1</v>
      </c>
      <c r="F9" s="295">
        <f>IF($D9&gt;$D$5,1,-1)</f>
        <v>1</v>
      </c>
      <c r="G9" s="295">
        <f>IF(D9&gt;$D$6,1,-1)</f>
        <v>1</v>
      </c>
      <c r="H9" s="117">
        <f>IF(D9&gt;$H$7,1,-1)</f>
        <v>-1</v>
      </c>
      <c r="I9" s="295">
        <f>IF(D9&gt;$I$8,1,-1)</f>
        <v>1</v>
      </c>
      <c r="K9" s="291" t="s">
        <v>123</v>
      </c>
    </row>
    <row r="10" spans="2:11">
      <c r="B10"/>
      <c r="D10" s="189" t="s">
        <v>40</v>
      </c>
      <c r="E10" s="289">
        <f>SUM(E5:E9)</f>
        <v>-3</v>
      </c>
      <c r="F10" s="289">
        <f>SUM(F6:F9)</f>
        <v>0</v>
      </c>
      <c r="G10" s="289">
        <f>SUM(G7:G9)</f>
        <v>3</v>
      </c>
      <c r="H10" s="289">
        <f>SUM(H8:H9)</f>
        <v>-2</v>
      </c>
      <c r="I10" s="289">
        <f>SUM(I9)</f>
        <v>1</v>
      </c>
      <c r="J10" s="187" t="s">
        <v>216</v>
      </c>
      <c r="K10" s="291">
        <f>SUM(E10:I10)</f>
        <v>-1</v>
      </c>
    </row>
    <row r="14" spans="2:11">
      <c r="D14" s="190" t="s">
        <v>217</v>
      </c>
      <c r="E14" s="191">
        <f>(2*K10)/(6*5)</f>
        <v>-6.6666666666666666E-2</v>
      </c>
    </row>
    <row r="16" spans="2:11">
      <c r="D16" s="192" t="s">
        <v>60</v>
      </c>
      <c r="E16" s="193">
        <f>3*E14*SQRT((6*5)/(2*(2*6+5)))</f>
        <v>-0.18786728732554486</v>
      </c>
    </row>
    <row r="19" spans="2:13">
      <c r="B19" s="308" t="s">
        <v>218</v>
      </c>
      <c r="C19" s="308"/>
      <c r="D19" s="308"/>
      <c r="E19" s="308"/>
      <c r="F19" s="308"/>
      <c r="G19" s="308"/>
      <c r="H19" s="308"/>
      <c r="I19" s="308"/>
      <c r="J19" s="308"/>
      <c r="K19" s="308"/>
    </row>
    <row r="21" spans="2:13">
      <c r="B21" s="8" t="s">
        <v>219</v>
      </c>
      <c r="C21" s="15" t="s">
        <v>220</v>
      </c>
      <c r="D21" s="15" t="s">
        <v>221</v>
      </c>
      <c r="E21" s="8">
        <v>1</v>
      </c>
      <c r="F21" s="8">
        <v>2</v>
      </c>
      <c r="G21" s="8">
        <v>3</v>
      </c>
      <c r="H21" s="8">
        <v>4</v>
      </c>
      <c r="I21" s="8">
        <v>5</v>
      </c>
      <c r="J21" s="8">
        <v>6</v>
      </c>
      <c r="K21" s="8">
        <v>7</v>
      </c>
    </row>
    <row r="22" spans="2:13">
      <c r="B22" s="295">
        <v>1</v>
      </c>
      <c r="C22" s="295">
        <v>6.5</v>
      </c>
      <c r="D22" s="295">
        <v>8.5</v>
      </c>
      <c r="E22" s="178"/>
      <c r="F22" s="178"/>
      <c r="G22" s="178"/>
      <c r="H22" s="178"/>
      <c r="I22" s="178"/>
      <c r="J22" s="178"/>
      <c r="K22" s="178"/>
    </row>
    <row r="23" spans="2:13">
      <c r="B23" s="295">
        <v>2</v>
      </c>
      <c r="C23" s="295">
        <v>9</v>
      </c>
      <c r="D23" s="295">
        <v>8.5</v>
      </c>
      <c r="E23" s="295">
        <v>0</v>
      </c>
      <c r="F23" s="178"/>
      <c r="G23" s="178"/>
      <c r="H23" s="178"/>
      <c r="I23" s="178"/>
      <c r="J23" s="178"/>
      <c r="K23" s="178"/>
    </row>
    <row r="24" spans="2:13">
      <c r="B24" s="295">
        <v>3</v>
      </c>
      <c r="C24" s="295">
        <v>9</v>
      </c>
      <c r="D24" s="295">
        <v>6.5</v>
      </c>
      <c r="E24" s="295">
        <v>-1</v>
      </c>
      <c r="F24" s="295">
        <v>0</v>
      </c>
      <c r="G24" s="178"/>
      <c r="H24" s="178"/>
      <c r="I24" s="178"/>
      <c r="J24" s="178"/>
      <c r="K24" s="178"/>
    </row>
    <row r="25" spans="2:13">
      <c r="B25" s="295">
        <v>4</v>
      </c>
      <c r="C25" s="295">
        <v>12</v>
      </c>
      <c r="D25" s="295">
        <v>11</v>
      </c>
      <c r="E25" s="295">
        <v>1</v>
      </c>
      <c r="F25" s="295">
        <v>1</v>
      </c>
      <c r="G25" s="295">
        <v>1</v>
      </c>
      <c r="H25" s="178"/>
      <c r="I25" s="178"/>
      <c r="J25" s="178"/>
      <c r="K25" s="178"/>
    </row>
    <row r="26" spans="2:13">
      <c r="B26" s="295">
        <v>5</v>
      </c>
      <c r="C26" s="295">
        <v>12</v>
      </c>
      <c r="D26" s="295">
        <v>12</v>
      </c>
      <c r="E26" s="295">
        <v>1</v>
      </c>
      <c r="F26" s="295">
        <v>1</v>
      </c>
      <c r="G26" s="295">
        <v>1</v>
      </c>
      <c r="H26" s="295">
        <v>0</v>
      </c>
      <c r="I26" s="178"/>
      <c r="J26" s="178"/>
      <c r="K26" s="178"/>
    </row>
    <row r="27" spans="2:13">
      <c r="B27" s="295">
        <v>6</v>
      </c>
      <c r="C27" s="295">
        <v>12</v>
      </c>
      <c r="D27" s="295">
        <v>11</v>
      </c>
      <c r="E27" s="295">
        <v>1</v>
      </c>
      <c r="F27" s="295">
        <v>1</v>
      </c>
      <c r="G27" s="295">
        <v>1</v>
      </c>
      <c r="H27" s="295">
        <v>0</v>
      </c>
      <c r="I27" s="295">
        <v>0</v>
      </c>
      <c r="J27" s="178"/>
      <c r="K27" s="178"/>
    </row>
    <row r="28" spans="2:13">
      <c r="B28" s="295">
        <v>7</v>
      </c>
      <c r="C28" s="295">
        <v>13</v>
      </c>
      <c r="D28" s="295">
        <v>15</v>
      </c>
      <c r="E28" s="295">
        <v>1</v>
      </c>
      <c r="F28" s="295">
        <v>1</v>
      </c>
      <c r="G28" s="295">
        <v>1</v>
      </c>
      <c r="H28" s="295">
        <v>1</v>
      </c>
      <c r="I28" s="295">
        <v>1</v>
      </c>
      <c r="J28" s="295">
        <v>1</v>
      </c>
      <c r="K28" s="178"/>
    </row>
    <row r="29" spans="2:13">
      <c r="B29" s="295">
        <v>8</v>
      </c>
      <c r="C29" s="295">
        <v>14</v>
      </c>
      <c r="D29" s="295">
        <v>13</v>
      </c>
      <c r="E29" s="295">
        <v>1</v>
      </c>
      <c r="F29" s="295">
        <v>1</v>
      </c>
      <c r="G29" s="295">
        <v>1</v>
      </c>
      <c r="H29" s="295">
        <v>1</v>
      </c>
      <c r="I29" s="295">
        <v>1</v>
      </c>
      <c r="J29" s="295">
        <v>1</v>
      </c>
      <c r="K29" s="295">
        <v>-1</v>
      </c>
      <c r="M29" s="291" t="s">
        <v>123</v>
      </c>
    </row>
    <row r="30" spans="2:13">
      <c r="D30" s="289" t="s">
        <v>40</v>
      </c>
      <c r="E30" s="289">
        <f>SUM(E22:E29)</f>
        <v>4</v>
      </c>
      <c r="F30" s="289">
        <f t="shared" ref="F30:K30" si="0">SUM(F22:F29)</f>
        <v>5</v>
      </c>
      <c r="G30" s="289">
        <f t="shared" si="0"/>
        <v>5</v>
      </c>
      <c r="H30" s="289">
        <f t="shared" si="0"/>
        <v>2</v>
      </c>
      <c r="I30" s="289">
        <f t="shared" si="0"/>
        <v>2</v>
      </c>
      <c r="J30" s="289">
        <f t="shared" si="0"/>
        <v>2</v>
      </c>
      <c r="K30" s="289">
        <f t="shared" si="0"/>
        <v>-1</v>
      </c>
      <c r="L30" s="187" t="s">
        <v>216</v>
      </c>
      <c r="M30" s="291">
        <f>SUM(E30:K30)</f>
        <v>19</v>
      </c>
    </row>
    <row r="33" spans="3:14">
      <c r="C33" s="8" t="s">
        <v>222</v>
      </c>
      <c r="H33" s="8" t="s">
        <v>223</v>
      </c>
    </row>
    <row r="34" spans="3:14">
      <c r="C34" s="8">
        <v>5</v>
      </c>
      <c r="H34" s="8">
        <v>6</v>
      </c>
      <c r="M34" s="19" t="s">
        <v>217</v>
      </c>
      <c r="N34" s="146">
        <f>(2*M30)/(SQRT(8*7-8)*SQRT(8*7-4))</f>
        <v>0.760608730574164</v>
      </c>
    </row>
    <row r="35" spans="3:14">
      <c r="N35" s="153"/>
    </row>
    <row r="36" spans="3:14">
      <c r="C36" s="80" t="s">
        <v>224</v>
      </c>
      <c r="D36" s="80" t="s">
        <v>46</v>
      </c>
      <c r="E36" s="80" t="s">
        <v>225</v>
      </c>
      <c r="H36" s="80" t="s">
        <v>224</v>
      </c>
      <c r="I36" s="80" t="s">
        <v>46</v>
      </c>
      <c r="J36" s="80" t="s">
        <v>226</v>
      </c>
      <c r="M36" s="194" t="s">
        <v>60</v>
      </c>
      <c r="N36" s="145">
        <f>3*N34*SQRT((8*7)/(2*(2*8+5)))</f>
        <v>2.6348259320698384</v>
      </c>
    </row>
    <row r="37" spans="3:14">
      <c r="C37" s="295">
        <v>6.5</v>
      </c>
      <c r="D37" s="295">
        <v>1</v>
      </c>
      <c r="E37" s="295">
        <f>D37*(D37-1)</f>
        <v>0</v>
      </c>
      <c r="H37" s="295">
        <v>6.5</v>
      </c>
      <c r="I37" s="295">
        <v>1</v>
      </c>
      <c r="J37" s="295">
        <f t="shared" ref="J37:J42" si="1">I37*(I37-1)</f>
        <v>0</v>
      </c>
      <c r="M37" s="144" t="s">
        <v>48</v>
      </c>
      <c r="N37" s="145">
        <f>2*(1-NORMSDIST(N36))</f>
        <v>8.4180440653520705E-3</v>
      </c>
    </row>
    <row r="38" spans="3:14">
      <c r="C38" s="295">
        <v>9</v>
      </c>
      <c r="D38" s="295">
        <v>2</v>
      </c>
      <c r="E38" s="295">
        <f>D38*(D38-1)</f>
        <v>2</v>
      </c>
      <c r="H38" s="295">
        <v>8.5</v>
      </c>
      <c r="I38" s="295">
        <v>2</v>
      </c>
      <c r="J38" s="295">
        <f t="shared" si="1"/>
        <v>2</v>
      </c>
    </row>
    <row r="39" spans="3:14">
      <c r="C39" s="295">
        <v>12</v>
      </c>
      <c r="D39" s="295">
        <v>3</v>
      </c>
      <c r="E39" s="295">
        <f>D39*(D39-1)</f>
        <v>6</v>
      </c>
      <c r="H39" s="295">
        <v>11</v>
      </c>
      <c r="I39" s="295">
        <v>2</v>
      </c>
      <c r="J39" s="295">
        <f t="shared" si="1"/>
        <v>2</v>
      </c>
    </row>
    <row r="40" spans="3:14">
      <c r="C40" s="295">
        <v>13</v>
      </c>
      <c r="D40" s="295">
        <v>1</v>
      </c>
      <c r="E40" s="295">
        <f>D40*(D40-1)</f>
        <v>0</v>
      </c>
      <c r="H40" s="295">
        <v>12</v>
      </c>
      <c r="I40" s="295">
        <v>1</v>
      </c>
      <c r="J40" s="295">
        <f t="shared" si="1"/>
        <v>0</v>
      </c>
    </row>
    <row r="41" spans="3:14" ht="13.5" thickBot="1">
      <c r="C41" s="295">
        <v>14</v>
      </c>
      <c r="D41" s="195">
        <v>1</v>
      </c>
      <c r="E41" s="195">
        <f>D41*(D41-1)</f>
        <v>0</v>
      </c>
      <c r="H41" s="295">
        <v>13</v>
      </c>
      <c r="I41" s="295">
        <v>1</v>
      </c>
      <c r="J41" s="295">
        <f t="shared" si="1"/>
        <v>0</v>
      </c>
    </row>
    <row r="42" spans="3:14" ht="13.5" thickBot="1">
      <c r="D42" s="292" t="s">
        <v>227</v>
      </c>
      <c r="E42" s="293">
        <f>SUM(E37:E41)</f>
        <v>8</v>
      </c>
      <c r="H42" s="295">
        <v>15</v>
      </c>
      <c r="I42" s="195">
        <v>1</v>
      </c>
      <c r="J42" s="195">
        <f t="shared" si="1"/>
        <v>0</v>
      </c>
    </row>
    <row r="43" spans="3:14" ht="13.5" thickBot="1">
      <c r="I43" s="292" t="s">
        <v>228</v>
      </c>
      <c r="J43" s="293">
        <f>SUM(J37:J42)</f>
        <v>4</v>
      </c>
    </row>
  </sheetData>
  <mergeCells count="2">
    <mergeCell ref="B19:K19"/>
    <mergeCell ref="B1:K1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0"/>
  <sheetViews>
    <sheetView showGridLines="0" topLeftCell="C1" workbookViewId="0">
      <selection activeCell="M15" sqref="M15"/>
    </sheetView>
  </sheetViews>
  <sheetFormatPr defaultRowHeight="12.75"/>
  <cols>
    <col min="1" max="1" width="11.42578125" customWidth="1"/>
    <col min="2" max="2" width="20.28515625" bestFit="1" customWidth="1"/>
    <col min="3" max="5" width="11.42578125" customWidth="1"/>
    <col min="6" max="6" width="3.7109375" customWidth="1"/>
    <col min="7" max="256" width="11.42578125" customWidth="1"/>
  </cols>
  <sheetData>
    <row r="1" spans="1:11">
      <c r="C1" s="290" t="s">
        <v>90</v>
      </c>
      <c r="D1" s="290" t="s">
        <v>91</v>
      </c>
      <c r="E1" s="198" t="s">
        <v>128</v>
      </c>
    </row>
    <row r="2" spans="1:11">
      <c r="A2" s="2" t="s">
        <v>0</v>
      </c>
      <c r="B2" s="1" t="s">
        <v>1</v>
      </c>
      <c r="C2" s="94" t="s">
        <v>3</v>
      </c>
      <c r="D2" s="196" t="s">
        <v>5</v>
      </c>
      <c r="E2" s="197" t="s">
        <v>2</v>
      </c>
      <c r="H2" s="12" t="s">
        <v>38</v>
      </c>
      <c r="I2" s="199">
        <v>28</v>
      </c>
    </row>
    <row r="3" spans="1:11">
      <c r="A3" s="8">
        <v>1</v>
      </c>
      <c r="B3" s="7" t="s">
        <v>6</v>
      </c>
      <c r="C3" s="3">
        <v>32</v>
      </c>
      <c r="D3" s="4">
        <v>5.7</v>
      </c>
      <c r="E3" s="3">
        <v>846</v>
      </c>
    </row>
    <row r="4" spans="1:11">
      <c r="A4" s="8">
        <v>2</v>
      </c>
      <c r="B4" s="7" t="s">
        <v>7</v>
      </c>
      <c r="C4" s="5">
        <v>39</v>
      </c>
      <c r="D4" s="6">
        <v>5.8</v>
      </c>
      <c r="E4" s="5">
        <v>993</v>
      </c>
      <c r="H4" s="297" t="s">
        <v>229</v>
      </c>
      <c r="I4" s="297"/>
      <c r="J4" s="297"/>
    </row>
    <row r="5" spans="1:11">
      <c r="A5" s="8">
        <v>3</v>
      </c>
      <c r="B5" s="7" t="s">
        <v>8</v>
      </c>
      <c r="C5" s="5">
        <v>29</v>
      </c>
      <c r="D5" s="6">
        <v>6.1</v>
      </c>
      <c r="E5" s="5">
        <v>899</v>
      </c>
      <c r="H5" s="12" t="s">
        <v>172</v>
      </c>
      <c r="I5" s="12" t="s">
        <v>5</v>
      </c>
      <c r="J5" s="200">
        <f>CORREL(C3:C30,D3:D30)</f>
        <v>0.88780851704807884</v>
      </c>
    </row>
    <row r="6" spans="1:11">
      <c r="A6" s="8">
        <v>4</v>
      </c>
      <c r="B6" s="7" t="s">
        <v>9</v>
      </c>
      <c r="C6" s="5">
        <v>44</v>
      </c>
      <c r="D6" s="6">
        <v>6.5</v>
      </c>
      <c r="E6" s="5">
        <v>1390</v>
      </c>
      <c r="H6" s="12" t="s">
        <v>172</v>
      </c>
      <c r="I6" s="12" t="s">
        <v>230</v>
      </c>
      <c r="J6" s="200">
        <f>CORREL(C3:C30,E3:E30)</f>
        <v>0.94754909682670629</v>
      </c>
    </row>
    <row r="7" spans="1:11">
      <c r="A7" s="8">
        <v>5</v>
      </c>
      <c r="B7" s="7" t="s">
        <v>10</v>
      </c>
      <c r="C7" s="5">
        <v>33</v>
      </c>
      <c r="D7" s="6">
        <v>6.8</v>
      </c>
      <c r="E7" s="5">
        <v>1195</v>
      </c>
      <c r="H7" s="12" t="s">
        <v>5</v>
      </c>
      <c r="I7" s="12" t="s">
        <v>230</v>
      </c>
      <c r="J7" s="200">
        <f>CORREL(D3:D30,E3:E30)</f>
        <v>0.8918662579043769</v>
      </c>
    </row>
    <row r="8" spans="1:11">
      <c r="A8" s="8">
        <v>6</v>
      </c>
      <c r="B8" s="7" t="s">
        <v>11</v>
      </c>
      <c r="C8" s="5">
        <v>32</v>
      </c>
      <c r="D8" s="6">
        <v>6.8</v>
      </c>
      <c r="E8" s="5">
        <v>658</v>
      </c>
    </row>
    <row r="9" spans="1:11">
      <c r="A9" s="8">
        <v>7</v>
      </c>
      <c r="B9" s="7" t="s">
        <v>12</v>
      </c>
      <c r="C9" s="5">
        <v>55</v>
      </c>
      <c r="D9" s="6">
        <v>7.1</v>
      </c>
      <c r="E9" s="5">
        <v>1331</v>
      </c>
      <c r="H9" s="323" t="s">
        <v>231</v>
      </c>
      <c r="I9" s="323"/>
    </row>
    <row r="10" spans="1:11">
      <c r="A10" s="8">
        <v>8</v>
      </c>
      <c r="B10" s="7" t="s">
        <v>13</v>
      </c>
      <c r="C10" s="5">
        <v>74</v>
      </c>
      <c r="D10" s="6">
        <v>7.4</v>
      </c>
      <c r="E10" s="5">
        <v>1597</v>
      </c>
      <c r="H10" s="12" t="s">
        <v>232</v>
      </c>
      <c r="I10" s="200">
        <f>(J5-J6*J7)/SQRT((1-J6^2)*(1-J7^2))</f>
        <v>0.29552856057640903</v>
      </c>
    </row>
    <row r="11" spans="1:11">
      <c r="A11" s="8">
        <v>9</v>
      </c>
      <c r="B11" s="7" t="s">
        <v>14</v>
      </c>
      <c r="C11" s="5">
        <v>74</v>
      </c>
      <c r="D11" s="6">
        <v>9</v>
      </c>
      <c r="E11" s="5">
        <v>1761</v>
      </c>
    </row>
    <row r="12" spans="1:11">
      <c r="A12" s="8">
        <v>10</v>
      </c>
      <c r="B12" s="7" t="s">
        <v>15</v>
      </c>
      <c r="C12" s="5">
        <v>101</v>
      </c>
      <c r="D12" s="6">
        <v>11.7</v>
      </c>
      <c r="E12" s="5">
        <v>2165</v>
      </c>
    </row>
    <row r="13" spans="1:11">
      <c r="A13" s="8">
        <v>11</v>
      </c>
      <c r="B13" s="7" t="s">
        <v>16</v>
      </c>
      <c r="C13" s="5">
        <v>85</v>
      </c>
      <c r="D13" s="6">
        <v>9.5</v>
      </c>
      <c r="E13" s="5">
        <v>1983</v>
      </c>
      <c r="G13" s="321" t="s">
        <v>45</v>
      </c>
      <c r="H13" s="321"/>
      <c r="J13" s="322" t="s">
        <v>233</v>
      </c>
      <c r="K13" s="322"/>
    </row>
    <row r="14" spans="1:11">
      <c r="A14" s="8">
        <v>12</v>
      </c>
      <c r="B14" s="7" t="s">
        <v>17</v>
      </c>
      <c r="C14" s="5">
        <v>85</v>
      </c>
      <c r="D14" s="6">
        <v>9.5</v>
      </c>
      <c r="E14" s="5">
        <v>1984</v>
      </c>
      <c r="G14" s="12" t="s">
        <v>46</v>
      </c>
      <c r="H14" s="200">
        <f>I10/SQRT((1-I10^2)/(28-3))</f>
        <v>1.5467291543585371</v>
      </c>
      <c r="J14" s="12" t="s">
        <v>234</v>
      </c>
      <c r="K14" s="200">
        <f>0.5*LN((1+I10)/(1-I10))</f>
        <v>0.30461312771860516</v>
      </c>
    </row>
    <row r="15" spans="1:11">
      <c r="A15" s="8">
        <v>13</v>
      </c>
      <c r="B15" s="7" t="s">
        <v>18</v>
      </c>
      <c r="C15" s="5">
        <v>89</v>
      </c>
      <c r="D15" s="6">
        <v>8.8000000000000007</v>
      </c>
      <c r="E15" s="5">
        <v>1998</v>
      </c>
      <c r="G15" s="12" t="s">
        <v>136</v>
      </c>
      <c r="H15" s="200">
        <f>TINV(0.025,25)</f>
        <v>2.3846102008046892</v>
      </c>
    </row>
    <row r="16" spans="1:11">
      <c r="A16" s="8">
        <v>14</v>
      </c>
      <c r="B16" s="7" t="s">
        <v>19</v>
      </c>
      <c r="C16" s="5">
        <v>65</v>
      </c>
      <c r="D16" s="6">
        <v>9.3000000000000007</v>
      </c>
      <c r="E16" s="5">
        <v>1580</v>
      </c>
      <c r="J16" s="12" t="s">
        <v>235</v>
      </c>
      <c r="K16" s="200">
        <f>1/SQRT(I2-1-3)</f>
        <v>0.20412414523193154</v>
      </c>
    </row>
    <row r="17" spans="1:11">
      <c r="A17" s="8">
        <v>15</v>
      </c>
      <c r="B17" s="7" t="s">
        <v>20</v>
      </c>
      <c r="C17" s="5">
        <v>54</v>
      </c>
      <c r="D17" s="6">
        <v>8.6</v>
      </c>
      <c r="E17" s="5">
        <v>1390</v>
      </c>
      <c r="G17" s="12" t="s">
        <v>48</v>
      </c>
      <c r="H17" s="200">
        <f>TDIST(H14,25,2)</f>
        <v>0.13449514304386467</v>
      </c>
      <c r="J17" s="12" t="s">
        <v>50</v>
      </c>
      <c r="K17" s="200">
        <f>NORMSINV(0.975)</f>
        <v>1.9599639845400536</v>
      </c>
    </row>
    <row r="18" spans="1:11">
      <c r="A18" s="8">
        <v>16</v>
      </c>
      <c r="B18" s="7" t="s">
        <v>21</v>
      </c>
      <c r="C18" s="5">
        <v>66</v>
      </c>
      <c r="D18" s="6">
        <v>7.7</v>
      </c>
      <c r="E18" s="5">
        <v>1396</v>
      </c>
    </row>
    <row r="19" spans="1:11">
      <c r="A19" s="8">
        <v>17</v>
      </c>
      <c r="B19" s="7" t="s">
        <v>22</v>
      </c>
      <c r="C19" s="5">
        <v>106</v>
      </c>
      <c r="D19" s="6">
        <v>10.8</v>
      </c>
      <c r="E19" s="5">
        <v>2435</v>
      </c>
      <c r="J19" s="12" t="s">
        <v>236</v>
      </c>
      <c r="K19" s="200">
        <f>K14-K17*K16</f>
        <v>-9.5462845311003963E-2</v>
      </c>
    </row>
    <row r="20" spans="1:11">
      <c r="A20" s="8">
        <v>18</v>
      </c>
      <c r="B20" s="7" t="s">
        <v>23</v>
      </c>
      <c r="C20" s="5">
        <v>55</v>
      </c>
      <c r="D20" s="6">
        <v>6.6</v>
      </c>
      <c r="E20" s="5">
        <v>1242</v>
      </c>
      <c r="J20" s="12" t="s">
        <v>237</v>
      </c>
      <c r="K20" s="200">
        <f>K14+K17*K16</f>
        <v>0.70468910074821434</v>
      </c>
    </row>
    <row r="21" spans="1:11">
      <c r="A21" s="8">
        <v>19</v>
      </c>
      <c r="B21" s="7" t="s">
        <v>24</v>
      </c>
      <c r="C21" s="5">
        <v>107</v>
      </c>
      <c r="D21" s="6">
        <v>11.7</v>
      </c>
      <c r="E21" s="5">
        <v>2972</v>
      </c>
    </row>
    <row r="22" spans="1:11">
      <c r="A22" s="8">
        <v>20</v>
      </c>
      <c r="B22" s="7" t="s">
        <v>25</v>
      </c>
      <c r="C22" s="5">
        <v>150</v>
      </c>
      <c r="D22" s="6">
        <v>11.9</v>
      </c>
      <c r="E22" s="5">
        <v>2958</v>
      </c>
      <c r="J22" s="12" t="s">
        <v>238</v>
      </c>
      <c r="K22" s="200">
        <f>(EXP(2*K19)-1)/(EXP(2*K19)+1)</f>
        <v>-9.5173909282722083E-2</v>
      </c>
    </row>
    <row r="23" spans="1:11">
      <c r="A23" s="8">
        <v>21</v>
      </c>
      <c r="B23" s="7" t="s">
        <v>26</v>
      </c>
      <c r="C23" s="5">
        <v>122</v>
      </c>
      <c r="D23" s="6">
        <v>10.8</v>
      </c>
      <c r="E23" s="5">
        <v>2497</v>
      </c>
      <c r="J23" s="12" t="s">
        <v>239</v>
      </c>
      <c r="K23" s="200">
        <f>(EXP(2*K20)-1)/(EXP(2*K20)+1)</f>
        <v>0.60733570232481493</v>
      </c>
    </row>
    <row r="24" spans="1:11">
      <c r="A24" s="8">
        <v>22</v>
      </c>
      <c r="B24" s="7" t="s">
        <v>27</v>
      </c>
      <c r="C24" s="5">
        <v>66</v>
      </c>
      <c r="D24" s="6">
        <v>7.6</v>
      </c>
      <c r="E24" s="5">
        <v>1998</v>
      </c>
    </row>
    <row r="25" spans="1:11">
      <c r="A25" s="8">
        <v>23</v>
      </c>
      <c r="B25" s="7" t="s">
        <v>28</v>
      </c>
      <c r="C25" s="5">
        <v>125</v>
      </c>
      <c r="D25" s="6">
        <v>11.3</v>
      </c>
      <c r="E25" s="5">
        <v>2496</v>
      </c>
    </row>
    <row r="26" spans="1:11">
      <c r="A26" s="8">
        <v>24</v>
      </c>
      <c r="B26" s="7" t="s">
        <v>29</v>
      </c>
      <c r="C26" s="5">
        <v>89</v>
      </c>
      <c r="D26" s="6">
        <v>10.8</v>
      </c>
      <c r="E26" s="5">
        <v>1998</v>
      </c>
    </row>
    <row r="27" spans="1:11">
      <c r="A27" s="8">
        <v>25</v>
      </c>
      <c r="B27" s="7" t="s">
        <v>30</v>
      </c>
      <c r="C27" s="5">
        <v>92</v>
      </c>
      <c r="D27" s="6">
        <v>9.1999999999999993</v>
      </c>
      <c r="E27" s="5">
        <v>1997</v>
      </c>
    </row>
    <row r="28" spans="1:11">
      <c r="A28" s="8">
        <v>26</v>
      </c>
      <c r="B28" s="7" t="s">
        <v>31</v>
      </c>
      <c r="C28" s="5">
        <v>85</v>
      </c>
      <c r="D28" s="6">
        <v>11.6</v>
      </c>
      <c r="E28" s="5">
        <v>1984</v>
      </c>
    </row>
    <row r="29" spans="1:11">
      <c r="A29" s="8">
        <v>27</v>
      </c>
      <c r="B29" s="7" t="s">
        <v>32</v>
      </c>
      <c r="C29" s="5">
        <v>97</v>
      </c>
      <c r="D29" s="6">
        <v>12.8</v>
      </c>
      <c r="E29" s="5">
        <v>2438</v>
      </c>
    </row>
    <row r="30" spans="1:11">
      <c r="A30" s="8">
        <v>28</v>
      </c>
      <c r="B30" s="7" t="s">
        <v>33</v>
      </c>
      <c r="C30" s="5">
        <v>125</v>
      </c>
      <c r="D30" s="6">
        <v>12.7</v>
      </c>
      <c r="E30" s="5">
        <v>2473</v>
      </c>
    </row>
  </sheetData>
  <mergeCells count="4">
    <mergeCell ref="G13:H13"/>
    <mergeCell ref="J13:K13"/>
    <mergeCell ref="H4:J4"/>
    <mergeCell ref="H9:I9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showGridLines="0" workbookViewId="0">
      <selection activeCell="M7" sqref="M7"/>
    </sheetView>
  </sheetViews>
  <sheetFormatPr defaultRowHeight="12.75"/>
  <cols>
    <col min="1" max="1" width="7.42578125" bestFit="1" customWidth="1"/>
    <col min="2" max="2" width="20.28515625" bestFit="1" customWidth="1"/>
    <col min="3" max="256" width="11.42578125" customWidth="1"/>
  </cols>
  <sheetData>
    <row r="1" spans="1:9">
      <c r="C1" s="289" t="s">
        <v>90</v>
      </c>
      <c r="D1" s="289" t="s">
        <v>91</v>
      </c>
      <c r="E1" s="289" t="s">
        <v>118</v>
      </c>
      <c r="F1" s="289" t="s">
        <v>119</v>
      </c>
    </row>
    <row r="2" spans="1:9">
      <c r="A2" s="2" t="s">
        <v>0</v>
      </c>
      <c r="B2" s="1" t="s">
        <v>1</v>
      </c>
      <c r="C2" s="94" t="s">
        <v>5</v>
      </c>
      <c r="D2" s="94" t="s">
        <v>3</v>
      </c>
      <c r="E2" s="197" t="s">
        <v>2</v>
      </c>
      <c r="F2" s="197" t="s">
        <v>4</v>
      </c>
    </row>
    <row r="3" spans="1:9">
      <c r="A3" s="8">
        <v>1</v>
      </c>
      <c r="B3" s="7" t="s">
        <v>6</v>
      </c>
      <c r="C3" s="4">
        <v>5.7</v>
      </c>
      <c r="D3" s="3">
        <v>32</v>
      </c>
      <c r="E3" s="3">
        <v>846</v>
      </c>
      <c r="F3" s="3">
        <v>650</v>
      </c>
      <c r="H3" s="12" t="s">
        <v>38</v>
      </c>
      <c r="I3" s="5">
        <v>28</v>
      </c>
    </row>
    <row r="4" spans="1:9">
      <c r="A4" s="8">
        <v>2</v>
      </c>
      <c r="B4" s="7" t="s">
        <v>7</v>
      </c>
      <c r="C4" s="6">
        <v>5.8</v>
      </c>
      <c r="D4" s="5">
        <v>39</v>
      </c>
      <c r="E4" s="5">
        <v>993</v>
      </c>
      <c r="F4" s="5">
        <v>790</v>
      </c>
    </row>
    <row r="5" spans="1:9">
      <c r="A5" s="8">
        <v>3</v>
      </c>
      <c r="B5" s="7" t="s">
        <v>8</v>
      </c>
      <c r="C5" s="6">
        <v>6.1</v>
      </c>
      <c r="D5" s="5">
        <v>29</v>
      </c>
      <c r="E5" s="5">
        <v>899</v>
      </c>
      <c r="F5" s="5">
        <v>730</v>
      </c>
      <c r="H5" s="216" t="s">
        <v>114</v>
      </c>
      <c r="I5" s="215">
        <f>D48</f>
        <v>0.25309074918677593</v>
      </c>
    </row>
    <row r="6" spans="1:9">
      <c r="A6" s="8">
        <v>4</v>
      </c>
      <c r="B6" s="7" t="s">
        <v>9</v>
      </c>
      <c r="C6" s="6">
        <v>6.5</v>
      </c>
      <c r="D6" s="5">
        <v>44</v>
      </c>
      <c r="E6" s="5">
        <v>1390</v>
      </c>
      <c r="F6" s="5">
        <v>955</v>
      </c>
    </row>
    <row r="7" spans="1:9">
      <c r="A7" s="8">
        <v>5</v>
      </c>
      <c r="B7" s="7" t="s">
        <v>10</v>
      </c>
      <c r="C7" s="6">
        <v>6.8</v>
      </c>
      <c r="D7" s="5">
        <v>33</v>
      </c>
      <c r="E7" s="5">
        <v>1195</v>
      </c>
      <c r="F7" s="5">
        <v>895</v>
      </c>
      <c r="H7" s="325" t="s">
        <v>240</v>
      </c>
      <c r="I7" s="325"/>
    </row>
    <row r="8" spans="1:9">
      <c r="A8" s="8">
        <v>6</v>
      </c>
      <c r="B8" s="7" t="s">
        <v>11</v>
      </c>
      <c r="C8" s="6">
        <v>6.8</v>
      </c>
      <c r="D8" s="5">
        <v>32</v>
      </c>
      <c r="E8" s="5">
        <v>658</v>
      </c>
      <c r="F8" s="5">
        <v>740</v>
      </c>
      <c r="H8" s="12" t="s">
        <v>46</v>
      </c>
      <c r="I8" s="200">
        <f>I5/SQRT((1-I5^2)/(I3-2-2))</f>
        <v>1.2816124307381649</v>
      </c>
    </row>
    <row r="9" spans="1:9">
      <c r="A9" s="8">
        <v>7</v>
      </c>
      <c r="B9" s="7" t="s">
        <v>12</v>
      </c>
      <c r="C9" s="6">
        <v>7.1</v>
      </c>
      <c r="D9" s="5">
        <v>55</v>
      </c>
      <c r="E9" s="5">
        <v>1331</v>
      </c>
      <c r="F9" s="5">
        <v>1010</v>
      </c>
      <c r="H9" s="12" t="s">
        <v>241</v>
      </c>
      <c r="I9" s="200">
        <f>TINV(0.025,28-4)</f>
        <v>2.390949315129467</v>
      </c>
    </row>
    <row r="10" spans="1:9">
      <c r="A10" s="8">
        <v>8</v>
      </c>
      <c r="B10" s="7" t="s">
        <v>13</v>
      </c>
      <c r="C10" s="6">
        <v>7.4</v>
      </c>
      <c r="D10" s="5">
        <v>74</v>
      </c>
      <c r="E10" s="5">
        <v>1597</v>
      </c>
      <c r="F10" s="5">
        <v>1080</v>
      </c>
    </row>
    <row r="11" spans="1:9">
      <c r="A11" s="8">
        <v>9</v>
      </c>
      <c r="B11" s="7" t="s">
        <v>14</v>
      </c>
      <c r="C11" s="6">
        <v>9</v>
      </c>
      <c r="D11" s="5">
        <v>74</v>
      </c>
      <c r="E11" s="5">
        <v>1761</v>
      </c>
      <c r="F11" s="5">
        <v>1100</v>
      </c>
      <c r="H11" s="12" t="s">
        <v>48</v>
      </c>
      <c r="I11" s="200">
        <f>TDIST(I8,28-4,2)</f>
        <v>0.2122226836916899</v>
      </c>
    </row>
    <row r="12" spans="1:9">
      <c r="A12" s="8">
        <v>10</v>
      </c>
      <c r="B12" s="7" t="s">
        <v>15</v>
      </c>
      <c r="C12" s="6">
        <v>11.7</v>
      </c>
      <c r="D12" s="5">
        <v>101</v>
      </c>
      <c r="E12" s="5">
        <v>2165</v>
      </c>
      <c r="F12" s="5">
        <v>1500</v>
      </c>
    </row>
    <row r="13" spans="1:9">
      <c r="A13" s="8">
        <v>11</v>
      </c>
      <c r="B13" s="7" t="s">
        <v>16</v>
      </c>
      <c r="C13" s="6">
        <v>9.5</v>
      </c>
      <c r="D13" s="5">
        <v>85</v>
      </c>
      <c r="E13" s="5">
        <v>1983</v>
      </c>
      <c r="F13" s="5">
        <v>1075</v>
      </c>
    </row>
    <row r="14" spans="1:9">
      <c r="A14" s="8">
        <v>12</v>
      </c>
      <c r="B14" s="7" t="s">
        <v>17</v>
      </c>
      <c r="C14" s="6">
        <v>9.5</v>
      </c>
      <c r="D14" s="5">
        <v>85</v>
      </c>
      <c r="E14" s="5">
        <v>1984</v>
      </c>
      <c r="F14" s="5">
        <v>1155</v>
      </c>
      <c r="H14" s="309" t="s">
        <v>49</v>
      </c>
      <c r="I14" s="309"/>
    </row>
    <row r="15" spans="1:9">
      <c r="A15" s="8">
        <v>13</v>
      </c>
      <c r="B15" s="7" t="s">
        <v>18</v>
      </c>
      <c r="C15" s="6">
        <v>8.8000000000000007</v>
      </c>
      <c r="D15" s="5">
        <v>89</v>
      </c>
      <c r="E15" s="5">
        <v>1998</v>
      </c>
      <c r="F15" s="5">
        <v>1140</v>
      </c>
      <c r="H15" s="12" t="s">
        <v>234</v>
      </c>
      <c r="I15" s="200">
        <f>0.5*LN((1+I5)/(1-I5))</f>
        <v>0.25871234245190344</v>
      </c>
    </row>
    <row r="16" spans="1:9">
      <c r="A16" s="8">
        <v>14</v>
      </c>
      <c r="B16" s="7" t="s">
        <v>19</v>
      </c>
      <c r="C16" s="6">
        <v>9.3000000000000007</v>
      </c>
      <c r="D16" s="5">
        <v>65</v>
      </c>
      <c r="E16" s="5">
        <v>1580</v>
      </c>
      <c r="F16" s="5">
        <v>1080</v>
      </c>
    </row>
    <row r="17" spans="1:9">
      <c r="A17" s="8">
        <v>15</v>
      </c>
      <c r="B17" s="7" t="s">
        <v>20</v>
      </c>
      <c r="C17" s="6">
        <v>8.6</v>
      </c>
      <c r="D17" s="5">
        <v>54</v>
      </c>
      <c r="E17" s="5">
        <v>1390</v>
      </c>
      <c r="F17" s="5">
        <v>1110</v>
      </c>
      <c r="H17" s="12" t="s">
        <v>242</v>
      </c>
      <c r="I17" s="200">
        <f>1/SQRT(I3-2-3)</f>
        <v>0.20851441405707477</v>
      </c>
    </row>
    <row r="18" spans="1:9">
      <c r="A18" s="8">
        <v>16</v>
      </c>
      <c r="B18" s="7" t="s">
        <v>21</v>
      </c>
      <c r="C18" s="6">
        <v>7.7</v>
      </c>
      <c r="D18" s="5">
        <v>66</v>
      </c>
      <c r="E18" s="5">
        <v>1396</v>
      </c>
      <c r="F18" s="5">
        <v>1140</v>
      </c>
      <c r="H18" s="12" t="s">
        <v>50</v>
      </c>
      <c r="I18" s="200">
        <f>NORMSINV(0.975)</f>
        <v>1.9599639845400536</v>
      </c>
    </row>
    <row r="19" spans="1:9">
      <c r="A19" s="8">
        <v>17</v>
      </c>
      <c r="B19" s="7" t="s">
        <v>22</v>
      </c>
      <c r="C19" s="6">
        <v>10.8</v>
      </c>
      <c r="D19" s="5">
        <v>106</v>
      </c>
      <c r="E19" s="5">
        <v>2435</v>
      </c>
      <c r="F19" s="5">
        <v>1370</v>
      </c>
    </row>
    <row r="20" spans="1:9">
      <c r="A20" s="8">
        <v>18</v>
      </c>
      <c r="B20" s="7" t="s">
        <v>23</v>
      </c>
      <c r="C20" s="6">
        <v>6.6</v>
      </c>
      <c r="D20" s="5">
        <v>55</v>
      </c>
      <c r="E20" s="5">
        <v>1242</v>
      </c>
      <c r="F20" s="5">
        <v>940</v>
      </c>
      <c r="H20" s="12" t="s">
        <v>236</v>
      </c>
      <c r="I20" s="200">
        <f>I15-I18*I17</f>
        <v>-0.14996839935743539</v>
      </c>
    </row>
    <row r="21" spans="1:9">
      <c r="A21" s="8">
        <v>19</v>
      </c>
      <c r="B21" s="7" t="s">
        <v>24</v>
      </c>
      <c r="C21" s="6">
        <v>11.7</v>
      </c>
      <c r="D21" s="5">
        <v>107</v>
      </c>
      <c r="E21" s="5">
        <v>2972</v>
      </c>
      <c r="F21" s="5">
        <v>1400</v>
      </c>
      <c r="H21" s="12" t="s">
        <v>237</v>
      </c>
      <c r="I21" s="200">
        <f>I15+I18*I17</f>
        <v>0.66739308426124233</v>
      </c>
    </row>
    <row r="22" spans="1:9">
      <c r="A22" s="8">
        <v>20</v>
      </c>
      <c r="B22" s="7" t="s">
        <v>25</v>
      </c>
      <c r="C22" s="6">
        <v>11.9</v>
      </c>
      <c r="D22" s="5">
        <v>150</v>
      </c>
      <c r="E22" s="5">
        <v>2958</v>
      </c>
      <c r="F22" s="5">
        <v>1550</v>
      </c>
    </row>
    <row r="23" spans="1:9">
      <c r="A23" s="8">
        <v>21</v>
      </c>
      <c r="B23" s="7" t="s">
        <v>26</v>
      </c>
      <c r="C23" s="6">
        <v>10.8</v>
      </c>
      <c r="D23" s="5">
        <v>122</v>
      </c>
      <c r="E23" s="5">
        <v>2497</v>
      </c>
      <c r="F23" s="5">
        <v>1330</v>
      </c>
      <c r="H23" s="12" t="s">
        <v>238</v>
      </c>
      <c r="I23" s="200">
        <f>(EXP(2*I20)-1)/(EXP(2*I20)+1)</f>
        <v>-0.14885413331902786</v>
      </c>
    </row>
    <row r="24" spans="1:9">
      <c r="A24" s="8">
        <v>22</v>
      </c>
      <c r="B24" s="7" t="s">
        <v>27</v>
      </c>
      <c r="C24" s="6">
        <v>7.6</v>
      </c>
      <c r="D24" s="5">
        <v>66</v>
      </c>
      <c r="E24" s="5">
        <v>1998</v>
      </c>
      <c r="F24" s="5">
        <v>1300</v>
      </c>
      <c r="H24" s="12" t="s">
        <v>239</v>
      </c>
      <c r="I24" s="200">
        <f>(EXP(2*I21)-1)/(EXP(2*I21)+1)</f>
        <v>0.58326244232797542</v>
      </c>
    </row>
    <row r="25" spans="1:9">
      <c r="A25" s="8">
        <v>23</v>
      </c>
      <c r="B25" s="7" t="s">
        <v>28</v>
      </c>
      <c r="C25" s="6">
        <v>11.3</v>
      </c>
      <c r="D25" s="5">
        <v>125</v>
      </c>
      <c r="E25" s="5">
        <v>2496</v>
      </c>
      <c r="F25" s="5">
        <v>1670</v>
      </c>
    </row>
    <row r="26" spans="1:9">
      <c r="A26" s="8">
        <v>24</v>
      </c>
      <c r="B26" s="7" t="s">
        <v>29</v>
      </c>
      <c r="C26" s="6">
        <v>10.8</v>
      </c>
      <c r="D26" s="5">
        <v>89</v>
      </c>
      <c r="E26" s="5">
        <v>1998</v>
      </c>
      <c r="F26" s="5">
        <v>1560</v>
      </c>
    </row>
    <row r="27" spans="1:9">
      <c r="A27" s="8">
        <v>25</v>
      </c>
      <c r="B27" s="7" t="s">
        <v>30</v>
      </c>
      <c r="C27" s="6">
        <v>9.1999999999999993</v>
      </c>
      <c r="D27" s="5">
        <v>92</v>
      </c>
      <c r="E27" s="5">
        <v>1997</v>
      </c>
      <c r="F27" s="5">
        <v>1240</v>
      </c>
    </row>
    <row r="28" spans="1:9">
      <c r="A28" s="8">
        <v>26</v>
      </c>
      <c r="B28" s="7" t="s">
        <v>31</v>
      </c>
      <c r="C28" s="6">
        <v>11.6</v>
      </c>
      <c r="D28" s="5">
        <v>85</v>
      </c>
      <c r="E28" s="5">
        <v>1984</v>
      </c>
      <c r="F28" s="5">
        <v>1635</v>
      </c>
    </row>
    <row r="29" spans="1:9">
      <c r="A29" s="8">
        <v>27</v>
      </c>
      <c r="B29" s="7" t="s">
        <v>32</v>
      </c>
      <c r="C29" s="6">
        <v>12.8</v>
      </c>
      <c r="D29" s="5">
        <v>97</v>
      </c>
      <c r="E29" s="5">
        <v>2438</v>
      </c>
      <c r="F29" s="5">
        <v>1800</v>
      </c>
    </row>
    <row r="30" spans="1:9">
      <c r="A30" s="8">
        <v>28</v>
      </c>
      <c r="B30" s="7" t="s">
        <v>33</v>
      </c>
      <c r="C30" s="6">
        <v>12.7</v>
      </c>
      <c r="D30" s="5">
        <v>125</v>
      </c>
      <c r="E30" s="5">
        <v>2473</v>
      </c>
      <c r="F30" s="5">
        <v>1570</v>
      </c>
    </row>
    <row r="32" spans="1:9">
      <c r="B32" s="324" t="s">
        <v>243</v>
      </c>
      <c r="C32" s="324"/>
      <c r="D32" s="324"/>
      <c r="E32" s="324"/>
      <c r="F32" s="324"/>
    </row>
    <row r="33" spans="2:6">
      <c r="C33" s="210" t="s">
        <v>5</v>
      </c>
      <c r="D33" s="210" t="s">
        <v>3</v>
      </c>
      <c r="E33" s="210" t="s">
        <v>2</v>
      </c>
      <c r="F33" s="210" t="s">
        <v>4</v>
      </c>
    </row>
    <row r="34" spans="2:6">
      <c r="B34" s="211" t="s">
        <v>5</v>
      </c>
      <c r="C34" s="12">
        <v>1</v>
      </c>
      <c r="D34" s="91">
        <f>CORREL($C3:$C30,D3:D30)</f>
        <v>0.88780851704807884</v>
      </c>
      <c r="E34" s="205">
        <f>CORREL($C3:$C30,E3:E30)</f>
        <v>0.8918662579043769</v>
      </c>
      <c r="F34" s="91">
        <f>CORREL($C3:$C30,F3:F30)</f>
        <v>0.92632639818669704</v>
      </c>
    </row>
    <row r="35" spans="2:6">
      <c r="B35" s="211" t="s">
        <v>3</v>
      </c>
      <c r="C35" s="12"/>
      <c r="D35" s="12">
        <v>1</v>
      </c>
      <c r="E35" s="91">
        <f>CORREL($D3:$D30,E3:E30)</f>
        <v>0.94754909682670629</v>
      </c>
      <c r="F35" s="91">
        <f>CORREL($D3:$D30,F3:F30)</f>
        <v>0.84334697347422716</v>
      </c>
    </row>
    <row r="36" spans="2:6">
      <c r="B36" s="211" t="s">
        <v>2</v>
      </c>
      <c r="C36" s="12"/>
      <c r="D36" s="12"/>
      <c r="E36" s="12">
        <v>1</v>
      </c>
      <c r="F36" s="91">
        <f>CORREL(E3:E30,F3:F30)</f>
        <v>0.86155646273515196</v>
      </c>
    </row>
    <row r="37" spans="2:6">
      <c r="B37" s="211" t="s">
        <v>4</v>
      </c>
      <c r="C37" s="12"/>
      <c r="D37" s="12"/>
      <c r="E37" s="12"/>
      <c r="F37" s="12">
        <v>1</v>
      </c>
    </row>
    <row r="39" spans="2:6">
      <c r="B39" s="297" t="s">
        <v>244</v>
      </c>
      <c r="C39" s="297"/>
      <c r="D39" s="297"/>
      <c r="E39" s="297"/>
      <c r="F39" s="297"/>
    </row>
    <row r="40" spans="2:6">
      <c r="C40" s="210" t="s">
        <v>5</v>
      </c>
      <c r="D40" s="210" t="s">
        <v>3</v>
      </c>
      <c r="E40" s="206" t="s">
        <v>2</v>
      </c>
      <c r="F40" s="210" t="s">
        <v>4</v>
      </c>
    </row>
    <row r="41" spans="2:6">
      <c r="B41" s="211" t="s">
        <v>5</v>
      </c>
      <c r="C41" s="12">
        <v>1</v>
      </c>
      <c r="D41" s="91">
        <f>(D34-E34*E35)/SQRT((1-E34^2)*(1-E35^2))</f>
        <v>0.29552856057640903</v>
      </c>
      <c r="E41" s="204" t="s">
        <v>245</v>
      </c>
      <c r="F41" s="91">
        <f>(F34-E34*F36)/SQRT((1-E34^2)*(1-F36^2))</f>
        <v>0.68781765196197553</v>
      </c>
    </row>
    <row r="42" spans="2:6">
      <c r="B42" s="211" t="s">
        <v>3</v>
      </c>
      <c r="C42" s="12"/>
      <c r="D42" s="12">
        <v>1</v>
      </c>
      <c r="E42" s="204" t="s">
        <v>245</v>
      </c>
      <c r="F42" s="91">
        <f>(F35-F36*E35)/SQRT((1-F36^2)*(1-E35^2))</f>
        <v>0.16628213825236585</v>
      </c>
    </row>
    <row r="43" spans="2:6">
      <c r="B43" s="207" t="s">
        <v>2</v>
      </c>
      <c r="C43" s="12"/>
      <c r="D43" s="12"/>
      <c r="E43" s="12">
        <v>1</v>
      </c>
      <c r="F43" s="204" t="s">
        <v>245</v>
      </c>
    </row>
    <row r="44" spans="2:6">
      <c r="B44" s="211" t="s">
        <v>4</v>
      </c>
      <c r="C44" s="12"/>
      <c r="D44" s="12"/>
      <c r="E44" s="12"/>
      <c r="F44" s="12">
        <v>1</v>
      </c>
    </row>
    <row r="46" spans="2:6">
      <c r="B46" s="297" t="s">
        <v>246</v>
      </c>
      <c r="C46" s="297"/>
      <c r="D46" s="297"/>
      <c r="E46" s="297"/>
      <c r="F46" s="297"/>
    </row>
    <row r="47" spans="2:6">
      <c r="C47" s="210" t="s">
        <v>5</v>
      </c>
      <c r="D47" s="210" t="s">
        <v>3</v>
      </c>
      <c r="E47" s="206" t="s">
        <v>2</v>
      </c>
      <c r="F47" s="209" t="s">
        <v>4</v>
      </c>
    </row>
    <row r="48" spans="2:6">
      <c r="B48" s="211" t="s">
        <v>5</v>
      </c>
      <c r="C48" s="12">
        <v>1</v>
      </c>
      <c r="D48" s="215">
        <f>(D41-F41*F42)/SQRT((1-F41^2)*(1-F42^2))</f>
        <v>0.25309074918677593</v>
      </c>
      <c r="E48" s="204" t="s">
        <v>245</v>
      </c>
      <c r="F48" s="204" t="s">
        <v>245</v>
      </c>
    </row>
    <row r="49" spans="2:6">
      <c r="B49" s="211" t="s">
        <v>3</v>
      </c>
      <c r="C49" s="12"/>
      <c r="D49" s="12">
        <v>1</v>
      </c>
      <c r="E49" s="204" t="s">
        <v>245</v>
      </c>
      <c r="F49" s="204" t="s">
        <v>245</v>
      </c>
    </row>
    <row r="50" spans="2:6">
      <c r="B50" s="207" t="s">
        <v>2</v>
      </c>
      <c r="C50" s="12"/>
      <c r="D50" s="12"/>
      <c r="E50" s="12">
        <v>1</v>
      </c>
      <c r="F50" s="204" t="s">
        <v>245</v>
      </c>
    </row>
    <row r="51" spans="2:6">
      <c r="B51" s="208" t="s">
        <v>4</v>
      </c>
      <c r="C51" s="12"/>
      <c r="D51" s="12"/>
      <c r="E51" s="12"/>
      <c r="F51" s="12">
        <v>1</v>
      </c>
    </row>
  </sheetData>
  <mergeCells count="5">
    <mergeCell ref="B32:F32"/>
    <mergeCell ref="B39:F39"/>
    <mergeCell ref="B46:F46"/>
    <mergeCell ref="H7:I7"/>
    <mergeCell ref="H14:I14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9"/>
  <sheetViews>
    <sheetView showGridLines="0" workbookViewId="0">
      <selection activeCell="K17" sqref="K17"/>
    </sheetView>
  </sheetViews>
  <sheetFormatPr defaultRowHeight="12.75"/>
  <cols>
    <col min="1" max="1" width="11.42578125" customWidth="1"/>
    <col min="2" max="2" width="20.28515625" bestFit="1" customWidth="1"/>
    <col min="3" max="256" width="11.42578125" customWidth="1"/>
  </cols>
  <sheetData>
    <row r="1" spans="1:8" ht="13.5" thickBot="1">
      <c r="C1" s="212" t="s">
        <v>90</v>
      </c>
      <c r="D1" s="219" t="s">
        <v>91</v>
      </c>
      <c r="E1" s="219" t="s">
        <v>118</v>
      </c>
      <c r="F1" s="220" t="s">
        <v>119</v>
      </c>
      <c r="G1" s="327" t="s">
        <v>247</v>
      </c>
      <c r="H1" s="328"/>
    </row>
    <row r="2" spans="1:8">
      <c r="A2" s="2" t="s">
        <v>0</v>
      </c>
      <c r="B2" s="1" t="s">
        <v>1</v>
      </c>
      <c r="C2" s="201" t="s">
        <v>5</v>
      </c>
      <c r="D2" s="201" t="s">
        <v>3</v>
      </c>
      <c r="E2" s="203" t="s">
        <v>2</v>
      </c>
      <c r="F2" s="203" t="s">
        <v>4</v>
      </c>
      <c r="G2" s="217" t="s">
        <v>248</v>
      </c>
      <c r="H2" s="218" t="s">
        <v>249</v>
      </c>
    </row>
    <row r="3" spans="1:8">
      <c r="A3" s="8">
        <v>1</v>
      </c>
      <c r="B3" s="7" t="s">
        <v>6</v>
      </c>
      <c r="C3" s="4">
        <v>5.7</v>
      </c>
      <c r="D3" s="3">
        <v>32</v>
      </c>
      <c r="E3" s="3">
        <v>846</v>
      </c>
      <c r="F3" s="3">
        <v>650</v>
      </c>
      <c r="G3" s="200">
        <f t="shared" ref="G3:G30" si="0">C3-($C$35*F3+$D$35*E3+$E$35)</f>
        <v>0.30184977191367235</v>
      </c>
      <c r="H3" s="200">
        <f>D3-($C$39*F3+$D$39*E3+$E$39)</f>
        <v>2.9697339352329877</v>
      </c>
    </row>
    <row r="4" spans="1:8">
      <c r="A4" s="8">
        <v>2</v>
      </c>
      <c r="B4" s="7" t="s">
        <v>7</v>
      </c>
      <c r="C4" s="6">
        <v>5.8</v>
      </c>
      <c r="D4" s="5">
        <v>39</v>
      </c>
      <c r="E4" s="5">
        <v>993</v>
      </c>
      <c r="F4" s="5">
        <v>790</v>
      </c>
      <c r="G4" s="200">
        <f t="shared" si="0"/>
        <v>-0.40962974706494126</v>
      </c>
      <c r="H4" s="200">
        <f t="shared" ref="H4:H30" si="1">D4-($C$39*F4+$D$39*E4+$E$39)</f>
        <v>1.9211555803474383</v>
      </c>
    </row>
    <row r="5" spans="1:8">
      <c r="A5" s="8">
        <v>3</v>
      </c>
      <c r="B5" s="7" t="s">
        <v>8</v>
      </c>
      <c r="C5" s="6">
        <v>6.1</v>
      </c>
      <c r="D5" s="5">
        <v>29</v>
      </c>
      <c r="E5" s="5">
        <v>899</v>
      </c>
      <c r="F5" s="5">
        <v>730</v>
      </c>
      <c r="G5" s="200">
        <f t="shared" si="0"/>
        <v>0.27853520517566288</v>
      </c>
      <c r="H5" s="200">
        <f t="shared" si="1"/>
        <v>-3.2547895764976005</v>
      </c>
    </row>
    <row r="6" spans="1:8">
      <c r="A6" s="8">
        <v>4</v>
      </c>
      <c r="B6" s="7" t="s">
        <v>9</v>
      </c>
      <c r="C6" s="6">
        <v>6.5</v>
      </c>
      <c r="D6" s="5">
        <v>44</v>
      </c>
      <c r="E6" s="5">
        <v>1390</v>
      </c>
      <c r="F6" s="5">
        <v>955</v>
      </c>
      <c r="G6" s="200">
        <f t="shared" si="0"/>
        <v>-0.95752659642545801</v>
      </c>
      <c r="H6" s="200">
        <f t="shared" si="1"/>
        <v>-12.486639772816183</v>
      </c>
    </row>
    <row r="7" spans="1:8">
      <c r="A7" s="8">
        <v>5</v>
      </c>
      <c r="B7" s="7" t="s">
        <v>10</v>
      </c>
      <c r="C7" s="6">
        <v>6.8</v>
      </c>
      <c r="D7" s="5">
        <v>33</v>
      </c>
      <c r="E7" s="5">
        <v>1195</v>
      </c>
      <c r="F7" s="5">
        <v>895</v>
      </c>
      <c r="G7" s="200">
        <f t="shared" si="0"/>
        <v>-0.13777488389182579</v>
      </c>
      <c r="H7" s="200">
        <f t="shared" si="1"/>
        <v>-14.183840539890568</v>
      </c>
    </row>
    <row r="8" spans="1:8">
      <c r="A8" s="8">
        <v>6</v>
      </c>
      <c r="B8" s="7" t="s">
        <v>11</v>
      </c>
      <c r="C8" s="6">
        <v>6.8</v>
      </c>
      <c r="D8" s="5">
        <v>32</v>
      </c>
      <c r="E8" s="5">
        <v>658</v>
      </c>
      <c r="F8" s="5">
        <v>740</v>
      </c>
      <c r="G8" s="200">
        <f t="shared" si="0"/>
        <v>1.2482364439132256</v>
      </c>
      <c r="H8" s="200">
        <f t="shared" si="1"/>
        <v>10.322828940149527</v>
      </c>
    </row>
    <row r="9" spans="1:8">
      <c r="A9" s="8">
        <v>7</v>
      </c>
      <c r="B9" s="7" t="s">
        <v>12</v>
      </c>
      <c r="C9" s="6">
        <v>7.1</v>
      </c>
      <c r="D9" s="5">
        <v>55</v>
      </c>
      <c r="E9" s="5">
        <v>1331</v>
      </c>
      <c r="F9" s="5">
        <v>1010</v>
      </c>
      <c r="G9" s="200">
        <f t="shared" si="0"/>
        <v>-0.52421564387501007</v>
      </c>
      <c r="H9" s="200">
        <f t="shared" si="1"/>
        <v>0.52858118117335806</v>
      </c>
    </row>
    <row r="10" spans="1:8">
      <c r="A10" s="8">
        <v>8</v>
      </c>
      <c r="B10" s="7" t="s">
        <v>13</v>
      </c>
      <c r="C10" s="6">
        <v>7.4</v>
      </c>
      <c r="D10" s="5">
        <v>74</v>
      </c>
      <c r="E10" s="5">
        <v>1597</v>
      </c>
      <c r="F10" s="5">
        <v>1080</v>
      </c>
      <c r="G10" s="200">
        <f t="shared" si="0"/>
        <v>-0.88075195144756258</v>
      </c>
      <c r="H10" s="200">
        <f t="shared" si="1"/>
        <v>6.968071260850877</v>
      </c>
    </row>
    <row r="11" spans="1:8">
      <c r="A11" s="8">
        <v>9</v>
      </c>
      <c r="B11" s="7" t="s">
        <v>14</v>
      </c>
      <c r="C11" s="6">
        <v>9</v>
      </c>
      <c r="D11" s="5">
        <v>74</v>
      </c>
      <c r="E11" s="5">
        <v>1761</v>
      </c>
      <c r="F11" s="5">
        <v>1100</v>
      </c>
      <c r="G11" s="200">
        <f t="shared" si="0"/>
        <v>0.41701639583650874</v>
      </c>
      <c r="H11" s="200">
        <f t="shared" si="1"/>
        <v>-0.52291819884342772</v>
      </c>
    </row>
    <row r="12" spans="1:8">
      <c r="A12" s="8">
        <v>10</v>
      </c>
      <c r="B12" s="7" t="s">
        <v>15</v>
      </c>
      <c r="C12" s="6">
        <v>11.7</v>
      </c>
      <c r="D12" s="5">
        <v>101</v>
      </c>
      <c r="E12" s="5">
        <v>2165</v>
      </c>
      <c r="F12" s="5">
        <v>1500</v>
      </c>
      <c r="G12" s="200">
        <f t="shared" si="0"/>
        <v>0.81934891184219261</v>
      </c>
      <c r="H12" s="200">
        <f t="shared" si="1"/>
        <v>4.1906477060865654</v>
      </c>
    </row>
    <row r="13" spans="1:8">
      <c r="A13" s="8">
        <v>11</v>
      </c>
      <c r="B13" s="7" t="s">
        <v>16</v>
      </c>
      <c r="C13" s="6">
        <v>9.5</v>
      </c>
      <c r="D13" s="5">
        <v>85</v>
      </c>
      <c r="E13" s="5">
        <v>1983</v>
      </c>
      <c r="F13" s="5">
        <v>1075</v>
      </c>
      <c r="G13" s="200">
        <f t="shared" si="0"/>
        <v>0.73849361871039676</v>
      </c>
      <c r="H13" s="200">
        <f t="shared" si="1"/>
        <v>0.90592897793216309</v>
      </c>
    </row>
    <row r="14" spans="1:8">
      <c r="A14" s="8">
        <v>12</v>
      </c>
      <c r="B14" s="7" t="s">
        <v>17</v>
      </c>
      <c r="C14" s="6">
        <v>9.5</v>
      </c>
      <c r="D14" s="5">
        <v>85</v>
      </c>
      <c r="E14" s="5">
        <v>1984</v>
      </c>
      <c r="F14" s="5">
        <v>1155</v>
      </c>
      <c r="G14" s="200">
        <f t="shared" si="0"/>
        <v>0.38292669093513609</v>
      </c>
      <c r="H14" s="200">
        <f t="shared" si="1"/>
        <v>-1.2706333124441471E-2</v>
      </c>
    </row>
    <row r="15" spans="1:8">
      <c r="A15" s="8">
        <v>13</v>
      </c>
      <c r="B15" s="7" t="s">
        <v>18</v>
      </c>
      <c r="C15" s="6">
        <v>8.8000000000000007</v>
      </c>
      <c r="D15" s="5">
        <v>89</v>
      </c>
      <c r="E15" s="5">
        <v>1998</v>
      </c>
      <c r="F15" s="5">
        <v>1140</v>
      </c>
      <c r="G15" s="200">
        <f t="shared" si="0"/>
        <v>-0.26888854141053997</v>
      </c>
      <c r="H15" s="200">
        <f t="shared" si="1"/>
        <v>3.530407232947482</v>
      </c>
    </row>
    <row r="16" spans="1:8">
      <c r="A16" s="8">
        <v>14</v>
      </c>
      <c r="B16" s="7" t="s">
        <v>19</v>
      </c>
      <c r="C16" s="6">
        <v>9.3000000000000007</v>
      </c>
      <c r="D16" s="5">
        <v>65</v>
      </c>
      <c r="E16" s="5">
        <v>1580</v>
      </c>
      <c r="F16" s="5">
        <v>1080</v>
      </c>
      <c r="G16" s="200">
        <f t="shared" si="0"/>
        <v>1.0413963151364136</v>
      </c>
      <c r="H16" s="200">
        <f t="shared" si="1"/>
        <v>-1.2780806735441672</v>
      </c>
    </row>
    <row r="17" spans="1:8">
      <c r="A17" s="8">
        <v>15</v>
      </c>
      <c r="B17" s="7" t="s">
        <v>20</v>
      </c>
      <c r="C17" s="6">
        <v>8.6</v>
      </c>
      <c r="D17" s="5">
        <v>54</v>
      </c>
      <c r="E17" s="5">
        <v>1390</v>
      </c>
      <c r="F17" s="5">
        <v>1110</v>
      </c>
      <c r="G17" s="200">
        <f t="shared" si="0"/>
        <v>0.45608673198093719</v>
      </c>
      <c r="H17" s="200">
        <f t="shared" si="1"/>
        <v>-4.1805791805112946</v>
      </c>
    </row>
    <row r="18" spans="1:8">
      <c r="A18" s="8">
        <v>16</v>
      </c>
      <c r="B18" s="7" t="s">
        <v>21</v>
      </c>
      <c r="C18" s="6">
        <v>7.7</v>
      </c>
      <c r="D18" s="5">
        <v>66</v>
      </c>
      <c r="E18" s="5">
        <v>1396</v>
      </c>
      <c r="F18" s="5">
        <v>1140</v>
      </c>
      <c r="G18" s="200">
        <f t="shared" si="0"/>
        <v>-0.58457933649565863</v>
      </c>
      <c r="H18" s="200">
        <f t="shared" si="1"/>
        <v>7.225497556134961</v>
      </c>
    </row>
    <row r="19" spans="1:8">
      <c r="A19" s="8">
        <v>17</v>
      </c>
      <c r="B19" s="7" t="s">
        <v>22</v>
      </c>
      <c r="C19" s="6">
        <v>10.8</v>
      </c>
      <c r="D19" s="5">
        <v>106</v>
      </c>
      <c r="E19" s="5">
        <v>2435</v>
      </c>
      <c r="F19" s="5">
        <v>1370</v>
      </c>
      <c r="G19" s="200">
        <f t="shared" si="0"/>
        <v>0.14326146883745317</v>
      </c>
      <c r="H19" s="200">
        <f t="shared" si="1"/>
        <v>-1.3615099616787205</v>
      </c>
    </row>
    <row r="20" spans="1:8">
      <c r="A20" s="8">
        <v>18</v>
      </c>
      <c r="B20" s="7" t="s">
        <v>23</v>
      </c>
      <c r="C20" s="6">
        <v>6.6</v>
      </c>
      <c r="D20" s="5">
        <v>55</v>
      </c>
      <c r="E20" s="5">
        <v>1242</v>
      </c>
      <c r="F20" s="5">
        <v>940</v>
      </c>
      <c r="G20" s="200">
        <f t="shared" si="0"/>
        <v>-0.59828187661796051</v>
      </c>
      <c r="H20" s="200">
        <f t="shared" si="1"/>
        <v>5.2402024184324247</v>
      </c>
    </row>
    <row r="21" spans="1:8">
      <c r="A21" s="8">
        <v>19</v>
      </c>
      <c r="B21" s="7" t="s">
        <v>24</v>
      </c>
      <c r="C21" s="6">
        <v>11.7</v>
      </c>
      <c r="D21" s="5">
        <v>107</v>
      </c>
      <c r="E21" s="5">
        <v>2972</v>
      </c>
      <c r="F21" s="5">
        <v>1400</v>
      </c>
      <c r="G21" s="200">
        <f t="shared" si="0"/>
        <v>0.21078777941433735</v>
      </c>
      <c r="H21" s="200">
        <f t="shared" si="1"/>
        <v>-24.502099274222758</v>
      </c>
    </row>
    <row r="22" spans="1:8">
      <c r="A22" s="8">
        <v>20</v>
      </c>
      <c r="B22" s="7" t="s">
        <v>25</v>
      </c>
      <c r="C22" s="6">
        <v>11.9</v>
      </c>
      <c r="D22" s="5">
        <v>150</v>
      </c>
      <c r="E22" s="5">
        <v>2958</v>
      </c>
      <c r="F22" s="5">
        <v>1550</v>
      </c>
      <c r="G22" s="200">
        <f t="shared" si="0"/>
        <v>-0.23521763769247883</v>
      </c>
      <c r="H22" s="200">
        <f t="shared" si="1"/>
        <v>17.479420578809595</v>
      </c>
    </row>
    <row r="23" spans="1:8">
      <c r="A23" s="8">
        <v>21</v>
      </c>
      <c r="B23" s="7" t="s">
        <v>26</v>
      </c>
      <c r="C23" s="6">
        <v>10.8</v>
      </c>
      <c r="D23" s="5">
        <v>122</v>
      </c>
      <c r="E23" s="5">
        <v>2497</v>
      </c>
      <c r="F23" s="5">
        <v>1330</v>
      </c>
      <c r="G23" s="200">
        <f t="shared" si="0"/>
        <v>0.23961748204870403</v>
      </c>
      <c r="H23" s="200">
        <f t="shared" si="1"/>
        <v>12.326307452654873</v>
      </c>
    </row>
    <row r="24" spans="1:8">
      <c r="A24" s="8">
        <v>22</v>
      </c>
      <c r="B24" s="7" t="s">
        <v>27</v>
      </c>
      <c r="C24" s="6">
        <v>7.6</v>
      </c>
      <c r="D24" s="5">
        <v>66</v>
      </c>
      <c r="E24" s="5">
        <v>1998</v>
      </c>
      <c r="F24" s="5">
        <v>1300</v>
      </c>
      <c r="G24" s="200">
        <f t="shared" si="0"/>
        <v>-2.1774167185394226</v>
      </c>
      <c r="H24" s="200">
        <f t="shared" si="1"/>
        <v>-21.21817538144748</v>
      </c>
    </row>
    <row r="25" spans="1:8">
      <c r="A25" s="8">
        <v>23</v>
      </c>
      <c r="B25" s="7" t="s">
        <v>28</v>
      </c>
      <c r="C25" s="6">
        <v>11.3</v>
      </c>
      <c r="D25" s="5">
        <v>125</v>
      </c>
      <c r="E25" s="5">
        <v>2496</v>
      </c>
      <c r="F25" s="5">
        <v>1670</v>
      </c>
      <c r="G25" s="200">
        <f t="shared" si="0"/>
        <v>-0.76470205513934353</v>
      </c>
      <c r="H25" s="200">
        <f t="shared" si="1"/>
        <v>11.654913400924698</v>
      </c>
    </row>
    <row r="26" spans="1:8">
      <c r="A26" s="8">
        <v>24</v>
      </c>
      <c r="B26" s="7" t="s">
        <v>29</v>
      </c>
      <c r="C26" s="6">
        <v>10.8</v>
      </c>
      <c r="D26" s="5">
        <v>89</v>
      </c>
      <c r="E26" s="5">
        <v>1998</v>
      </c>
      <c r="F26" s="5">
        <v>1560</v>
      </c>
      <c r="G26" s="200">
        <f t="shared" si="0"/>
        <v>-0.12877500637385175</v>
      </c>
      <c r="H26" s="200">
        <f t="shared" si="1"/>
        <v>-1.0596221298392834</v>
      </c>
    </row>
    <row r="27" spans="1:8">
      <c r="A27" s="8">
        <v>25</v>
      </c>
      <c r="B27" s="7" t="s">
        <v>30</v>
      </c>
      <c r="C27" s="6">
        <v>9.1999999999999993</v>
      </c>
      <c r="D27" s="5">
        <v>92</v>
      </c>
      <c r="E27" s="5">
        <v>1997</v>
      </c>
      <c r="F27" s="5">
        <v>1240</v>
      </c>
      <c r="G27" s="200">
        <f t="shared" si="0"/>
        <v>-0.31041581290527098</v>
      </c>
      <c r="H27" s="200">
        <f t="shared" si="1"/>
        <v>5.4818871028097362</v>
      </c>
    </row>
    <row r="28" spans="1:8">
      <c r="A28" s="8">
        <v>26</v>
      </c>
      <c r="B28" s="7" t="s">
        <v>31</v>
      </c>
      <c r="C28" s="6">
        <v>11.6</v>
      </c>
      <c r="D28" s="5">
        <v>85</v>
      </c>
      <c r="E28" s="5">
        <v>1984</v>
      </c>
      <c r="F28" s="5">
        <v>1635</v>
      </c>
      <c r="G28" s="200">
        <f t="shared" si="0"/>
        <v>0.35734215954849269</v>
      </c>
      <c r="H28" s="200">
        <f t="shared" si="1"/>
        <v>-5.2584541763093</v>
      </c>
    </row>
    <row r="29" spans="1:8">
      <c r="A29" s="8">
        <v>27</v>
      </c>
      <c r="B29" s="7" t="s">
        <v>32</v>
      </c>
      <c r="C29" s="6">
        <v>12.8</v>
      </c>
      <c r="D29" s="5">
        <v>97</v>
      </c>
      <c r="E29" s="5">
        <v>2438</v>
      </c>
      <c r="F29" s="5">
        <v>1800</v>
      </c>
      <c r="G29" s="200">
        <f t="shared" si="0"/>
        <v>0.23518347517111948</v>
      </c>
      <c r="H29" s="200">
        <f t="shared" si="1"/>
        <v>-15.1938577494425</v>
      </c>
    </row>
    <row r="30" spans="1:8">
      <c r="A30" s="8">
        <v>28</v>
      </c>
      <c r="B30" s="7" t="s">
        <v>33</v>
      </c>
      <c r="C30" s="6">
        <v>12.7</v>
      </c>
      <c r="D30" s="5">
        <v>125</v>
      </c>
      <c r="E30" s="5">
        <v>2473</v>
      </c>
      <c r="F30" s="5">
        <v>1570</v>
      </c>
      <c r="G30" s="200">
        <f t="shared" si="0"/>
        <v>1.1080933574151128</v>
      </c>
      <c r="H30" s="200">
        <f t="shared" si="1"/>
        <v>13.767689623681207</v>
      </c>
    </row>
    <row r="32" spans="1:8" ht="13.5" thickBot="1"/>
    <row r="33" spans="3:8" ht="13.5" thickBot="1">
      <c r="C33" s="307" t="s">
        <v>250</v>
      </c>
      <c r="D33" s="307"/>
      <c r="E33" s="307"/>
      <c r="G33" s="213" t="s">
        <v>114</v>
      </c>
      <c r="H33" s="214">
        <f>CORREL(G3:G30,H3:H30)</f>
        <v>0.25309074918677577</v>
      </c>
    </row>
    <row r="34" spans="3:8">
      <c r="C34" s="295" t="s">
        <v>119</v>
      </c>
      <c r="D34" s="295" t="s">
        <v>118</v>
      </c>
      <c r="E34" s="295" t="s">
        <v>251</v>
      </c>
    </row>
    <row r="35" spans="3:8">
      <c r="C35" s="221">
        <f t="array" ref="C35:E35">LINEST(C3:C30,E3:F30,1,0)</f>
        <v>4.4283011070555033E-3</v>
      </c>
      <c r="D35" s="221">
        <v>1.3028392108220637E-3</v>
      </c>
      <c r="E35" s="221">
        <v>1.4175525361447843</v>
      </c>
    </row>
    <row r="37" spans="3:8">
      <c r="C37" s="326" t="s">
        <v>252</v>
      </c>
      <c r="D37" s="326"/>
      <c r="E37" s="326"/>
    </row>
    <row r="38" spans="3:8">
      <c r="C38" s="295" t="s">
        <v>119</v>
      </c>
      <c r="D38" s="295" t="s">
        <v>118</v>
      </c>
      <c r="E38" s="295" t="s">
        <v>251</v>
      </c>
    </row>
    <row r="39" spans="3:8">
      <c r="C39" s="221">
        <f t="array" ref="C39:E39">LINEST(D3:D30,E3:F30,1,0)</f>
        <v>1.0928641339968461E-2</v>
      </c>
      <c r="D39" s="221">
        <v>4.4344003859115431E-2</v>
      </c>
      <c r="E39" s="221">
        <v>-15.588378071024147</v>
      </c>
    </row>
  </sheetData>
  <mergeCells count="3">
    <mergeCell ref="C33:E33"/>
    <mergeCell ref="C37:E37"/>
    <mergeCell ref="G1:H1"/>
  </mergeCells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showGridLines="0" workbookViewId="0">
      <selection activeCell="H35" sqref="H35"/>
    </sheetView>
  </sheetViews>
  <sheetFormatPr defaultRowHeight="12.75"/>
  <cols>
    <col min="1" max="256" width="11.42578125" customWidth="1"/>
  </cols>
  <sheetData>
    <row r="1" spans="1:7">
      <c r="B1" s="289" t="s">
        <v>128</v>
      </c>
      <c r="C1" s="289" t="s">
        <v>90</v>
      </c>
      <c r="D1" s="289" t="s">
        <v>91</v>
      </c>
    </row>
    <row r="2" spans="1:7">
      <c r="A2" s="8" t="s">
        <v>253</v>
      </c>
      <c r="B2" s="222" t="s">
        <v>254</v>
      </c>
      <c r="C2" s="15" t="s">
        <v>255</v>
      </c>
      <c r="D2" s="15" t="s">
        <v>256</v>
      </c>
      <c r="E2" s="223" t="s">
        <v>125</v>
      </c>
      <c r="F2" s="223" t="s">
        <v>123</v>
      </c>
      <c r="G2" s="223" t="s">
        <v>257</v>
      </c>
    </row>
    <row r="3" spans="1:7">
      <c r="A3" s="12" t="s">
        <v>258</v>
      </c>
      <c r="B3" s="12">
        <v>14</v>
      </c>
      <c r="C3" s="12">
        <v>3.31</v>
      </c>
      <c r="D3" s="12">
        <v>12.01</v>
      </c>
      <c r="E3" s="12">
        <f t="shared" ref="E3:G5" si="0">RANK(B3,B$3:B$44,1)</f>
        <v>1</v>
      </c>
      <c r="F3" s="12">
        <f t="shared" si="0"/>
        <v>14</v>
      </c>
      <c r="G3" s="12">
        <f t="shared" si="0"/>
        <v>1</v>
      </c>
    </row>
    <row r="4" spans="1:7">
      <c r="A4" s="12" t="s">
        <v>259</v>
      </c>
      <c r="B4" s="12">
        <v>16.079999999999998</v>
      </c>
      <c r="C4" s="12">
        <v>3.06</v>
      </c>
      <c r="D4" s="12">
        <v>15.6</v>
      </c>
      <c r="E4" s="12">
        <f t="shared" si="0"/>
        <v>2</v>
      </c>
      <c r="F4" s="12">
        <f t="shared" si="0"/>
        <v>9</v>
      </c>
      <c r="G4" s="12">
        <f t="shared" si="0"/>
        <v>9</v>
      </c>
    </row>
    <row r="5" spans="1:7">
      <c r="A5" s="12" t="s">
        <v>260</v>
      </c>
      <c r="B5" s="12">
        <v>18.059999999999999</v>
      </c>
      <c r="C5" s="12">
        <v>3.25</v>
      </c>
      <c r="D5" s="12">
        <v>17.45</v>
      </c>
      <c r="E5" s="12">
        <f t="shared" si="0"/>
        <v>3</v>
      </c>
      <c r="F5" s="12">
        <f t="shared" si="0"/>
        <v>13</v>
      </c>
      <c r="G5" s="12">
        <f t="shared" si="0"/>
        <v>16</v>
      </c>
    </row>
    <row r="6" spans="1:7">
      <c r="A6" s="12" t="s">
        <v>261</v>
      </c>
      <c r="B6" s="12">
        <v>18.2</v>
      </c>
      <c r="C6" s="12">
        <v>2.9</v>
      </c>
      <c r="D6" s="12">
        <v>17.05</v>
      </c>
      <c r="E6" s="12">
        <f t="shared" ref="E6:E21" si="1">RANK(B6,B$3:B$44,1)</f>
        <v>4</v>
      </c>
      <c r="F6" s="12">
        <v>3.5</v>
      </c>
      <c r="G6" s="12">
        <f t="shared" ref="G6:G44" si="2">RANK(D6,D$3:D$44,1)</f>
        <v>15</v>
      </c>
    </row>
    <row r="7" spans="1:7">
      <c r="A7" s="12" t="s">
        <v>262</v>
      </c>
      <c r="B7" s="12">
        <v>18.239999999999998</v>
      </c>
      <c r="C7" s="12">
        <v>2.99</v>
      </c>
      <c r="D7" s="12">
        <v>15.98</v>
      </c>
      <c r="E7" s="12">
        <f t="shared" si="1"/>
        <v>5</v>
      </c>
      <c r="F7" s="12">
        <f>RANK(C7,C$3:C$44,1)</f>
        <v>8</v>
      </c>
      <c r="G7" s="12">
        <f t="shared" si="2"/>
        <v>11</v>
      </c>
    </row>
    <row r="8" spans="1:7">
      <c r="A8" s="12" t="s">
        <v>263</v>
      </c>
      <c r="B8" s="12">
        <v>19.96</v>
      </c>
      <c r="C8" s="12">
        <v>2.89</v>
      </c>
      <c r="D8" s="12">
        <v>12.12</v>
      </c>
      <c r="E8" s="12">
        <f t="shared" si="1"/>
        <v>6</v>
      </c>
      <c r="F8" s="12">
        <f>RANK(C8,C$3:C$44,1)</f>
        <v>2</v>
      </c>
      <c r="G8" s="12">
        <f t="shared" si="2"/>
        <v>3</v>
      </c>
    </row>
    <row r="9" spans="1:7">
      <c r="A9" s="12" t="s">
        <v>264</v>
      </c>
      <c r="B9" s="12">
        <v>20.079999999999998</v>
      </c>
      <c r="C9" s="12">
        <v>2.94</v>
      </c>
      <c r="D9" s="12">
        <v>17.600000000000001</v>
      </c>
      <c r="E9" s="12">
        <f t="shared" si="1"/>
        <v>7</v>
      </c>
      <c r="F9" s="12">
        <f>RANK(C9,C$3:C$44,1)</f>
        <v>7</v>
      </c>
      <c r="G9" s="12">
        <f t="shared" si="2"/>
        <v>17</v>
      </c>
    </row>
    <row r="10" spans="1:7">
      <c r="A10" s="12" t="s">
        <v>265</v>
      </c>
      <c r="B10" s="12">
        <v>20.100000000000001</v>
      </c>
      <c r="C10" s="12">
        <v>3.08</v>
      </c>
      <c r="D10" s="12">
        <v>13.58</v>
      </c>
      <c r="E10" s="12">
        <f t="shared" si="1"/>
        <v>8</v>
      </c>
      <c r="F10" s="12">
        <f>RANK(C10,C$3:C$44,1)</f>
        <v>10</v>
      </c>
      <c r="G10" s="12">
        <f t="shared" si="2"/>
        <v>4</v>
      </c>
    </row>
    <row r="11" spans="1:7">
      <c r="A11" s="12" t="s">
        <v>266</v>
      </c>
      <c r="B11" s="12">
        <v>20.94</v>
      </c>
      <c r="C11" s="12">
        <v>3.64</v>
      </c>
      <c r="D11" s="12">
        <v>14.11</v>
      </c>
      <c r="E11" s="12">
        <f t="shared" si="1"/>
        <v>9</v>
      </c>
      <c r="F11" s="12">
        <f>RANK(C11,C$3:C$44,1)</f>
        <v>17</v>
      </c>
      <c r="G11" s="12">
        <f t="shared" si="2"/>
        <v>5</v>
      </c>
    </row>
    <row r="12" spans="1:7">
      <c r="A12" s="12" t="s">
        <v>267</v>
      </c>
      <c r="B12" s="12">
        <v>21.16</v>
      </c>
      <c r="C12" s="12">
        <v>2.9</v>
      </c>
      <c r="D12" s="12">
        <v>14.59</v>
      </c>
      <c r="E12" s="12">
        <f t="shared" si="1"/>
        <v>10</v>
      </c>
      <c r="F12" s="12">
        <v>3.5</v>
      </c>
      <c r="G12" s="12">
        <f t="shared" si="2"/>
        <v>7</v>
      </c>
    </row>
    <row r="13" spans="1:7">
      <c r="A13" s="12" t="s">
        <v>268</v>
      </c>
      <c r="B13" s="12">
        <v>21.17</v>
      </c>
      <c r="C13" s="12">
        <v>4.04</v>
      </c>
      <c r="D13" s="12">
        <v>20.34</v>
      </c>
      <c r="E13" s="12">
        <f t="shared" si="1"/>
        <v>11</v>
      </c>
      <c r="F13" s="12">
        <v>21.5</v>
      </c>
      <c r="G13" s="12">
        <f t="shared" si="2"/>
        <v>23</v>
      </c>
    </row>
    <row r="14" spans="1:7">
      <c r="A14" s="12" t="s">
        <v>269</v>
      </c>
      <c r="B14" s="12">
        <v>21.25</v>
      </c>
      <c r="C14" s="12">
        <v>5.14</v>
      </c>
      <c r="D14" s="12">
        <v>20.55</v>
      </c>
      <c r="E14" s="12">
        <f t="shared" si="1"/>
        <v>12</v>
      </c>
      <c r="F14" s="12">
        <f>RANK(C14,C$3:C$44,1)</f>
        <v>38</v>
      </c>
      <c r="G14" s="12">
        <f t="shared" si="2"/>
        <v>24</v>
      </c>
    </row>
    <row r="15" spans="1:7">
      <c r="A15" s="12" t="s">
        <v>270</v>
      </c>
      <c r="B15" s="12">
        <v>21.58</v>
      </c>
      <c r="C15" s="12">
        <v>4.6500000000000004</v>
      </c>
      <c r="D15" s="12">
        <v>25.45</v>
      </c>
      <c r="E15" s="12">
        <f t="shared" si="1"/>
        <v>13</v>
      </c>
      <c r="F15" s="12">
        <f>RANK(C15,C$3:C$44,1)</f>
        <v>29</v>
      </c>
      <c r="G15" s="12">
        <f t="shared" si="2"/>
        <v>39</v>
      </c>
    </row>
    <row r="16" spans="1:7">
      <c r="A16" s="12" t="s">
        <v>271</v>
      </c>
      <c r="B16" s="12">
        <v>21.84</v>
      </c>
      <c r="C16" s="12">
        <v>2.91</v>
      </c>
      <c r="D16" s="12">
        <v>16.84</v>
      </c>
      <c r="E16" s="12">
        <f t="shared" si="1"/>
        <v>14</v>
      </c>
      <c r="F16" s="12">
        <f>RANK(C16,C$3:C$44,1)</f>
        <v>5</v>
      </c>
      <c r="G16" s="12">
        <f t="shared" si="2"/>
        <v>14</v>
      </c>
    </row>
    <row r="17" spans="1:7">
      <c r="A17" s="12" t="s">
        <v>272</v>
      </c>
      <c r="B17" s="12">
        <v>22.06</v>
      </c>
      <c r="C17" s="12">
        <v>3.72</v>
      </c>
      <c r="D17" s="12">
        <v>14.2</v>
      </c>
      <c r="E17" s="12">
        <f t="shared" si="1"/>
        <v>15</v>
      </c>
      <c r="F17" s="12">
        <v>18.5</v>
      </c>
      <c r="G17" s="12">
        <f t="shared" si="2"/>
        <v>6</v>
      </c>
    </row>
    <row r="18" spans="1:7">
      <c r="A18" s="12" t="s">
        <v>273</v>
      </c>
      <c r="B18" s="12">
        <v>22.12</v>
      </c>
      <c r="C18" s="12">
        <v>4.2300000000000004</v>
      </c>
      <c r="D18" s="12">
        <v>16.59</v>
      </c>
      <c r="E18" s="12">
        <f t="shared" si="1"/>
        <v>16</v>
      </c>
      <c r="F18" s="12">
        <f>RANK(C18,C$3:C$44,1)</f>
        <v>24</v>
      </c>
      <c r="G18" s="12">
        <f t="shared" si="2"/>
        <v>12</v>
      </c>
    </row>
    <row r="19" spans="1:7">
      <c r="A19" s="12" t="s">
        <v>274</v>
      </c>
      <c r="B19" s="12">
        <v>22.57</v>
      </c>
      <c r="C19" s="12">
        <v>3.21</v>
      </c>
      <c r="D19" s="12">
        <v>20.74</v>
      </c>
      <c r="E19" s="12">
        <f t="shared" si="1"/>
        <v>17</v>
      </c>
      <c r="F19" s="12">
        <f>RANK(C19,C$3:C$44,1)</f>
        <v>12</v>
      </c>
      <c r="G19" s="12">
        <f t="shared" si="2"/>
        <v>25</v>
      </c>
    </row>
    <row r="20" spans="1:7">
      <c r="A20" s="12" t="s">
        <v>275</v>
      </c>
      <c r="B20" s="12">
        <v>22.86</v>
      </c>
      <c r="C20" s="12">
        <v>4.78</v>
      </c>
      <c r="D20" s="12">
        <v>15.53</v>
      </c>
      <c r="E20" s="12">
        <f t="shared" si="1"/>
        <v>18</v>
      </c>
      <c r="F20" s="12">
        <v>32.5</v>
      </c>
      <c r="G20" s="12">
        <f t="shared" si="2"/>
        <v>8</v>
      </c>
    </row>
    <row r="21" spans="1:7">
      <c r="A21" s="12" t="s">
        <v>276</v>
      </c>
      <c r="B21" s="12">
        <v>23.32</v>
      </c>
      <c r="C21" s="12">
        <v>3.72</v>
      </c>
      <c r="D21" s="12">
        <v>16.7</v>
      </c>
      <c r="E21" s="12">
        <f t="shared" si="1"/>
        <v>19</v>
      </c>
      <c r="F21" s="12">
        <v>18.5</v>
      </c>
      <c r="G21" s="12">
        <f t="shared" si="2"/>
        <v>13</v>
      </c>
    </row>
    <row r="22" spans="1:7">
      <c r="A22" s="12" t="s">
        <v>277</v>
      </c>
      <c r="B22" s="12">
        <v>23.44</v>
      </c>
      <c r="C22" s="12">
        <v>2.86</v>
      </c>
      <c r="D22" s="12">
        <v>17.71</v>
      </c>
      <c r="E22" s="12">
        <v>20.5</v>
      </c>
      <c r="F22" s="12">
        <f t="shared" ref="F22:F32" si="3">RANK(C22,C$3:C$44,1)</f>
        <v>1</v>
      </c>
      <c r="G22" s="12">
        <f t="shared" si="2"/>
        <v>18</v>
      </c>
    </row>
    <row r="23" spans="1:7">
      <c r="A23" s="12" t="s">
        <v>278</v>
      </c>
      <c r="B23" s="12">
        <v>23.44</v>
      </c>
      <c r="C23" s="12">
        <v>2.93</v>
      </c>
      <c r="D23" s="12">
        <v>19.45</v>
      </c>
      <c r="E23" s="12">
        <v>20.5</v>
      </c>
      <c r="F23" s="12">
        <f t="shared" si="3"/>
        <v>6</v>
      </c>
      <c r="G23" s="12">
        <f t="shared" si="2"/>
        <v>19</v>
      </c>
    </row>
    <row r="24" spans="1:7">
      <c r="A24" s="12" t="s">
        <v>279</v>
      </c>
      <c r="B24" s="12">
        <v>23.75</v>
      </c>
      <c r="C24" s="12">
        <v>3.95</v>
      </c>
      <c r="D24" s="12">
        <v>19.5</v>
      </c>
      <c r="E24" s="12">
        <f t="shared" ref="E24:E44" si="4">RANK(B24,B$3:B$44,1)</f>
        <v>22</v>
      </c>
      <c r="F24" s="12">
        <f t="shared" si="3"/>
        <v>20</v>
      </c>
      <c r="G24" s="12">
        <f t="shared" si="2"/>
        <v>20</v>
      </c>
    </row>
    <row r="25" spans="1:7">
      <c r="A25" s="12" t="s">
        <v>280</v>
      </c>
      <c r="B25" s="12">
        <v>23.78</v>
      </c>
      <c r="C25" s="12">
        <v>4.8899999999999997</v>
      </c>
      <c r="D25" s="12">
        <v>12.11</v>
      </c>
      <c r="E25" s="12">
        <f t="shared" si="4"/>
        <v>23</v>
      </c>
      <c r="F25" s="12">
        <f t="shared" si="3"/>
        <v>35</v>
      </c>
      <c r="G25" s="12">
        <f t="shared" si="2"/>
        <v>2</v>
      </c>
    </row>
    <row r="26" spans="1:7">
      <c r="A26" s="12" t="s">
        <v>281</v>
      </c>
      <c r="B26" s="12">
        <v>24.96</v>
      </c>
      <c r="C26" s="12">
        <v>5.27</v>
      </c>
      <c r="D26" s="12">
        <v>22.72</v>
      </c>
      <c r="E26" s="12">
        <f t="shared" si="4"/>
        <v>24</v>
      </c>
      <c r="F26" s="12">
        <f t="shared" si="3"/>
        <v>40</v>
      </c>
      <c r="G26" s="12">
        <f t="shared" si="2"/>
        <v>32</v>
      </c>
    </row>
    <row r="27" spans="1:7">
      <c r="A27" s="12" t="s">
        <v>282</v>
      </c>
      <c r="B27" s="12">
        <v>25.82</v>
      </c>
      <c r="C27" s="12">
        <v>3.52</v>
      </c>
      <c r="D27" s="12">
        <v>19.8</v>
      </c>
      <c r="E27" s="12">
        <f t="shared" si="4"/>
        <v>25</v>
      </c>
      <c r="F27" s="12">
        <f t="shared" si="3"/>
        <v>16</v>
      </c>
      <c r="G27" s="12">
        <f t="shared" si="2"/>
        <v>21</v>
      </c>
    </row>
    <row r="28" spans="1:7">
      <c r="A28" s="12" t="s">
        <v>283</v>
      </c>
      <c r="B28" s="12">
        <v>25.89</v>
      </c>
      <c r="C28" s="12">
        <v>4.63</v>
      </c>
      <c r="D28" s="12">
        <v>21.22</v>
      </c>
      <c r="E28" s="12">
        <f t="shared" si="4"/>
        <v>26</v>
      </c>
      <c r="F28" s="12">
        <f t="shared" si="3"/>
        <v>28</v>
      </c>
      <c r="G28" s="12">
        <f t="shared" si="2"/>
        <v>28</v>
      </c>
    </row>
    <row r="29" spans="1:7">
      <c r="A29" s="12" t="s">
        <v>284</v>
      </c>
      <c r="B29" s="12">
        <v>25.91</v>
      </c>
      <c r="C29" s="12">
        <v>5.21</v>
      </c>
      <c r="D29" s="12">
        <v>26.48</v>
      </c>
      <c r="E29" s="12">
        <f t="shared" si="4"/>
        <v>27</v>
      </c>
      <c r="F29" s="12">
        <f t="shared" si="3"/>
        <v>39</v>
      </c>
      <c r="G29" s="12">
        <f t="shared" si="2"/>
        <v>42</v>
      </c>
    </row>
    <row r="30" spans="1:7">
      <c r="A30" s="12" t="s">
        <v>285</v>
      </c>
      <c r="B30" s="12">
        <v>26.18</v>
      </c>
      <c r="C30" s="12">
        <v>4.09</v>
      </c>
      <c r="D30" s="12">
        <v>20.3</v>
      </c>
      <c r="E30" s="12">
        <f t="shared" si="4"/>
        <v>28</v>
      </c>
      <c r="F30" s="12">
        <f t="shared" si="3"/>
        <v>23</v>
      </c>
      <c r="G30" s="12">
        <f t="shared" si="2"/>
        <v>22</v>
      </c>
    </row>
    <row r="31" spans="1:7">
      <c r="A31" s="12" t="s">
        <v>286</v>
      </c>
      <c r="B31" s="12">
        <v>26.38</v>
      </c>
      <c r="C31" s="12">
        <v>4.47</v>
      </c>
      <c r="D31" s="12">
        <v>21.89</v>
      </c>
      <c r="E31" s="12">
        <f t="shared" si="4"/>
        <v>29</v>
      </c>
      <c r="F31" s="12">
        <f t="shared" si="3"/>
        <v>27</v>
      </c>
      <c r="G31" s="12">
        <f t="shared" si="2"/>
        <v>29</v>
      </c>
    </row>
    <row r="32" spans="1:7">
      <c r="A32" s="12" t="s">
        <v>287</v>
      </c>
      <c r="B32" s="12">
        <v>26.92</v>
      </c>
      <c r="C32" s="12">
        <v>4.6900000000000004</v>
      </c>
      <c r="D32" s="12">
        <v>22.04</v>
      </c>
      <c r="E32" s="12">
        <f t="shared" si="4"/>
        <v>30</v>
      </c>
      <c r="F32" s="12">
        <f t="shared" si="3"/>
        <v>30</v>
      </c>
      <c r="G32" s="12">
        <f t="shared" si="2"/>
        <v>30</v>
      </c>
    </row>
    <row r="33" spans="1:7">
      <c r="A33" s="12" t="s">
        <v>288</v>
      </c>
      <c r="B33" s="12">
        <v>27.56</v>
      </c>
      <c r="C33" s="12">
        <v>4.04</v>
      </c>
      <c r="D33" s="12">
        <v>20.98</v>
      </c>
      <c r="E33" s="12">
        <f t="shared" si="4"/>
        <v>31</v>
      </c>
      <c r="F33" s="12">
        <v>21.5</v>
      </c>
      <c r="G33" s="12">
        <f t="shared" si="2"/>
        <v>27</v>
      </c>
    </row>
    <row r="34" spans="1:7">
      <c r="A34" s="12" t="s">
        <v>289</v>
      </c>
      <c r="B34" s="12">
        <v>27.91</v>
      </c>
      <c r="C34" s="12">
        <v>4.75</v>
      </c>
      <c r="D34" s="12">
        <v>22.8</v>
      </c>
      <c r="E34" s="12">
        <f t="shared" si="4"/>
        <v>32</v>
      </c>
      <c r="F34" s="12">
        <f>RANK(C34,C$3:C$44,1)</f>
        <v>31</v>
      </c>
      <c r="G34" s="12">
        <f t="shared" si="2"/>
        <v>33</v>
      </c>
    </row>
    <row r="35" spans="1:7">
      <c r="A35" s="12" t="s">
        <v>290</v>
      </c>
      <c r="B35" s="12">
        <v>28.04</v>
      </c>
      <c r="C35" s="12">
        <v>3.2</v>
      </c>
      <c r="D35" s="12">
        <v>15.92</v>
      </c>
      <c r="E35" s="12">
        <f t="shared" si="4"/>
        <v>33</v>
      </c>
      <c r="F35" s="12">
        <f>RANK(C35,C$3:C$44,1)</f>
        <v>11</v>
      </c>
      <c r="G35" s="12">
        <f t="shared" si="2"/>
        <v>10</v>
      </c>
    </row>
    <row r="36" spans="1:7">
      <c r="A36" s="12" t="s">
        <v>291</v>
      </c>
      <c r="B36" s="12">
        <v>28.27</v>
      </c>
      <c r="C36" s="12">
        <v>4.46</v>
      </c>
      <c r="D36" s="12">
        <v>23.57</v>
      </c>
      <c r="E36" s="12">
        <f t="shared" si="4"/>
        <v>34</v>
      </c>
      <c r="F36" s="12">
        <v>25.5</v>
      </c>
      <c r="G36" s="12">
        <f t="shared" si="2"/>
        <v>35</v>
      </c>
    </row>
    <row r="37" spans="1:7">
      <c r="A37" s="12" t="s">
        <v>292</v>
      </c>
      <c r="B37" s="12">
        <v>28.6</v>
      </c>
      <c r="C37" s="12">
        <v>4.46</v>
      </c>
      <c r="D37" s="12">
        <v>22.07</v>
      </c>
      <c r="E37" s="12">
        <f t="shared" si="4"/>
        <v>35</v>
      </c>
      <c r="F37" s="12">
        <v>25.5</v>
      </c>
      <c r="G37" s="12">
        <f t="shared" si="2"/>
        <v>31</v>
      </c>
    </row>
    <row r="38" spans="1:7">
      <c r="A38" s="12" t="s">
        <v>293</v>
      </c>
      <c r="B38" s="12">
        <v>28.64</v>
      </c>
      <c r="C38" s="12">
        <v>5.98</v>
      </c>
      <c r="D38" s="12">
        <v>25.95</v>
      </c>
      <c r="E38" s="12">
        <f t="shared" si="4"/>
        <v>36</v>
      </c>
      <c r="F38" s="12">
        <f t="shared" ref="F38:F43" si="5">RANK(C38,C$3:C$44,1)</f>
        <v>42</v>
      </c>
      <c r="G38" s="12">
        <f t="shared" si="2"/>
        <v>41</v>
      </c>
    </row>
    <row r="39" spans="1:7">
      <c r="A39" s="12" t="s">
        <v>294</v>
      </c>
      <c r="B39" s="12">
        <v>28.92</v>
      </c>
      <c r="C39" s="12">
        <v>4.79</v>
      </c>
      <c r="D39" s="12">
        <v>20.94</v>
      </c>
      <c r="E39" s="12">
        <f t="shared" si="4"/>
        <v>37</v>
      </c>
      <c r="F39" s="12">
        <f t="shared" si="5"/>
        <v>34</v>
      </c>
      <c r="G39" s="12">
        <f t="shared" si="2"/>
        <v>26</v>
      </c>
    </row>
    <row r="40" spans="1:7">
      <c r="A40" s="12" t="s">
        <v>295</v>
      </c>
      <c r="B40" s="12">
        <v>29.14</v>
      </c>
      <c r="C40" s="12">
        <v>5.3</v>
      </c>
      <c r="D40" s="12">
        <v>25.02</v>
      </c>
      <c r="E40" s="12">
        <f t="shared" si="4"/>
        <v>38</v>
      </c>
      <c r="F40" s="12">
        <f t="shared" si="5"/>
        <v>41</v>
      </c>
      <c r="G40" s="12">
        <f t="shared" si="2"/>
        <v>38</v>
      </c>
    </row>
    <row r="41" spans="1:7">
      <c r="A41" s="12" t="s">
        <v>296</v>
      </c>
      <c r="B41" s="12">
        <v>29.18</v>
      </c>
      <c r="C41" s="12">
        <v>4.99</v>
      </c>
      <c r="D41" s="12">
        <v>23.68</v>
      </c>
      <c r="E41" s="12">
        <f t="shared" si="4"/>
        <v>39</v>
      </c>
      <c r="F41" s="12">
        <f t="shared" si="5"/>
        <v>36</v>
      </c>
      <c r="G41" s="12">
        <f t="shared" si="2"/>
        <v>36</v>
      </c>
    </row>
    <row r="42" spans="1:7">
      <c r="A42" s="12" t="s">
        <v>297</v>
      </c>
      <c r="B42" s="12">
        <v>30.34</v>
      </c>
      <c r="C42" s="12">
        <v>3.46</v>
      </c>
      <c r="D42" s="12">
        <v>25.88</v>
      </c>
      <c r="E42" s="12">
        <f t="shared" si="4"/>
        <v>40</v>
      </c>
      <c r="F42" s="12">
        <f t="shared" si="5"/>
        <v>15</v>
      </c>
      <c r="G42" s="12">
        <f t="shared" si="2"/>
        <v>40</v>
      </c>
    </row>
    <row r="43" spans="1:7">
      <c r="A43" s="12" t="s">
        <v>298</v>
      </c>
      <c r="B43" s="12">
        <v>31.1</v>
      </c>
      <c r="C43" s="12">
        <v>5.1100000000000003</v>
      </c>
      <c r="D43" s="12">
        <v>22.83</v>
      </c>
      <c r="E43" s="12">
        <f t="shared" si="4"/>
        <v>41</v>
      </c>
      <c r="F43" s="12">
        <f t="shared" si="5"/>
        <v>37</v>
      </c>
      <c r="G43" s="12">
        <f t="shared" si="2"/>
        <v>34</v>
      </c>
    </row>
    <row r="44" spans="1:7">
      <c r="A44" s="12" t="s">
        <v>299</v>
      </c>
      <c r="B44" s="12">
        <v>33.6</v>
      </c>
      <c r="C44" s="12">
        <v>4.78</v>
      </c>
      <c r="D44" s="12">
        <v>24.55</v>
      </c>
      <c r="E44" s="12">
        <f t="shared" si="4"/>
        <v>42</v>
      </c>
      <c r="F44" s="12">
        <v>32.5</v>
      </c>
      <c r="G44" s="12">
        <f t="shared" si="2"/>
        <v>37</v>
      </c>
    </row>
    <row r="46" spans="1:7">
      <c r="F46" s="12" t="s">
        <v>38</v>
      </c>
      <c r="G46" s="12">
        <f>COUNTA(G3:G44)</f>
        <v>42</v>
      </c>
    </row>
    <row r="47" spans="1:7">
      <c r="B47" s="298" t="s">
        <v>300</v>
      </c>
      <c r="C47" s="298"/>
      <c r="D47" s="298"/>
    </row>
    <row r="48" spans="1:7">
      <c r="B48" s="224" t="s">
        <v>90</v>
      </c>
      <c r="C48" s="224" t="s">
        <v>91</v>
      </c>
      <c r="D48" s="225">
        <f>CORREL(F3:F44,G3:G44)</f>
        <v>0.62511651807956292</v>
      </c>
      <c r="F48" s="11" t="s">
        <v>301</v>
      </c>
      <c r="G48" s="152">
        <f>(D48-D49*D50)/SQRT((1-D49^2)*(1-D50^2))</f>
        <v>0.32279659329017873</v>
      </c>
    </row>
    <row r="49" spans="2:7">
      <c r="B49" s="226" t="s">
        <v>90</v>
      </c>
      <c r="C49" s="226" t="s">
        <v>128</v>
      </c>
      <c r="D49" s="227">
        <f>CORREL(E3:E44,F3:F44)</f>
        <v>0.62125142654444576</v>
      </c>
    </row>
    <row r="50" spans="2:7">
      <c r="B50" s="226" t="s">
        <v>91</v>
      </c>
      <c r="C50" s="226" t="s">
        <v>128</v>
      </c>
      <c r="D50" s="227">
        <f>CORREL(E3:E44,G3:G44)</f>
        <v>0.72638872066429816</v>
      </c>
      <c r="F50" s="19" t="s">
        <v>46</v>
      </c>
      <c r="G50" s="146">
        <f>G48/SQRT((1-G48^2)/(COUNTA(G3:G44)-1-2))</f>
        <v>2.1298800477043214</v>
      </c>
    </row>
    <row r="51" spans="2:7">
      <c r="F51" s="19" t="s">
        <v>48</v>
      </c>
      <c r="G51" s="96">
        <f>TDIST(G50,COUNTA(G3:G44)-1-2,2)</f>
        <v>3.9546709845263692E-2</v>
      </c>
    </row>
  </sheetData>
  <mergeCells count="1">
    <mergeCell ref="B47:D47"/>
  </mergeCells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0"/>
  <sheetViews>
    <sheetView showGridLines="0" workbookViewId="0">
      <selection activeCell="E30" sqref="A1:E30"/>
    </sheetView>
  </sheetViews>
  <sheetFormatPr defaultRowHeight="12.75"/>
  <cols>
    <col min="1" max="1" width="11.42578125" customWidth="1"/>
    <col min="2" max="2" width="20.28515625" bestFit="1" customWidth="1"/>
    <col min="3" max="256" width="11.42578125" customWidth="1"/>
  </cols>
  <sheetData>
    <row r="1" spans="1:9">
      <c r="C1" s="290" t="s">
        <v>90</v>
      </c>
      <c r="D1" s="202" t="s">
        <v>91</v>
      </c>
      <c r="E1" s="198" t="s">
        <v>128</v>
      </c>
    </row>
    <row r="2" spans="1:9">
      <c r="A2" s="2" t="s">
        <v>0</v>
      </c>
      <c r="B2" s="1" t="s">
        <v>1</v>
      </c>
      <c r="C2" s="94" t="s">
        <v>3</v>
      </c>
      <c r="D2" s="10" t="s">
        <v>5</v>
      </c>
      <c r="E2" s="197" t="s">
        <v>2</v>
      </c>
      <c r="G2" s="12" t="s">
        <v>38</v>
      </c>
      <c r="H2" s="199">
        <v>28</v>
      </c>
    </row>
    <row r="3" spans="1:9">
      <c r="A3" s="8">
        <v>1</v>
      </c>
      <c r="B3" s="7" t="s">
        <v>6</v>
      </c>
      <c r="C3" s="3">
        <v>32</v>
      </c>
      <c r="D3" s="4">
        <v>5.7</v>
      </c>
      <c r="E3" s="3">
        <v>846</v>
      </c>
    </row>
    <row r="4" spans="1:9">
      <c r="A4" s="8">
        <v>2</v>
      </c>
      <c r="B4" s="7" t="s">
        <v>7</v>
      </c>
      <c r="C4" s="5">
        <v>39</v>
      </c>
      <c r="D4" s="6">
        <v>5.8</v>
      </c>
      <c r="E4" s="5">
        <v>993</v>
      </c>
      <c r="G4" s="297" t="s">
        <v>229</v>
      </c>
      <c r="H4" s="297"/>
      <c r="I4" s="297"/>
    </row>
    <row r="5" spans="1:9">
      <c r="A5" s="8">
        <v>3</v>
      </c>
      <c r="B5" s="7" t="s">
        <v>8</v>
      </c>
      <c r="C5" s="5">
        <v>29</v>
      </c>
      <c r="D5" s="6">
        <v>6.1</v>
      </c>
      <c r="E5" s="5">
        <v>899</v>
      </c>
      <c r="G5" s="12" t="s">
        <v>172</v>
      </c>
      <c r="H5" s="12" t="s">
        <v>5</v>
      </c>
      <c r="I5" s="200">
        <f>CORREL(C3:C30,D3:D30)</f>
        <v>0.88780851704807884</v>
      </c>
    </row>
    <row r="6" spans="1:9">
      <c r="A6" s="8">
        <v>4</v>
      </c>
      <c r="B6" s="7" t="s">
        <v>9</v>
      </c>
      <c r="C6" s="5">
        <v>44</v>
      </c>
      <c r="D6" s="6">
        <v>6.5</v>
      </c>
      <c r="E6" s="5">
        <v>1390</v>
      </c>
      <c r="G6" s="12" t="s">
        <v>172</v>
      </c>
      <c r="H6" s="12" t="s">
        <v>230</v>
      </c>
      <c r="I6" s="200">
        <f>CORREL(C3:C30,E3:E30)</f>
        <v>0.94754909682670629</v>
      </c>
    </row>
    <row r="7" spans="1:9">
      <c r="A7" s="8">
        <v>5</v>
      </c>
      <c r="B7" s="7" t="s">
        <v>10</v>
      </c>
      <c r="C7" s="5">
        <v>33</v>
      </c>
      <c r="D7" s="6">
        <v>6.8</v>
      </c>
      <c r="E7" s="5">
        <v>1195</v>
      </c>
      <c r="G7" s="12" t="s">
        <v>5</v>
      </c>
      <c r="H7" s="12" t="s">
        <v>230</v>
      </c>
      <c r="I7" s="200">
        <f>CORREL(D3:D30,E3:E30)</f>
        <v>0.8918662579043769</v>
      </c>
    </row>
    <row r="8" spans="1:9">
      <c r="A8" s="8">
        <v>6</v>
      </c>
      <c r="B8" s="7" t="s">
        <v>11</v>
      </c>
      <c r="C8" s="5">
        <v>32</v>
      </c>
      <c r="D8" s="6">
        <v>6.8</v>
      </c>
      <c r="E8" s="5">
        <v>658</v>
      </c>
    </row>
    <row r="9" spans="1:9">
      <c r="A9" s="8">
        <v>7</v>
      </c>
      <c r="B9" s="7" t="s">
        <v>12</v>
      </c>
      <c r="C9" s="5">
        <v>55</v>
      </c>
      <c r="D9" s="6">
        <v>7.1</v>
      </c>
      <c r="E9" s="5">
        <v>1331</v>
      </c>
    </row>
    <row r="10" spans="1:9">
      <c r="A10" s="8">
        <v>8</v>
      </c>
      <c r="B10" s="7" t="s">
        <v>13</v>
      </c>
      <c r="C10" s="5">
        <v>74</v>
      </c>
      <c r="D10" s="6">
        <v>7.4</v>
      </c>
      <c r="E10" s="5">
        <v>1597</v>
      </c>
      <c r="G10" s="329" t="s">
        <v>302</v>
      </c>
      <c r="H10" s="329"/>
    </row>
    <row r="11" spans="1:9">
      <c r="A11" s="8">
        <v>9</v>
      </c>
      <c r="B11" s="7" t="s">
        <v>14</v>
      </c>
      <c r="C11" s="5">
        <v>74</v>
      </c>
      <c r="D11" s="6">
        <v>9</v>
      </c>
      <c r="E11" s="5">
        <v>1761</v>
      </c>
      <c r="G11" s="12" t="s">
        <v>303</v>
      </c>
      <c r="H11" s="200">
        <f>(I5-I6*I7)/SQRT((1-I6^2))</f>
        <v>0.13366733534526384</v>
      </c>
    </row>
    <row r="12" spans="1:9">
      <c r="A12" s="8">
        <v>10</v>
      </c>
      <c r="B12" s="7" t="s">
        <v>15</v>
      </c>
      <c r="C12" s="5">
        <v>101</v>
      </c>
      <c r="D12" s="6">
        <v>11.7</v>
      </c>
      <c r="E12" s="5">
        <v>2165</v>
      </c>
    </row>
    <row r="13" spans="1:9">
      <c r="A13" s="8">
        <v>11</v>
      </c>
      <c r="B13" s="7" t="s">
        <v>16</v>
      </c>
      <c r="C13" s="5">
        <v>85</v>
      </c>
      <c r="D13" s="6">
        <v>9.5</v>
      </c>
      <c r="E13" s="5">
        <v>1983</v>
      </c>
    </row>
    <row r="14" spans="1:9">
      <c r="A14" s="8">
        <v>12</v>
      </c>
      <c r="B14" s="7" t="s">
        <v>17</v>
      </c>
      <c r="C14" s="5">
        <v>85</v>
      </c>
      <c r="D14" s="6">
        <v>9.5</v>
      </c>
      <c r="E14" s="5">
        <v>1984</v>
      </c>
      <c r="G14" s="330" t="s">
        <v>45</v>
      </c>
      <c r="H14" s="330"/>
    </row>
    <row r="15" spans="1:9">
      <c r="A15" s="8">
        <v>13</v>
      </c>
      <c r="B15" s="7" t="s">
        <v>18</v>
      </c>
      <c r="C15" s="5">
        <v>89</v>
      </c>
      <c r="D15" s="6">
        <v>8.8000000000000007</v>
      </c>
      <c r="E15" s="5">
        <v>1998</v>
      </c>
      <c r="G15" s="12" t="s">
        <v>46</v>
      </c>
      <c r="H15" s="200">
        <f>H11/SQRT((1-H11^2)/(28-3))</f>
        <v>0.67438846501779659</v>
      </c>
    </row>
    <row r="16" spans="1:9">
      <c r="A16" s="8">
        <v>14</v>
      </c>
      <c r="B16" s="7" t="s">
        <v>19</v>
      </c>
      <c r="C16" s="5">
        <v>65</v>
      </c>
      <c r="D16" s="6">
        <v>9.3000000000000007</v>
      </c>
      <c r="E16" s="5">
        <v>1580</v>
      </c>
      <c r="G16" s="12" t="s">
        <v>136</v>
      </c>
      <c r="H16" s="200">
        <f>TINV(0.025,25)</f>
        <v>2.3846102008046892</v>
      </c>
    </row>
    <row r="17" spans="1:8">
      <c r="A17" s="8">
        <v>15</v>
      </c>
      <c r="B17" s="7" t="s">
        <v>20</v>
      </c>
      <c r="C17" s="5">
        <v>54</v>
      </c>
      <c r="D17" s="6">
        <v>8.6</v>
      </c>
      <c r="E17" s="5">
        <v>1390</v>
      </c>
    </row>
    <row r="18" spans="1:8">
      <c r="A18" s="8">
        <v>16</v>
      </c>
      <c r="B18" s="7" t="s">
        <v>21</v>
      </c>
      <c r="C18" s="5">
        <v>66</v>
      </c>
      <c r="D18" s="6">
        <v>7.7</v>
      </c>
      <c r="E18" s="5">
        <v>1396</v>
      </c>
      <c r="G18" s="12" t="s">
        <v>48</v>
      </c>
      <c r="H18" s="200">
        <f>TDIST(H15,25,2)</f>
        <v>0.50625320638298399</v>
      </c>
    </row>
    <row r="19" spans="1:8">
      <c r="A19" s="8">
        <v>17</v>
      </c>
      <c r="B19" s="7" t="s">
        <v>22</v>
      </c>
      <c r="C19" s="5">
        <v>106</v>
      </c>
      <c r="D19" s="6">
        <v>10.8</v>
      </c>
      <c r="E19" s="5">
        <v>2435</v>
      </c>
    </row>
    <row r="20" spans="1:8">
      <c r="A20" s="8">
        <v>18</v>
      </c>
      <c r="B20" s="7" t="s">
        <v>23</v>
      </c>
      <c r="C20" s="5">
        <v>55</v>
      </c>
      <c r="D20" s="6">
        <v>6.6</v>
      </c>
      <c r="E20" s="5">
        <v>1242</v>
      </c>
    </row>
    <row r="21" spans="1:8">
      <c r="A21" s="8">
        <v>19</v>
      </c>
      <c r="B21" s="7" t="s">
        <v>24</v>
      </c>
      <c r="C21" s="5">
        <v>107</v>
      </c>
      <c r="D21" s="6">
        <v>11.7</v>
      </c>
      <c r="E21" s="5">
        <v>2972</v>
      </c>
    </row>
    <row r="22" spans="1:8">
      <c r="A22" s="8">
        <v>20</v>
      </c>
      <c r="B22" s="7" t="s">
        <v>25</v>
      </c>
      <c r="C22" s="5">
        <v>150</v>
      </c>
      <c r="D22" s="6">
        <v>11.9</v>
      </c>
      <c r="E22" s="5">
        <v>2958</v>
      </c>
    </row>
    <row r="23" spans="1:8">
      <c r="A23" s="8">
        <v>21</v>
      </c>
      <c r="B23" s="7" t="s">
        <v>26</v>
      </c>
      <c r="C23" s="5">
        <v>122</v>
      </c>
      <c r="D23" s="6">
        <v>10.8</v>
      </c>
      <c r="E23" s="5">
        <v>2497</v>
      </c>
    </row>
    <row r="24" spans="1:8">
      <c r="A24" s="8">
        <v>22</v>
      </c>
      <c r="B24" s="7" t="s">
        <v>27</v>
      </c>
      <c r="C24" s="5">
        <v>66</v>
      </c>
      <c r="D24" s="6">
        <v>7.6</v>
      </c>
      <c r="E24" s="5">
        <v>1998</v>
      </c>
    </row>
    <row r="25" spans="1:8">
      <c r="A25" s="8">
        <v>23</v>
      </c>
      <c r="B25" s="7" t="s">
        <v>28</v>
      </c>
      <c r="C25" s="5">
        <v>125</v>
      </c>
      <c r="D25" s="6">
        <v>11.3</v>
      </c>
      <c r="E25" s="5">
        <v>2496</v>
      </c>
    </row>
    <row r="26" spans="1:8">
      <c r="A26" s="8">
        <v>24</v>
      </c>
      <c r="B26" s="7" t="s">
        <v>29</v>
      </c>
      <c r="C26" s="5">
        <v>89</v>
      </c>
      <c r="D26" s="6">
        <v>10.8</v>
      </c>
      <c r="E26" s="5">
        <v>1998</v>
      </c>
    </row>
    <row r="27" spans="1:8">
      <c r="A27" s="8">
        <v>25</v>
      </c>
      <c r="B27" s="7" t="s">
        <v>30</v>
      </c>
      <c r="C27" s="5">
        <v>92</v>
      </c>
      <c r="D27" s="6">
        <v>9.1999999999999993</v>
      </c>
      <c r="E27" s="5">
        <v>1997</v>
      </c>
    </row>
    <row r="28" spans="1:8">
      <c r="A28" s="8">
        <v>26</v>
      </c>
      <c r="B28" s="7" t="s">
        <v>31</v>
      </c>
      <c r="C28" s="5">
        <v>85</v>
      </c>
      <c r="D28" s="6">
        <v>11.6</v>
      </c>
      <c r="E28" s="5">
        <v>1984</v>
      </c>
    </row>
    <row r="29" spans="1:8">
      <c r="A29" s="8">
        <v>27</v>
      </c>
      <c r="B29" s="7" t="s">
        <v>32</v>
      </c>
      <c r="C29" s="5">
        <v>97</v>
      </c>
      <c r="D29" s="6">
        <v>12.8</v>
      </c>
      <c r="E29" s="5">
        <v>2438</v>
      </c>
    </row>
    <row r="30" spans="1:8">
      <c r="A30" s="8">
        <v>28</v>
      </c>
      <c r="B30" s="7" t="s">
        <v>33</v>
      </c>
      <c r="C30" s="5">
        <v>125</v>
      </c>
      <c r="D30" s="6">
        <v>12.7</v>
      </c>
      <c r="E30" s="5">
        <v>2473</v>
      </c>
    </row>
  </sheetData>
  <mergeCells count="3">
    <mergeCell ref="G4:I4"/>
    <mergeCell ref="G10:H10"/>
    <mergeCell ref="G14:H14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0"/>
  <sheetViews>
    <sheetView showGridLines="0" workbookViewId="0">
      <selection activeCell="K6" sqref="K6"/>
    </sheetView>
  </sheetViews>
  <sheetFormatPr defaultRowHeight="12.75"/>
  <cols>
    <col min="1" max="1" width="11.42578125" customWidth="1"/>
    <col min="2" max="2" width="20.28515625" bestFit="1" customWidth="1"/>
    <col min="3" max="5" width="11.42578125" customWidth="1"/>
    <col min="6" max="6" width="11.5703125" bestFit="1" customWidth="1"/>
    <col min="7" max="7" width="6" customWidth="1"/>
    <col min="8" max="8" width="12.5703125" bestFit="1" customWidth="1"/>
    <col min="9" max="256" width="11.42578125" customWidth="1"/>
  </cols>
  <sheetData>
    <row r="1" spans="1:10" ht="13.5" thickBot="1">
      <c r="C1" s="202" t="s">
        <v>91</v>
      </c>
      <c r="D1" s="290" t="s">
        <v>90</v>
      </c>
      <c r="E1" s="198" t="s">
        <v>128</v>
      </c>
    </row>
    <row r="2" spans="1:10">
      <c r="A2" s="2" t="s">
        <v>0</v>
      </c>
      <c r="B2" s="1" t="s">
        <v>1</v>
      </c>
      <c r="C2" s="10" t="s">
        <v>5</v>
      </c>
      <c r="D2" s="94" t="s">
        <v>3</v>
      </c>
      <c r="E2" s="197" t="s">
        <v>2</v>
      </c>
      <c r="F2" s="229" t="s">
        <v>304</v>
      </c>
      <c r="H2" s="331" t="s">
        <v>305</v>
      </c>
      <c r="I2" s="332"/>
      <c r="J2" s="333"/>
    </row>
    <row r="3" spans="1:10">
      <c r="A3" s="8">
        <v>1</v>
      </c>
      <c r="B3" s="7" t="s">
        <v>6</v>
      </c>
      <c r="C3" s="4">
        <v>5.7</v>
      </c>
      <c r="D3" s="3">
        <v>32</v>
      </c>
      <c r="E3" s="5">
        <v>846</v>
      </c>
      <c r="F3" s="230">
        <f t="shared" ref="F3:F30" si="0">D3-($H$28*E3+$I$28)</f>
        <v>1.4848638414051223</v>
      </c>
      <c r="H3" s="231"/>
      <c r="I3" s="232"/>
      <c r="J3" s="233"/>
    </row>
    <row r="4" spans="1:10">
      <c r="A4" s="8">
        <v>2</v>
      </c>
      <c r="B4" s="7" t="s">
        <v>7</v>
      </c>
      <c r="C4" s="6">
        <v>5.8</v>
      </c>
      <c r="D4" s="5">
        <v>39</v>
      </c>
      <c r="E4" s="5">
        <v>993</v>
      </c>
      <c r="F4" s="230">
        <f t="shared" si="0"/>
        <v>1.280543602169665</v>
      </c>
      <c r="H4" s="334" t="s">
        <v>306</v>
      </c>
      <c r="I4" s="335"/>
      <c r="J4" s="338"/>
    </row>
    <row r="5" spans="1:10">
      <c r="A5" s="8">
        <v>3</v>
      </c>
      <c r="B5" s="7" t="s">
        <v>8</v>
      </c>
      <c r="C5" s="6">
        <v>6.1</v>
      </c>
      <c r="D5" s="5">
        <v>29</v>
      </c>
      <c r="E5" s="5">
        <v>899</v>
      </c>
      <c r="F5" s="230">
        <f t="shared" si="0"/>
        <v>-4.1126121632171859</v>
      </c>
      <c r="H5" s="234">
        <f t="array" ref="H5:I7">LINEST(C3:C30,E3:E30,1,1)</f>
        <v>3.1930947115579307E-3</v>
      </c>
      <c r="I5" s="221">
        <v>3.29846358859802</v>
      </c>
      <c r="J5" s="233"/>
    </row>
    <row r="6" spans="1:10">
      <c r="A6" s="8">
        <v>4</v>
      </c>
      <c r="B6" s="7" t="s">
        <v>9</v>
      </c>
      <c r="C6" s="6">
        <v>6.5</v>
      </c>
      <c r="D6" s="5">
        <v>44</v>
      </c>
      <c r="E6" s="5">
        <v>1390</v>
      </c>
      <c r="F6" s="230">
        <f t="shared" si="0"/>
        <v>-13.17602194188801</v>
      </c>
      <c r="H6" s="246">
        <v>3.1757859645161054E-4</v>
      </c>
      <c r="I6" s="247">
        <v>0.60655030862960102</v>
      </c>
      <c r="J6" s="233"/>
    </row>
    <row r="7" spans="1:10">
      <c r="A7" s="8">
        <v>5</v>
      </c>
      <c r="B7" s="7" t="s">
        <v>10</v>
      </c>
      <c r="C7" s="6">
        <v>6.8</v>
      </c>
      <c r="D7" s="5">
        <v>33</v>
      </c>
      <c r="E7" s="5">
        <v>1195</v>
      </c>
      <c r="F7" s="230">
        <f t="shared" si="0"/>
        <v>-14.619270604126683</v>
      </c>
      <c r="H7" s="235">
        <v>0.79542542198835686</v>
      </c>
      <c r="I7" s="247">
        <v>1.0291575229394094</v>
      </c>
      <c r="J7" s="233"/>
    </row>
    <row r="8" spans="1:10">
      <c r="A8" s="8">
        <v>6</v>
      </c>
      <c r="B8" s="7" t="s">
        <v>11</v>
      </c>
      <c r="C8" s="6">
        <v>6.8</v>
      </c>
      <c r="D8" s="5">
        <v>32</v>
      </c>
      <c r="E8" s="5">
        <v>658</v>
      </c>
      <c r="F8" s="230">
        <f t="shared" si="0"/>
        <v>10.698552310631428</v>
      </c>
      <c r="H8" s="231"/>
      <c r="I8" s="232"/>
      <c r="J8" s="233"/>
    </row>
    <row r="9" spans="1:10">
      <c r="A9" s="8">
        <v>7</v>
      </c>
      <c r="B9" s="7" t="s">
        <v>12</v>
      </c>
      <c r="C9" s="6">
        <v>7.1</v>
      </c>
      <c r="D9" s="5">
        <v>55</v>
      </c>
      <c r="E9" s="5">
        <v>1331</v>
      </c>
      <c r="F9" s="230">
        <f t="shared" si="0"/>
        <v>0.7155079500500392</v>
      </c>
      <c r="H9" s="231"/>
      <c r="I9" s="232"/>
      <c r="J9" s="233"/>
    </row>
    <row r="10" spans="1:10">
      <c r="A10" s="8">
        <v>8</v>
      </c>
      <c r="B10" s="7" t="s">
        <v>13</v>
      </c>
      <c r="C10" s="6">
        <v>7.4</v>
      </c>
      <c r="D10" s="5">
        <v>74</v>
      </c>
      <c r="E10" s="5">
        <v>1597</v>
      </c>
      <c r="F10" s="230">
        <f t="shared" si="0"/>
        <v>6.6791189457191962</v>
      </c>
      <c r="H10" s="336" t="s">
        <v>307</v>
      </c>
      <c r="I10" s="300"/>
      <c r="J10" s="337"/>
    </row>
    <row r="11" spans="1:10">
      <c r="A11" s="8">
        <v>9</v>
      </c>
      <c r="B11" s="7" t="s">
        <v>14</v>
      </c>
      <c r="C11" s="6">
        <v>9</v>
      </c>
      <c r="D11" s="5">
        <v>74</v>
      </c>
      <c r="E11" s="5">
        <v>1761</v>
      </c>
      <c r="F11" s="230">
        <f t="shared" si="0"/>
        <v>-1.3583539742441673</v>
      </c>
      <c r="H11" s="234">
        <f t="array" ref="H11:J13">LINEST(C3:C30,D3:E30,1,1)</f>
        <v>1.7743038366502448E-3</v>
      </c>
      <c r="I11" s="221">
        <v>2.8949609635004647E-2</v>
      </c>
      <c r="J11" s="236">
        <v>3.6153593890195843</v>
      </c>
    </row>
    <row r="12" spans="1:10">
      <c r="A12" s="8">
        <v>10</v>
      </c>
      <c r="B12" s="7" t="s">
        <v>15</v>
      </c>
      <c r="C12" s="6">
        <v>11.7</v>
      </c>
      <c r="D12" s="5">
        <v>101</v>
      </c>
      <c r="E12" s="5">
        <v>2165</v>
      </c>
      <c r="F12" s="230">
        <f t="shared" si="0"/>
        <v>5.8420176131631365</v>
      </c>
      <c r="H12" s="237">
        <v>9.6806026171833036E-4</v>
      </c>
      <c r="I12" s="228">
        <v>1.8716663840871804E-2</v>
      </c>
      <c r="J12" s="238">
        <v>0.62544292544666369</v>
      </c>
    </row>
    <row r="13" spans="1:10">
      <c r="A13" s="8">
        <v>11</v>
      </c>
      <c r="B13" s="7" t="s">
        <v>16</v>
      </c>
      <c r="C13" s="6">
        <v>9.5</v>
      </c>
      <c r="D13" s="5">
        <v>85</v>
      </c>
      <c r="E13" s="5">
        <v>1983</v>
      </c>
      <c r="F13" s="230">
        <f t="shared" si="0"/>
        <v>-1.2383478049262919</v>
      </c>
      <c r="H13" s="239">
        <v>0.81329237852666003</v>
      </c>
      <c r="I13" s="228">
        <v>1.002660055962737</v>
      </c>
      <c r="J13" s="238" t="e">
        <v>#N/A</v>
      </c>
    </row>
    <row r="14" spans="1:10">
      <c r="A14" s="8">
        <v>12</v>
      </c>
      <c r="B14" s="7" t="s">
        <v>17</v>
      </c>
      <c r="C14" s="6">
        <v>9.5</v>
      </c>
      <c r="D14" s="5">
        <v>85</v>
      </c>
      <c r="E14" s="5">
        <v>1984</v>
      </c>
      <c r="F14" s="230">
        <f t="shared" si="0"/>
        <v>-1.2873567861455797</v>
      </c>
      <c r="H14" s="231"/>
      <c r="I14" s="232"/>
      <c r="J14" s="233"/>
    </row>
    <row r="15" spans="1:10">
      <c r="A15" s="8">
        <v>13</v>
      </c>
      <c r="B15" s="7" t="s">
        <v>18</v>
      </c>
      <c r="C15" s="6">
        <v>8.8000000000000007</v>
      </c>
      <c r="D15" s="5">
        <v>89</v>
      </c>
      <c r="E15" s="5">
        <v>1998</v>
      </c>
      <c r="F15" s="230">
        <f t="shared" si="0"/>
        <v>2.0265174767843774</v>
      </c>
      <c r="H15" s="231"/>
      <c r="I15" s="232"/>
      <c r="J15" s="233"/>
    </row>
    <row r="16" spans="1:10">
      <c r="A16" s="8">
        <v>14</v>
      </c>
      <c r="B16" s="7" t="s">
        <v>19</v>
      </c>
      <c r="C16" s="6">
        <v>9.3000000000000007</v>
      </c>
      <c r="D16" s="5">
        <v>65</v>
      </c>
      <c r="E16" s="5">
        <v>1580</v>
      </c>
      <c r="F16" s="230">
        <f t="shared" si="0"/>
        <v>-1.4877283735528835</v>
      </c>
      <c r="H16" s="240" t="s">
        <v>308</v>
      </c>
      <c r="I16" s="152">
        <f>H13-H7</f>
        <v>1.7866956538303169E-2</v>
      </c>
      <c r="J16" s="233"/>
    </row>
    <row r="17" spans="1:10" ht="13.5" thickBot="1">
      <c r="A17" s="8">
        <v>15</v>
      </c>
      <c r="B17" s="7" t="s">
        <v>20</v>
      </c>
      <c r="C17" s="6">
        <v>8.6</v>
      </c>
      <c r="D17" s="5">
        <v>54</v>
      </c>
      <c r="E17" s="5">
        <v>1390</v>
      </c>
      <c r="F17" s="230">
        <f t="shared" si="0"/>
        <v>-3.1760219418880098</v>
      </c>
      <c r="H17" s="241" t="s">
        <v>114</v>
      </c>
      <c r="I17" s="242">
        <f>SQRT(I16)</f>
        <v>0.13366733534526365</v>
      </c>
      <c r="J17" s="243"/>
    </row>
    <row r="18" spans="1:10">
      <c r="A18" s="8">
        <v>16</v>
      </c>
      <c r="B18" s="7" t="s">
        <v>21</v>
      </c>
      <c r="C18" s="6">
        <v>7.7</v>
      </c>
      <c r="D18" s="5">
        <v>66</v>
      </c>
      <c r="E18" s="5">
        <v>1396</v>
      </c>
      <c r="F18" s="230">
        <f t="shared" si="0"/>
        <v>8.5299241707962636</v>
      </c>
    </row>
    <row r="19" spans="1:10">
      <c r="A19" s="8">
        <v>17</v>
      </c>
      <c r="B19" s="7" t="s">
        <v>22</v>
      </c>
      <c r="C19" s="6">
        <v>10.8</v>
      </c>
      <c r="D19" s="5">
        <v>106</v>
      </c>
      <c r="E19" s="5">
        <v>2435</v>
      </c>
      <c r="F19" s="230">
        <f t="shared" si="0"/>
        <v>-2.3904073160448434</v>
      </c>
    </row>
    <row r="20" spans="1:10">
      <c r="A20" s="8">
        <v>18</v>
      </c>
      <c r="B20" s="7" t="s">
        <v>23</v>
      </c>
      <c r="C20" s="6">
        <v>6.6</v>
      </c>
      <c r="D20" s="5">
        <v>55</v>
      </c>
      <c r="E20" s="5">
        <v>1242</v>
      </c>
      <c r="F20" s="230">
        <f t="shared" si="0"/>
        <v>5.0773072785667424</v>
      </c>
    </row>
    <row r="21" spans="1:10">
      <c r="A21" s="8">
        <v>19</v>
      </c>
      <c r="B21" s="7" t="s">
        <v>24</v>
      </c>
      <c r="C21" s="6">
        <v>11.7</v>
      </c>
      <c r="D21" s="5">
        <v>107</v>
      </c>
      <c r="E21" s="5">
        <v>2972</v>
      </c>
      <c r="F21" s="230">
        <f t="shared" si="0"/>
        <v>-27.70823023080294</v>
      </c>
    </row>
    <row r="22" spans="1:10">
      <c r="A22" s="8">
        <v>20</v>
      </c>
      <c r="B22" s="7" t="s">
        <v>25</v>
      </c>
      <c r="C22" s="6">
        <v>11.9</v>
      </c>
      <c r="D22" s="5">
        <v>150</v>
      </c>
      <c r="E22" s="5">
        <v>2958</v>
      </c>
      <c r="F22" s="230">
        <f t="shared" si="0"/>
        <v>15.977895506267089</v>
      </c>
    </row>
    <row r="23" spans="1:10" ht="13.5" thickBot="1">
      <c r="A23" s="8">
        <v>21</v>
      </c>
      <c r="B23" s="7" t="s">
        <v>26</v>
      </c>
      <c r="C23" s="6">
        <v>10.8</v>
      </c>
      <c r="D23" s="5">
        <v>122</v>
      </c>
      <c r="E23" s="5">
        <v>2497</v>
      </c>
      <c r="F23" s="230">
        <f t="shared" si="0"/>
        <v>10.571035848359244</v>
      </c>
    </row>
    <row r="24" spans="1:10">
      <c r="A24" s="8">
        <v>22</v>
      </c>
      <c r="B24" s="7" t="s">
        <v>27</v>
      </c>
      <c r="C24" s="6">
        <v>7.6</v>
      </c>
      <c r="D24" s="5">
        <v>66</v>
      </c>
      <c r="E24" s="5">
        <v>1998</v>
      </c>
      <c r="F24" s="230">
        <f t="shared" si="0"/>
        <v>-20.973482523215623</v>
      </c>
      <c r="H24" s="331" t="s">
        <v>309</v>
      </c>
      <c r="I24" s="332"/>
      <c r="J24" s="333"/>
    </row>
    <row r="25" spans="1:10">
      <c r="A25" s="8">
        <v>23</v>
      </c>
      <c r="B25" s="7" t="s">
        <v>28</v>
      </c>
      <c r="C25" s="6">
        <v>11.3</v>
      </c>
      <c r="D25" s="5">
        <v>125</v>
      </c>
      <c r="E25" s="5">
        <v>2496</v>
      </c>
      <c r="F25" s="230">
        <f t="shared" si="0"/>
        <v>13.620044829578532</v>
      </c>
      <c r="H25" s="231"/>
      <c r="I25" s="232"/>
      <c r="J25" s="233"/>
    </row>
    <row r="26" spans="1:10">
      <c r="A26" s="8">
        <v>24</v>
      </c>
      <c r="B26" s="7" t="s">
        <v>29</v>
      </c>
      <c r="C26" s="6">
        <v>10.8</v>
      </c>
      <c r="D26" s="5">
        <v>89</v>
      </c>
      <c r="E26" s="5">
        <v>1998</v>
      </c>
      <c r="F26" s="230">
        <f t="shared" si="0"/>
        <v>2.0265174767843774</v>
      </c>
      <c r="H26" s="334" t="s">
        <v>310</v>
      </c>
      <c r="I26" s="335"/>
      <c r="J26" s="233"/>
    </row>
    <row r="27" spans="1:10">
      <c r="A27" s="8">
        <v>25</v>
      </c>
      <c r="B27" s="7" t="s">
        <v>30</v>
      </c>
      <c r="C27" s="6">
        <v>9.1999999999999993</v>
      </c>
      <c r="D27" s="5">
        <v>92</v>
      </c>
      <c r="E27" s="5">
        <v>1997</v>
      </c>
      <c r="F27" s="230">
        <f t="shared" si="0"/>
        <v>5.0755264580036652</v>
      </c>
      <c r="H27" s="155" t="s">
        <v>128</v>
      </c>
      <c r="I27" s="295" t="s">
        <v>311</v>
      </c>
      <c r="J27" s="233"/>
    </row>
    <row r="28" spans="1:10">
      <c r="A28" s="8">
        <v>26</v>
      </c>
      <c r="B28" s="7" t="s">
        <v>31</v>
      </c>
      <c r="C28" s="6">
        <v>11.6</v>
      </c>
      <c r="D28" s="5">
        <v>85</v>
      </c>
      <c r="E28" s="5">
        <v>1984</v>
      </c>
      <c r="F28" s="230">
        <f t="shared" si="0"/>
        <v>-1.2873567861455797</v>
      </c>
      <c r="H28" s="234">
        <f t="array" ref="H28:I28">LINEST(D3:D30,E3:E30,1,0)</f>
        <v>4.9008981219288844E-2</v>
      </c>
      <c r="I28" s="221">
        <v>-10.946461952923485</v>
      </c>
      <c r="J28" s="233"/>
    </row>
    <row r="29" spans="1:10">
      <c r="A29" s="8">
        <v>27</v>
      </c>
      <c r="B29" s="7" t="s">
        <v>32</v>
      </c>
      <c r="C29" s="6">
        <v>12.8</v>
      </c>
      <c r="D29" s="5">
        <v>97</v>
      </c>
      <c r="E29" s="5">
        <v>2438</v>
      </c>
      <c r="F29" s="230">
        <f t="shared" si="0"/>
        <v>-11.537434259702721</v>
      </c>
      <c r="H29" s="231"/>
      <c r="I29" s="232"/>
      <c r="J29" s="233"/>
    </row>
    <row r="30" spans="1:10" ht="13.5" thickBot="1">
      <c r="A30" s="8">
        <v>28</v>
      </c>
      <c r="B30" s="7" t="s">
        <v>33</v>
      </c>
      <c r="C30" s="6">
        <v>12.7</v>
      </c>
      <c r="D30" s="5">
        <v>125</v>
      </c>
      <c r="E30" s="5">
        <v>2473</v>
      </c>
      <c r="F30" s="230">
        <f t="shared" si="0"/>
        <v>14.747251397622179</v>
      </c>
      <c r="H30" s="244" t="s">
        <v>114</v>
      </c>
      <c r="I30" s="245">
        <f>CORREL(C3:C30,F3:F30)</f>
        <v>0.13366733534526401</v>
      </c>
      <c r="J30" s="243"/>
    </row>
  </sheetData>
  <mergeCells count="5">
    <mergeCell ref="H2:J2"/>
    <mergeCell ref="H26:I26"/>
    <mergeCell ref="H24:J24"/>
    <mergeCell ref="H10:J10"/>
    <mergeCell ref="H4:J4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7"/>
  <sheetViews>
    <sheetView showGridLines="0" workbookViewId="0">
      <selection activeCell="F46" sqref="F46"/>
    </sheetView>
  </sheetViews>
  <sheetFormatPr defaultRowHeight="12.75"/>
  <cols>
    <col min="1" max="1" width="12.140625" style="48" bestFit="1" customWidth="1"/>
    <col min="2" max="2" width="12" style="48" bestFit="1" customWidth="1"/>
    <col min="3" max="3" width="28" customWidth="1"/>
    <col min="4" max="4" width="16.85546875" bestFit="1" customWidth="1"/>
    <col min="5" max="5" width="21.85546875" customWidth="1"/>
    <col min="6" max="6" width="23" customWidth="1"/>
    <col min="7" max="256" width="11.42578125" customWidth="1"/>
  </cols>
  <sheetData>
    <row r="1" spans="1:7">
      <c r="A1" s="308" t="s">
        <v>312</v>
      </c>
      <c r="B1" s="308"/>
      <c r="D1" s="308" t="s">
        <v>313</v>
      </c>
      <c r="E1" s="308"/>
      <c r="F1" s="308"/>
      <c r="G1" s="308"/>
    </row>
    <row r="3" spans="1:7">
      <c r="A3" s="15" t="s">
        <v>314</v>
      </c>
      <c r="B3" s="15" t="s">
        <v>315</v>
      </c>
    </row>
    <row r="4" spans="1:7">
      <c r="A4" s="295">
        <v>1</v>
      </c>
      <c r="B4" s="65">
        <v>6.71</v>
      </c>
    </row>
    <row r="5" spans="1:7">
      <c r="A5" s="295">
        <v>1</v>
      </c>
      <c r="B5" s="65">
        <v>6.08</v>
      </c>
    </row>
    <row r="6" spans="1:7">
      <c r="A6" s="295">
        <v>1</v>
      </c>
      <c r="B6" s="65">
        <v>5.82</v>
      </c>
      <c r="D6" s="339" t="s">
        <v>316</v>
      </c>
      <c r="E6" s="339"/>
      <c r="F6" s="339"/>
    </row>
    <row r="7" spans="1:7">
      <c r="A7" s="295">
        <v>1</v>
      </c>
      <c r="B7" s="65">
        <v>6.15</v>
      </c>
      <c r="D7" s="68"/>
      <c r="E7" s="67" t="s">
        <v>146</v>
      </c>
      <c r="F7" s="72"/>
    </row>
    <row r="8" spans="1:7">
      <c r="A8" s="295">
        <v>1</v>
      </c>
      <c r="B8" s="65">
        <v>6.94</v>
      </c>
      <c r="D8" s="67" t="s">
        <v>314</v>
      </c>
      <c r="E8" s="68" t="s">
        <v>317</v>
      </c>
      <c r="F8" s="73" t="s">
        <v>318</v>
      </c>
    </row>
    <row r="9" spans="1:7">
      <c r="A9" s="295">
        <v>1</v>
      </c>
      <c r="B9" s="65">
        <v>6.99</v>
      </c>
      <c r="D9" s="69">
        <v>1</v>
      </c>
      <c r="E9" s="77">
        <v>6</v>
      </c>
      <c r="F9" s="74">
        <v>6.4483333333333333</v>
      </c>
    </row>
    <row r="10" spans="1:7">
      <c r="A10" s="295">
        <v>2</v>
      </c>
      <c r="B10" s="65">
        <v>6.59</v>
      </c>
      <c r="D10" s="70">
        <v>2</v>
      </c>
      <c r="E10" s="78">
        <v>12</v>
      </c>
      <c r="F10" s="75">
        <v>7.168333333333333</v>
      </c>
    </row>
    <row r="11" spans="1:7">
      <c r="A11" s="295">
        <v>2</v>
      </c>
      <c r="B11" s="65">
        <v>6.62</v>
      </c>
      <c r="D11" s="70">
        <v>3</v>
      </c>
      <c r="E11" s="78">
        <v>12</v>
      </c>
      <c r="F11" s="75">
        <v>6.9633333333333338</v>
      </c>
    </row>
    <row r="12" spans="1:7">
      <c r="A12" s="295">
        <v>2</v>
      </c>
      <c r="B12" s="65">
        <v>8.15</v>
      </c>
      <c r="D12" s="70">
        <v>4</v>
      </c>
      <c r="E12" s="78">
        <v>9</v>
      </c>
      <c r="F12" s="75">
        <v>6.66</v>
      </c>
    </row>
    <row r="13" spans="1:7">
      <c r="A13" s="295">
        <v>2</v>
      </c>
      <c r="B13" s="65">
        <v>5.95</v>
      </c>
      <c r="D13" s="70">
        <v>5</v>
      </c>
      <c r="E13" s="78">
        <v>4</v>
      </c>
      <c r="F13" s="75">
        <v>6.85</v>
      </c>
    </row>
    <row r="14" spans="1:7">
      <c r="A14" s="295">
        <v>2</v>
      </c>
      <c r="B14" s="65">
        <v>7.48</v>
      </c>
      <c r="D14" s="71" t="s">
        <v>319</v>
      </c>
      <c r="E14" s="79">
        <v>43</v>
      </c>
      <c r="F14" s="76">
        <v>6.8746511627906983</v>
      </c>
    </row>
    <row r="15" spans="1:7">
      <c r="A15" s="295">
        <v>2</v>
      </c>
      <c r="B15" s="65">
        <v>6.73</v>
      </c>
    </row>
    <row r="16" spans="1:7">
      <c r="A16" s="295">
        <v>2</v>
      </c>
      <c r="B16" s="65">
        <v>6.71</v>
      </c>
    </row>
    <row r="17" spans="1:2">
      <c r="A17" s="295">
        <v>2</v>
      </c>
      <c r="B17" s="65">
        <v>7.42</v>
      </c>
    </row>
    <row r="18" spans="1:2">
      <c r="A18" s="295">
        <v>2</v>
      </c>
      <c r="B18" s="65">
        <v>8.2799999999999994</v>
      </c>
    </row>
    <row r="19" spans="1:2">
      <c r="A19" s="295">
        <v>2</v>
      </c>
      <c r="B19" s="65">
        <v>7.69</v>
      </c>
    </row>
    <row r="20" spans="1:2">
      <c r="A20" s="295">
        <v>2</v>
      </c>
      <c r="B20" s="65">
        <v>7.02</v>
      </c>
    </row>
    <row r="21" spans="1:2">
      <c r="A21" s="295">
        <v>2</v>
      </c>
      <c r="B21" s="65">
        <v>7.38</v>
      </c>
    </row>
    <row r="22" spans="1:2">
      <c r="A22" s="295">
        <v>3</v>
      </c>
      <c r="B22" s="65">
        <v>7.8</v>
      </c>
    </row>
    <row r="23" spans="1:2">
      <c r="A23" s="295">
        <v>3</v>
      </c>
      <c r="B23" s="65">
        <v>6.41</v>
      </c>
    </row>
    <row r="24" spans="1:2">
      <c r="A24" s="295">
        <v>3</v>
      </c>
      <c r="B24" s="65">
        <v>7.46</v>
      </c>
    </row>
    <row r="25" spans="1:2">
      <c r="A25" s="295">
        <v>3</v>
      </c>
      <c r="B25" s="65">
        <v>6.9</v>
      </c>
    </row>
    <row r="26" spans="1:2">
      <c r="A26" s="295">
        <v>3</v>
      </c>
      <c r="B26" s="65">
        <v>6.83</v>
      </c>
    </row>
    <row r="27" spans="1:2">
      <c r="A27" s="295">
        <v>3</v>
      </c>
      <c r="B27" s="65">
        <v>6.91</v>
      </c>
    </row>
    <row r="28" spans="1:2">
      <c r="A28" s="295">
        <v>3</v>
      </c>
      <c r="B28" s="65">
        <v>6.61</v>
      </c>
    </row>
    <row r="29" spans="1:2">
      <c r="A29" s="295">
        <v>3</v>
      </c>
      <c r="B29" s="65">
        <v>6.56</v>
      </c>
    </row>
    <row r="30" spans="1:2">
      <c r="A30" s="295">
        <v>3</v>
      </c>
      <c r="B30" s="65">
        <v>6.81</v>
      </c>
    </row>
    <row r="31" spans="1:2">
      <c r="A31" s="295">
        <v>3</v>
      </c>
      <c r="B31" s="65">
        <v>7</v>
      </c>
    </row>
    <row r="32" spans="1:2">
      <c r="A32" s="295">
        <v>3</v>
      </c>
      <c r="B32" s="65">
        <v>7.38</v>
      </c>
    </row>
    <row r="33" spans="1:5">
      <c r="A33" s="295">
        <v>3</v>
      </c>
      <c r="B33" s="65">
        <v>6.89</v>
      </c>
    </row>
    <row r="34" spans="1:5">
      <c r="A34" s="295">
        <v>4</v>
      </c>
      <c r="B34" s="65">
        <v>6.82</v>
      </c>
    </row>
    <row r="35" spans="1:5" ht="13.5" thickBot="1">
      <c r="A35" s="295">
        <v>4</v>
      </c>
      <c r="B35" s="65">
        <v>7.27</v>
      </c>
    </row>
    <row r="36" spans="1:5" ht="13.5" thickBot="1">
      <c r="A36" s="295">
        <v>4</v>
      </c>
      <c r="B36" s="65">
        <v>5.78</v>
      </c>
      <c r="D36" s="292" t="s">
        <v>320</v>
      </c>
      <c r="E36" s="248">
        <f>DEVSQ(B4:B46)</f>
        <v>13.70646976744186</v>
      </c>
    </row>
    <row r="37" spans="1:5">
      <c r="A37" s="295">
        <v>4</v>
      </c>
      <c r="B37" s="65">
        <v>6.07</v>
      </c>
    </row>
    <row r="38" spans="1:5">
      <c r="A38" s="295">
        <v>4</v>
      </c>
      <c r="B38" s="65">
        <v>7.06</v>
      </c>
      <c r="D38" s="340" t="s">
        <v>321</v>
      </c>
      <c r="E38" s="340"/>
    </row>
    <row r="39" spans="1:5">
      <c r="A39" s="295">
        <v>4</v>
      </c>
      <c r="B39" s="65">
        <v>7.12</v>
      </c>
      <c r="D39" s="295">
        <v>1</v>
      </c>
      <c r="E39" s="200">
        <f>E9*(F9-$F$14)^2</f>
        <v>1.0904813502794342</v>
      </c>
    </row>
    <row r="40" spans="1:5">
      <c r="A40" s="295">
        <v>4</v>
      </c>
      <c r="B40" s="65">
        <v>6.24</v>
      </c>
      <c r="D40" s="295">
        <v>2</v>
      </c>
      <c r="E40" s="200">
        <f>E10*(F10-$F$14)^2</f>
        <v>1.0349906075355979</v>
      </c>
    </row>
    <row r="41" spans="1:5">
      <c r="A41" s="295">
        <v>4</v>
      </c>
      <c r="B41" s="65">
        <v>7.23</v>
      </c>
      <c r="D41" s="295">
        <v>3</v>
      </c>
      <c r="E41" s="200">
        <f>E11*(F11-$F$14)^2</f>
        <v>9.4374328465837043E-2</v>
      </c>
    </row>
    <row r="42" spans="1:5">
      <c r="A42" s="295">
        <v>4</v>
      </c>
      <c r="B42" s="65">
        <v>6.35</v>
      </c>
      <c r="D42" s="295">
        <v>4</v>
      </c>
      <c r="E42" s="200">
        <f>E12*(F12-$F$14)^2</f>
        <v>0.41467609518658927</v>
      </c>
    </row>
    <row r="43" spans="1:5" ht="13.5" thickBot="1">
      <c r="A43" s="295">
        <v>5</v>
      </c>
      <c r="B43" s="65">
        <v>7.2</v>
      </c>
      <c r="D43" s="195">
        <v>5</v>
      </c>
      <c r="E43" s="249">
        <f>E13*(F13-$F$14)^2</f>
        <v>2.4307193077341082E-3</v>
      </c>
    </row>
    <row r="44" spans="1:5" ht="13.5" thickBot="1">
      <c r="A44" s="295">
        <v>5</v>
      </c>
      <c r="B44" s="65">
        <v>6.45</v>
      </c>
      <c r="D44" s="292" t="s">
        <v>82</v>
      </c>
      <c r="E44" s="248">
        <f>SUM(E39:E43)</f>
        <v>2.6369531007751923</v>
      </c>
    </row>
    <row r="45" spans="1:5">
      <c r="A45" s="295">
        <v>5</v>
      </c>
      <c r="B45" s="65">
        <v>7.08</v>
      </c>
    </row>
    <row r="46" spans="1:5">
      <c r="A46" s="295">
        <v>5</v>
      </c>
      <c r="B46" s="65">
        <v>6.67</v>
      </c>
      <c r="D46" s="253"/>
      <c r="E46" s="254"/>
    </row>
    <row r="47" spans="1:5">
      <c r="D47" s="12" t="s">
        <v>322</v>
      </c>
      <c r="E47" s="12">
        <f>D43-1</f>
        <v>4</v>
      </c>
    </row>
    <row r="48" spans="1:5">
      <c r="D48" s="12" t="s">
        <v>323</v>
      </c>
      <c r="E48" s="93">
        <f>E14-D43</f>
        <v>38</v>
      </c>
    </row>
    <row r="49" spans="1:5">
      <c r="A49" s="80" t="s">
        <v>38</v>
      </c>
      <c r="B49" s="80">
        <f>COUNTA(B4:B46)</f>
        <v>43</v>
      </c>
    </row>
    <row r="50" spans="1:5">
      <c r="A50" s="80" t="s">
        <v>114</v>
      </c>
      <c r="B50" s="252">
        <f>CORREL(A4:A46,B4:B46)</f>
        <v>-1.8762842809094168E-2</v>
      </c>
    </row>
    <row r="51" spans="1:5">
      <c r="A51" s="108" t="s">
        <v>324</v>
      </c>
      <c r="B51" s="251">
        <f>B50^2</f>
        <v>3.5204427027877677E-4</v>
      </c>
      <c r="D51" s="11" t="s">
        <v>325</v>
      </c>
      <c r="E51" s="152">
        <f>E44/E36</f>
        <v>0.19238747434725831</v>
      </c>
    </row>
    <row r="54" spans="1:5">
      <c r="A54" s="95" t="s">
        <v>46</v>
      </c>
      <c r="B54" s="250">
        <f>B50/SQRT((1-B50^2)/(B49-2))</f>
        <v>-0.12016196658183823</v>
      </c>
      <c r="D54" s="19" t="s">
        <v>188</v>
      </c>
      <c r="E54" s="146">
        <f>(E51/E47)/((1-E51)/E48)</f>
        <v>2.2630666913217525</v>
      </c>
    </row>
    <row r="55" spans="1:5">
      <c r="A55" s="95" t="s">
        <v>326</v>
      </c>
      <c r="B55" s="250">
        <f>TINV(0.05,42)</f>
        <v>2.0180817028184461</v>
      </c>
      <c r="D55" s="19" t="s">
        <v>327</v>
      </c>
      <c r="E55" s="146">
        <f>FINV(0.1,E47,E48)</f>
        <v>2.0989587503210938</v>
      </c>
    </row>
    <row r="57" spans="1:5">
      <c r="A57" s="95" t="s">
        <v>48</v>
      </c>
      <c r="B57" s="250">
        <f>TDIST(ABS(B54),42,2)</f>
        <v>0.90492783044680836</v>
      </c>
      <c r="D57" s="19" t="s">
        <v>48</v>
      </c>
      <c r="E57" s="146">
        <f>FDIST(E54,E47,E48)</f>
        <v>8.031771279447078E-2</v>
      </c>
    </row>
  </sheetData>
  <mergeCells count="4">
    <mergeCell ref="D6:F6"/>
    <mergeCell ref="D38:E38"/>
    <mergeCell ref="A1:B1"/>
    <mergeCell ref="D1:G1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2"/>
  <headerFooter alignWithMargins="0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5:D16"/>
  <sheetViews>
    <sheetView showGridLines="0" workbookViewId="0">
      <selection activeCell="C37" sqref="C37"/>
    </sheetView>
  </sheetViews>
  <sheetFormatPr defaultRowHeight="12.75"/>
  <cols>
    <col min="1" max="256" width="11.42578125" customWidth="1"/>
  </cols>
  <sheetData>
    <row r="5" spans="2:4">
      <c r="C5" s="36" t="s">
        <v>90</v>
      </c>
      <c r="D5" s="36" t="s">
        <v>91</v>
      </c>
    </row>
    <row r="6" spans="2:4">
      <c r="B6">
        <v>1</v>
      </c>
      <c r="C6" s="46">
        <v>0.3</v>
      </c>
      <c r="D6" s="46">
        <v>0.6</v>
      </c>
    </row>
    <row r="7" spans="2:4">
      <c r="B7">
        <v>2</v>
      </c>
      <c r="C7" s="46">
        <v>0.3</v>
      </c>
      <c r="D7" s="46">
        <v>0.6</v>
      </c>
    </row>
    <row r="8" spans="2:4">
      <c r="B8">
        <v>3</v>
      </c>
      <c r="C8" s="46">
        <v>0.5</v>
      </c>
      <c r="D8" s="46">
        <v>0.4</v>
      </c>
    </row>
    <row r="9" spans="2:4">
      <c r="B9">
        <v>4</v>
      </c>
      <c r="C9" s="46">
        <v>0.3</v>
      </c>
      <c r="D9" s="46">
        <v>0.5</v>
      </c>
    </row>
    <row r="10" spans="2:4">
      <c r="B10">
        <v>5</v>
      </c>
      <c r="C10" s="46">
        <v>0.2</v>
      </c>
      <c r="D10" s="46">
        <v>0.8</v>
      </c>
    </row>
    <row r="11" spans="2:4">
      <c r="B11">
        <v>6</v>
      </c>
      <c r="C11" s="46">
        <v>0.1</v>
      </c>
      <c r="D11" s="46">
        <v>0.3</v>
      </c>
    </row>
    <row r="12" spans="2:4">
      <c r="B12">
        <v>7</v>
      </c>
      <c r="C12" s="46">
        <v>10</v>
      </c>
      <c r="D12" s="46">
        <v>10</v>
      </c>
    </row>
    <row r="15" spans="2:4">
      <c r="C15" s="45" t="s">
        <v>92</v>
      </c>
      <c r="D15" s="47">
        <f>CORREL(C6:C11,D6:D11)</f>
        <v>-5.7283315012620482E-2</v>
      </c>
    </row>
    <row r="16" spans="2:4">
      <c r="C16" s="45" t="s">
        <v>93</v>
      </c>
      <c r="D16" s="47">
        <f>CORREL(C6:C12,D6:D12)</f>
        <v>0.99837422425722211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Maison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Maison</dc:creator>
  <cp:keywords/>
  <dc:description/>
  <cp:lastModifiedBy>X</cp:lastModifiedBy>
  <cp:revision/>
  <dcterms:created xsi:type="dcterms:W3CDTF">2008-05-27T08:20:59Z</dcterms:created>
  <dcterms:modified xsi:type="dcterms:W3CDTF">2024-03-15T10:04:27Z</dcterms:modified>
  <cp:category/>
  <cp:contentStatus/>
</cp:coreProperties>
</file>