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"/>
    </mc:Choice>
  </mc:AlternateContent>
  <bookViews>
    <workbookView xWindow="0" yWindow="0" windowWidth="28800" windowHeight="13178"/>
  </bookViews>
  <sheets>
    <sheet name="Lease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5" i="1"/>
  <c r="P12" i="1" l="1"/>
  <c r="P15" i="1"/>
  <c r="P7" i="1"/>
  <c r="J3" i="1" s="1"/>
  <c r="B19" i="1"/>
  <c r="B17" i="1"/>
  <c r="B15" i="1"/>
  <c r="B4" i="1"/>
  <c r="B21" i="1"/>
  <c r="B14" i="1"/>
  <c r="B30" i="1"/>
  <c r="G8" i="1" s="1"/>
  <c r="P9" i="1"/>
  <c r="P13" i="1"/>
  <c r="I8" i="1" l="1" a="1"/>
  <c r="I24" i="1" l="1"/>
  <c r="I31" i="1"/>
  <c r="I34" i="1"/>
  <c r="I15" i="1"/>
  <c r="I21" i="1"/>
  <c r="I18" i="1"/>
  <c r="I20" i="1"/>
  <c r="K20" i="1" s="1"/>
  <c r="I28" i="1"/>
  <c r="I8" i="1"/>
  <c r="K8" i="1" s="1"/>
  <c r="I23" i="1"/>
  <c r="I13" i="1"/>
  <c r="I29" i="1"/>
  <c r="I26" i="1"/>
  <c r="I10" i="1"/>
  <c r="I14" i="1"/>
  <c r="I22" i="1"/>
  <c r="I30" i="1"/>
  <c r="I33" i="1"/>
  <c r="I25" i="1"/>
  <c r="I17" i="1"/>
  <c r="I9" i="1"/>
  <c r="I27" i="1"/>
  <c r="I19" i="1"/>
  <c r="I11" i="1"/>
  <c r="I16" i="1"/>
  <c r="I32" i="1"/>
  <c r="I12" i="1"/>
  <c r="A41" i="1"/>
  <c r="A42" i="1" s="1"/>
  <c r="A43" i="1" s="1"/>
  <c r="A44" i="1" s="1"/>
  <c r="A45" i="1" s="1"/>
  <c r="B28" i="1"/>
  <c r="C21" i="1"/>
  <c r="C20" i="1"/>
  <c r="B27" i="1"/>
  <c r="B25" i="1"/>
  <c r="B22" i="1"/>
  <c r="B29" i="1"/>
  <c r="B26" i="1"/>
  <c r="B23" i="1"/>
  <c r="B18" i="1"/>
  <c r="B20" i="1"/>
  <c r="B24" i="1"/>
  <c r="B41" i="1"/>
  <c r="B16" i="1"/>
  <c r="B43" i="1" s="1"/>
  <c r="B42" i="1"/>
  <c r="B44" i="1"/>
  <c r="B45" i="1" l="1"/>
  <c r="B34" i="1"/>
  <c r="A55" i="1" s="1"/>
  <c r="B33" i="1"/>
  <c r="N17" i="1"/>
  <c r="A57" i="1" l="1"/>
  <c r="B57" i="1"/>
  <c r="B55" i="1"/>
  <c r="A54" i="1"/>
  <c r="B53" i="1"/>
  <c r="B58" i="1"/>
  <c r="B52" i="1"/>
  <c r="A52" i="1"/>
  <c r="B56" i="1"/>
  <c r="A53" i="1"/>
  <c r="B46" i="1"/>
  <c r="B47" i="1" s="1"/>
  <c r="B48" i="1" s="1"/>
  <c r="B49" i="1" s="1"/>
  <c r="B50" i="1" s="1"/>
  <c r="B51" i="1" s="1"/>
  <c r="A56" i="1"/>
  <c r="B54" i="1"/>
  <c r="B59" i="1"/>
  <c r="A46" i="1"/>
  <c r="A47" i="1" s="1"/>
  <c r="A48" i="1" s="1"/>
  <c r="A49" i="1" s="1"/>
  <c r="A50" i="1" s="1"/>
  <c r="A51" i="1" s="1"/>
  <c r="K17" i="1"/>
  <c r="J17" i="1" s="1"/>
  <c r="L17" i="1" s="1"/>
  <c r="K19" i="1" l="1"/>
  <c r="N19" i="1"/>
  <c r="K26" i="1"/>
  <c r="N26" i="1"/>
  <c r="K31" i="1"/>
  <c r="N31" i="1"/>
  <c r="N16" i="1"/>
  <c r="K16" i="1"/>
  <c r="N25" i="1"/>
  <c r="K25" i="1"/>
  <c r="K29" i="1"/>
  <c r="N29" i="1"/>
  <c r="K14" i="1"/>
  <c r="N14" i="1"/>
  <c r="N18" i="1"/>
  <c r="K18" i="1"/>
  <c r="K10" i="1"/>
  <c r="N10" i="1"/>
  <c r="K9" i="1"/>
  <c r="N9" i="1"/>
  <c r="N13" i="1"/>
  <c r="K13" i="1"/>
  <c r="N22" i="1"/>
  <c r="K22" i="1"/>
  <c r="N30" i="1"/>
  <c r="K30" i="1"/>
  <c r="N24" i="1"/>
  <c r="K24" i="1"/>
  <c r="K33" i="1"/>
  <c r="N33" i="1"/>
  <c r="K28" i="1"/>
  <c r="N28" i="1"/>
  <c r="K27" i="1"/>
  <c r="N27" i="1"/>
  <c r="K34" i="1"/>
  <c r="N34" i="1"/>
  <c r="K32" i="1"/>
  <c r="N32" i="1"/>
  <c r="N20" i="1"/>
  <c r="K21" i="1"/>
  <c r="N21" i="1"/>
  <c r="N23" i="1"/>
  <c r="K23" i="1"/>
  <c r="N12" i="1"/>
  <c r="K12" i="1"/>
  <c r="N8" i="1"/>
  <c r="N15" i="1"/>
  <c r="K15" i="1"/>
  <c r="K11" i="1"/>
  <c r="N11" i="1"/>
  <c r="J15" i="1" l="1"/>
  <c r="L15" i="1" s="1"/>
  <c r="J8" i="1"/>
  <c r="L8" i="1" s="1"/>
  <c r="J12" i="1"/>
  <c r="L12" i="1" s="1"/>
  <c r="J23" i="1"/>
  <c r="L23" i="1" s="1"/>
  <c r="J24" i="1"/>
  <c r="L24" i="1" s="1"/>
  <c r="J30" i="1"/>
  <c r="L30" i="1" s="1"/>
  <c r="J22" i="1"/>
  <c r="L22" i="1" s="1"/>
  <c r="J13" i="1"/>
  <c r="L13" i="1" s="1"/>
  <c r="J18" i="1"/>
  <c r="L18" i="1" s="1"/>
  <c r="J25" i="1"/>
  <c r="L25" i="1" s="1"/>
  <c r="J16" i="1"/>
  <c r="L16" i="1" s="1"/>
  <c r="J11" i="1"/>
  <c r="L11" i="1" s="1"/>
  <c r="J21" i="1"/>
  <c r="L21" i="1" s="1"/>
  <c r="J20" i="1"/>
  <c r="L20" i="1" s="1"/>
  <c r="J32" i="1"/>
  <c r="L32" i="1" s="1"/>
  <c r="B35" i="1" s="1"/>
  <c r="J34" i="1"/>
  <c r="L34" i="1" s="1"/>
  <c r="J27" i="1"/>
  <c r="L27" i="1" s="1"/>
  <c r="J28" i="1"/>
  <c r="L28" i="1" s="1"/>
  <c r="J33" i="1"/>
  <c r="L33" i="1" s="1"/>
  <c r="J9" i="1"/>
  <c r="L9" i="1" s="1"/>
  <c r="J10" i="1"/>
  <c r="L10" i="1" s="1"/>
  <c r="J14" i="1"/>
  <c r="L14" i="1" s="1"/>
  <c r="J29" i="1"/>
  <c r="L29" i="1" s="1"/>
  <c r="J31" i="1"/>
  <c r="L31" i="1" s="1"/>
  <c r="J26" i="1"/>
  <c r="L26" i="1" s="1"/>
  <c r="J19" i="1"/>
  <c r="L19" i="1" s="1"/>
  <c r="B36" i="1" l="1"/>
  <c r="L35" i="1"/>
  <c r="J35" i="1"/>
  <c r="F6" i="1" l="1"/>
  <c r="F7" i="1" s="1"/>
  <c r="F3" i="1"/>
  <c r="G4" i="1" s="1"/>
  <c r="M35" i="1"/>
</calcChain>
</file>

<file path=xl/sharedStrings.xml><?xml version="1.0" encoding="utf-8"?>
<sst xmlns="http://schemas.openxmlformats.org/spreadsheetml/2006/main" count="67" uniqueCount="63">
  <si>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</si>
  <si>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</si>
  <si>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</si>
  <si>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</si>
  <si>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</si>
  <si>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</si>
  <si>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</si>
  <si>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</si>
  <si>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</si>
  <si>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</si>
  <si>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</si>
  <si>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</si>
  <si>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</si>
  <si>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</si>
  <si>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</si>
  <si>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</si>
  <si>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</si>
  <si>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</si>
  <si>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</si>
  <si>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</si>
  <si>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</si>
  <si>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</si>
  <si>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</si>
  <si>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</si>
  <si>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</si>
  <si>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</si>
  <si>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</si>
  <si>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</si>
  <si>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</si>
  <si>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</si>
  <si>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</si>
  <si>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</si>
  <si>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</si>
  <si>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</si>
  <si>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</si>
  <si>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</si>
  <si>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</si>
  <si>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</si>
  <si>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</si>
  <si>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</si>
  <si>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</si>
  <si>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</si>
  <si>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</si>
  <si>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</si>
  <si>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</si>
  <si>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</si>
  <si>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</si>
  <si>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</si>
  <si>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</si>
  <si>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</si>
  <si>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</si>
  <si>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</si>
  <si>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</si>
  <si>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</si>
  <si>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</si>
  <si>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</si>
  <si>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</si>
  <si>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</si>
  <si>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http://csuite.xbrl.us/php/dispatch.php?Task=xbrlValues&amp;API_Key=22f14062-1cc0-0298-1cae-cd793a60c05f</t>
  </si>
  <si>
    <t>aapl</t>
  </si>
  <si>
    <t>http://csuite.xbrl.us/php/dispatch.php?Task=xbrlCIKLookup</t>
  </si>
  <si>
    <t>xbrlValues</t>
  </si>
  <si>
    <t>xbrlCIKLookup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</si>
</sst>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_(* #,##0,,\ &quot;M&quot;_);_(* \(#,##0,,\ &quot;M&quot;\);_(* &quot;-&quot;??_);_(@_)"/>
  </numFmts>
  <fonts count="17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6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6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4" fontId="0" fillId="7" borderId="6" xfId="0" applyNumberFormat="1" applyFont="1" applyFill="1" applyBorder="1"/>
    <xf numFmtId="164" fontId="0" fillId="7" borderId="4" xfId="0" applyNumberFormat="1" applyFont="1" applyFill="1" applyBorder="1" applyAlignment="1">
      <alignment horizontal="right"/>
    </xf>
    <xf numFmtId="164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6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6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6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6" fontId="0" fillId="5" borderId="16" xfId="0" applyNumberFormat="1" applyFont="1" applyFill="1" applyBorder="1" applyAlignment="1">
      <alignment horizontal="right" wrapText="1"/>
    </xf>
    <xf numFmtId="164" fontId="0" fillId="6" borderId="17" xfId="0" applyNumberFormat="1" applyFont="1" applyFill="1" applyBorder="1"/>
    <xf numFmtId="10" fontId="0" fillId="6" borderId="18" xfId="2" applyNumberFormat="1" applyFont="1" applyFill="1" applyBorder="1"/>
    <xf numFmtId="164" fontId="0" fillId="6" borderId="19" xfId="0" applyNumberFormat="1" applyFont="1" applyFill="1" applyBorder="1"/>
    <xf numFmtId="164" fontId="0" fillId="7" borderId="7" xfId="0" applyNumberFormat="1" applyFont="1" applyFill="1" applyBorder="1" applyAlignment="1">
      <alignment horizontal="right"/>
    </xf>
    <xf numFmtId="164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2"/>
  <sheetViews>
    <sheetView tabSelected="1" topLeftCell="A49" zoomScaleNormal="100" workbookViewId="0">
      <selection activeCell="A77" sqref="A77"/>
    </sheetView>
  </sheetViews>
  <sheetFormatPr defaultRowHeight="14.25" x14ac:dyDescent="0.45"/>
  <cols>
    <col min="1" max="1" width="75.46484375" bestFit="1" customWidth="1"/>
    <col min="2" max="2" width="26.796875" customWidth="1"/>
    <col min="3" max="3" width="6.1328125" hidden="1" customWidth="1"/>
    <col min="5" max="5" width="31.1328125" bestFit="1" customWidth="1"/>
    <col min="6" max="6" width="14.59765625" bestFit="1" customWidth="1"/>
    <col min="7" max="7" width="14.796875" bestFit="1" customWidth="1"/>
    <col min="9" max="9" width="80.1328125" bestFit="1" customWidth="1"/>
    <col min="10" max="10" width="33.265625" customWidth="1"/>
    <col min="11" max="11" width="25.265625" customWidth="1"/>
    <col min="12" max="12" width="17.06640625" customWidth="1"/>
    <col min="14" max="14" width="22.86328125" bestFit="1" customWidth="1"/>
    <col min="16" max="16" width="9.06640625" hidden="1" customWidth="1"/>
  </cols>
  <sheetData>
    <row r="1" spans="1:16" ht="25.15" x14ac:dyDescent="0.7">
      <c r="A1" s="1" t="s">
        <v>0</v>
      </c>
      <c r="B1" s="2"/>
    </row>
    <row r="2" spans="1:16" ht="19.5" thickBot="1" x14ac:dyDescent="0.55000000000000004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 x14ac:dyDescent="0.45">
      <c r="A3" s="22" t="s">
        <v>2</v>
      </c>
      <c r="B3" s="21" t="s">
        <v>59</v>
      </c>
      <c r="E3" s="32" t="s">
        <v>38</v>
      </c>
      <c r="F3" s="33">
        <f>B36</f>
        <v>4549512707.5096149</v>
      </c>
      <c r="G3" s="34"/>
      <c r="I3" s="22" t="s">
        <v>45</v>
      </c>
      <c r="J3" s="11">
        <f>MIN(_xlfn.FILTERXML(P7,"/dataRequest/fact[not(preceding-sibling::fact/dimensionCount &lt;= fact/dimensionCount) and not(following-sibling::fact/dimensionCount &lt; fact/dimensionCount)]/dimensionCount"))</f>
        <v>1</v>
      </c>
      <c r="L3" s="9"/>
      <c r="M3" s="9"/>
      <c r="N3" s="9"/>
    </row>
    <row r="4" spans="1:16" x14ac:dyDescent="0.45">
      <c r="A4" s="22" t="s">
        <v>3</v>
      </c>
      <c r="B4" s="27" t="str">
        <f>_xlfn.FILTERXML(_xlfn.WEBSERVICE(""&amp;$B$70&amp;"&amp;Element=Assets&amp;Period=Y&amp;CIK="&amp;$B5&amp;"&amp;Ultimus=true&amp;NoYears=1&amp;DimReqd=false"),"//dataRequest/fact[last()]/entity")</f>
        <v>APPLE INC</v>
      </c>
      <c r="E4" s="35" t="s">
        <v>39</v>
      </c>
      <c r="F4" s="29"/>
      <c r="G4" s="36">
        <f>F3</f>
        <v>4549512707.5096149</v>
      </c>
      <c r="I4" s="9"/>
      <c r="J4" s="50" t="s">
        <v>46</v>
      </c>
      <c r="K4" s="28"/>
      <c r="L4" s="28"/>
      <c r="M4" s="28"/>
      <c r="N4" s="28"/>
    </row>
    <row r="5" spans="1:16" ht="20.65" customHeight="1" x14ac:dyDescent="0.45">
      <c r="A5" s="22" t="s">
        <v>4</v>
      </c>
      <c r="B5" s="27" t="str">
        <f>TEXT(_xlfn.FILTERXML(_xlfn.WEBSERVICE(B72&amp;"&amp;Ticker="&amp;B3),"//dataRequest/tickerLookup/cik"),"0000000000")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 x14ac:dyDescent="0.45">
      <c r="A6" s="22" t="s">
        <v>5</v>
      </c>
      <c r="B6" s="27" t="s">
        <v>6</v>
      </c>
      <c r="E6" s="35" t="s">
        <v>40</v>
      </c>
      <c r="F6" s="31">
        <f>B35*B36</f>
        <v>36481941.52248276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 x14ac:dyDescent="0.45">
      <c r="A7" s="22" t="s">
        <v>7</v>
      </c>
      <c r="B7" s="27">
        <f>_xlfn.NUMBERVALUE(_xlfn.WEBSERVICE("http://finance.yahoo.com/d/quotes.csv?s="&amp;B3&amp;"&amp;f=l1"))</f>
        <v>110.37</v>
      </c>
      <c r="E7" s="35" t="s">
        <v>41</v>
      </c>
      <c r="F7" s="31">
        <f>G8-F6</f>
        <v>608518058.47751725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str">
        <f>_xlfn.WEBSERVICE(""&amp;$B$70&amp;"&amp;Element="&amp;J7&amp;"&amp;Period="&amp;J5&amp;"&amp;Year="&amp;J6&amp;"&amp;CIK="&amp;$B5&amp;"&amp;Ultimus=true&amp;NoYears=1&amp;DimReqd=true&amp;Small=true&amp;Axis="&amp;J4&amp;"")</f>
        <v xml:space="preserve">&lt;?xml version="1.0"?&gt;
&lt;dataRequest date="2015-09-04T15:52:46-0400"&gt;&lt;fact&gt;&lt;entity&gt;&lt;![CDATA[APPLE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ix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FivePercentDueTwentySeven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ZeroPointFourFivePercentDueTwentySix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FourPointFourFivePercentDueTwentyFortyFour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EightFivePercentDueTwentyFortyThre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TwentyFourMember&lt;/member&gt;&lt;units&gt;USD&lt;/units&gt;&lt;amount&gt;2500000000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ZeroPercentDueTwentyNine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Eigh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PercentDueTwentyEighteenMember&lt;/member&gt;&lt;units&gt;USD&lt;/units&gt;&lt;amount&gt;4000000000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Zero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SixThreePercentDueTwentyTwentySix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FiveFivePercent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Five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ThreeEightPercentDueTwentyTwentyFour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iveZeroPercentDueTwentyTwen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SevenFivePercentDueTwentyThirty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For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even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ourZeroPercentDueTwentyTwentyThreeMember&lt;/member&gt;&lt;units&gt;USD&lt;/units&gt;&lt;amount&gt;5500000000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EightFivePercentDueTwentyTwentyOn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Nine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3000000000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2000000000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14000000000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ixedRateRangeFromZeroPointFourFiveToThreePointEight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10000000000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ixedRateRangeFromOnePointZeroFiveToFour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Yen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43&lt;/count&gt;&lt;/dataRequest&gt;
</v>
      </c>
    </row>
    <row r="8" spans="1:16" ht="19.899999999999999" customHeight="1" thickBot="1" x14ac:dyDescent="0.5">
      <c r="A8" s="20"/>
      <c r="B8" s="20"/>
      <c r="E8" s="40" t="s">
        <v>42</v>
      </c>
      <c r="F8" s="41"/>
      <c r="G8" s="42">
        <f>B30</f>
        <v>645000000</v>
      </c>
      <c r="I8" s="24" t="str">
        <f t="array" ref="I8:I34">_xlfn.FILTERXML(P7,"/dataRequest/fact[dimensionCount = "&amp;J3&amp;"]/dimensions/dimensionPair[axisLocalName='"&amp;J4&amp;"']/memberLocalName")</f>
        <v>SeniorNotesDueTwentySixteenMember</v>
      </c>
      <c r="J8" s="24">
        <f t="shared" ref="J8:J34" si="0">IF(AND(ISERROR(K8),ISERROR(N8)),0, IFERROR(MAX(_xlfn.FILTERXML(P$15,"/dataRequest/fact[dimensions/dimensionPair[axisLocalName='"&amp;J$4&amp;"']/memberLocalName='"&amp;I8&amp;"']/amount")),0))</f>
        <v>1000000000</v>
      </c>
      <c r="K8" s="49">
        <f>_xlfn.FILTERXML($P$9,"/dataRequest/fact[dimensions/dimensionPair[axisLocalName='"&amp;J$4&amp;"']/memberLocalName='"&amp;I8&amp;"']/amount")</f>
        <v>5.1000000000000004E-3</v>
      </c>
      <c r="L8" s="24">
        <f>IFERROR(J8*IFERROR(K8,N8),0)</f>
        <v>5100000</v>
      </c>
      <c r="M8" s="17"/>
      <c r="N8" s="49" t="e">
        <f t="shared" ref="N8:N34" si="1">MAX(_xlfn.FILTERXML(P$12,"/dataRequest/fact[dimensionCount = "&amp;J$3&amp;"][dimensions/dimensionPair[axisLocalName='"&amp;J$4&amp;"']/memberLocalName='"&amp;I8&amp;"']/amount"))</f>
        <v>#VALUE!</v>
      </c>
      <c r="P8" s="12" t="s">
        <v>51</v>
      </c>
    </row>
    <row r="9" spans="1:16" x14ac:dyDescent="0.45">
      <c r="A9" s="22" t="s">
        <v>57</v>
      </c>
      <c r="B9" s="19"/>
      <c r="I9" s="24" t="str">
        <v>SeniorNotesOnePointZeroFivePercentDueTwentySeventeenMember</v>
      </c>
      <c r="J9" s="24">
        <f t="shared" si="0"/>
        <v>1500000000</v>
      </c>
      <c r="K9" s="49">
        <f t="shared" ref="K9:K34" si="2">_xlfn.FILTERXML($P$9,"/dataRequest/fact[dimensions/dimensionPair[axisLocalName='"&amp;J$4&amp;"']/memberLocalName='"&amp;I9&amp;"']/amount")</f>
        <v>3.0000000000000001E-3</v>
      </c>
      <c r="L9" s="24">
        <f t="shared" ref="L9:L34" si="3">IFERROR(J9*IFERROR(K9,N9),0)</f>
        <v>4500000</v>
      </c>
      <c r="M9" s="17"/>
      <c r="N9" s="49">
        <f t="shared" si="1"/>
        <v>1.0500000000000001E-2</v>
      </c>
      <c r="P9" t="str">
        <f>_xlfn.WEBSERVICE(""&amp;$B$70&amp;"&amp;Element="&amp;K$7&amp;"&amp;Period="&amp;K$5&amp;"&amp;Year="&amp;K$6&amp;"&amp;CIK="&amp;$B$5&amp;"&amp;Ultimus=true&amp;NoYears=1&amp;DimReqd=true&amp;Small=true&amp;Axis="&amp;J$4&amp;"")</f>
        <v xml:space="preserve">&lt;?xml version="1.0"?&gt;
&lt;dataRequest date="2015-09-04T15:52:47-0400"&gt;&lt;fact&gt;&lt;entity&gt;&lt;![CDATA[APPLE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SixteenMember&lt;/member&gt;&lt;units&gt;pure&lt;/units&gt;&lt;amount&gt;0.0051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ZeroFivePercentDueTwentySeventeenMember&lt;/member&gt;&lt;units&gt;pure&lt;/units&gt;&lt;amount&gt;0.0030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ZeroPointFourFivePercentDueTwentySixteenMember&lt;/member&gt;&lt;units&gt;pure&lt;/units&gt;&lt;amount&gt;0.0051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0.0448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0.0391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0.0090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OneZeroPercentDueTwentyNineteenMember&lt;/member&gt;&lt;units&gt;pure&lt;/units&gt;&lt;amount&gt;0.0053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EighteenMember&lt;/member&gt;&lt;units&gt;pure&lt;/units&gt;&lt;amount&gt;0.0110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ZeroPercentDueTwentyEighteenMember&lt;/member&gt;&lt;units&gt;pure&lt;/units&gt;&lt;amount&gt;0.0108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EuroDenominatedSeniorNotesOnePointZeroPercentDueTwentyTwentyTwoMember&lt;/member&gt;&lt;units&gt;pure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EuroDenominatedSeniorNotesOnePointSixThreePercentDueTwentyTwentySixMember&lt;/member&gt;&lt;units&gt;pure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FiveFivePercentDueTwentyTwentyMember&lt;/member&gt;&lt;units&gt;pure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OneFivePercentDueTwentyTwentyTwoMember&lt;/member&gt;&lt;units&gt;pure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wissFrancDenominatedSeniorNotesZeroPointThreeEightPercentDueTwentyTwentyFourMember&lt;/member&gt;&lt;units&gt;pure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FiveZeroPercentDueTwentyTwentyFiveMember&lt;/member&gt;&lt;units&gt;pure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wissFrancDenominatedSeniorNotesZeroPointSevenFivePercentDueTwentyThirtyMember&lt;/member&gt;&lt;units&gt;pure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FourFivePercentDueTwentyFortyFiveMember&lt;/member&gt;&lt;units&gt;pure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SeventeenMember&lt;/member&gt;&lt;units&gt;pure&lt;/units&gt;&lt;amount&gt;0.0031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TwentyMember&lt;/member&gt;&lt;units&gt;pure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0.0244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EightFivePercentDueTwentyTwentyOneMember&lt;/member&gt;&lt;units&gt;pure&lt;/units&gt;&lt;amount&gt;0.0079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NineteenMember&lt;/member&gt;&lt;units&gt;pure&lt;/units&gt;&lt;amount&gt;0.0054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FirstQuarterTwentyFifteenEuro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FirstQuarterTwentyFifteenEuro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SwissFranc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SwissFranc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Yen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39&lt;/count&gt;&lt;/dataRequest&gt;
</v>
      </c>
    </row>
    <row r="10" spans="1:16" x14ac:dyDescent="0.45">
      <c r="A10" s="2"/>
      <c r="B10" s="2"/>
      <c r="I10" s="24" t="str">
        <v>SeniorNotesZeroPointFourFivePercentDueTwentySixteenMember</v>
      </c>
      <c r="J10" s="24">
        <f t="shared" si="0"/>
        <v>1500000000</v>
      </c>
      <c r="K10" s="49">
        <f t="shared" si="2"/>
        <v>5.1000000000000004E-3</v>
      </c>
      <c r="L10" s="24">
        <f t="shared" si="3"/>
        <v>7650000.0000000009</v>
      </c>
      <c r="M10" s="17"/>
      <c r="N10" s="49">
        <f t="shared" si="1"/>
        <v>4.4999999999999997E-3</v>
      </c>
    </row>
    <row r="11" spans="1:16" ht="19.149999999999999" x14ac:dyDescent="0.5">
      <c r="A11" s="3" t="s">
        <v>8</v>
      </c>
      <c r="B11" s="2"/>
      <c r="I11" s="24" t="str">
        <v>SeniorNotesFourPointFourFivePercentDueTwentyFortyFourMember</v>
      </c>
      <c r="J11" s="24">
        <f t="shared" si="0"/>
        <v>1000000000</v>
      </c>
      <c r="K11" s="49">
        <f t="shared" si="2"/>
        <v>4.48E-2</v>
      </c>
      <c r="L11" s="24">
        <f t="shared" si="3"/>
        <v>44800000</v>
      </c>
      <c r="M11" s="17"/>
      <c r="N11" s="49">
        <f t="shared" si="1"/>
        <v>4.4499999999999998E-2</v>
      </c>
      <c r="P11" s="12" t="s">
        <v>54</v>
      </c>
    </row>
    <row r="12" spans="1:16" x14ac:dyDescent="0.45">
      <c r="A12" s="2"/>
      <c r="B12" s="6" t="s">
        <v>9</v>
      </c>
      <c r="I12" s="24" t="str">
        <v>SeniorNotesThreePointEightFivePercentDueTwentyFortyThreeMember</v>
      </c>
      <c r="J12" s="24">
        <f t="shared" si="0"/>
        <v>3000000000</v>
      </c>
      <c r="K12" s="49">
        <f t="shared" si="2"/>
        <v>3.9100000000000003E-2</v>
      </c>
      <c r="L12" s="24">
        <f t="shared" si="3"/>
        <v>117300000.00000001</v>
      </c>
      <c r="M12" s="17"/>
      <c r="N12" s="49">
        <f t="shared" si="1"/>
        <v>3.85E-2</v>
      </c>
      <c r="P12" t="str">
        <f>_xlfn.WEBSERVICE(""&amp;$B$70&amp;"&amp;Element="&amp;N$7&amp;"&amp;CIK="&amp;$B$5&amp;"&amp;Ultimus=true&amp;NoYears=4&amp;DimReqd=true&amp;Small=true&amp;Axis="&amp;J$4&amp;"&amp;Year="&amp;K6&amp;"")</f>
        <v xml:space="preserve">&lt;?xml version="1.0"?&gt;
&lt;dataRequest date="2015-09-04T15:52:47-0400"&gt;&lt;fact&gt;&lt;entity&gt;&lt;![CDATA[APPLE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3Q&lt;/period&gt;&lt;year&gt;2013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3Q&lt;/period&gt;&lt;year&gt;2013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3Q&lt;/period&gt;&lt;year&gt;2013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3Q&lt;/period&gt;&lt;year&gt;2013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1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1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1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1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2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2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2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2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3Q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3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3Q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3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3Q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3Q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3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3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3Q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Y&lt;/period&gt;&lt;year&gt;2013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Y&lt;/period&gt;&lt;year&gt;2013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Y&lt;/period&gt;&lt;year&gt;2013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Y&lt;/period&gt;&lt;year&gt;2013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Y&lt;/period&gt;&lt;year&gt;2013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Y&lt;/period&gt;&lt;year&gt;2013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Y&lt;/period&gt;&lt;year&gt;2013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Y&lt;/period&gt;&lt;year&gt;2013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Y&lt;/period&gt;&lt;year&gt;2013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EuroDenominatedSeniorNotesOnePointZeroPercentDueTwentyTwentyTwoMember&lt;/member&gt;&lt;units&gt;pure&lt;/units&gt;&lt;amount&gt;0.0100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EuroDenominatedSeniorNotesOnePointSixThreePercentDueTwentyTwentySixMember&lt;/member&gt;&lt;units&gt;pure&lt;/units&gt;&lt;amount&gt;0.0163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FiveFivePercentDueTwentyTwentyMember&lt;/member&gt;&lt;units&gt;pure&lt;/units&gt;&lt;amount&gt;0.0155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OneFivePercentDueTwentyTwentyTwoMember&lt;/member&gt;&lt;units&gt;pure&lt;/units&gt;&lt;amount&gt;0.0215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wissFrancDenominatedSeniorNotesZeroPointThreeEightPercentDueTwentyTwentyFourMember&lt;/member&gt;&lt;units&gt;pure&lt;/units&gt;&lt;amount&gt;0.0038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FiveZeroPercentDueTwentyTwentyFiveMember&lt;/member&gt;&lt;units&gt;pure&lt;/units&gt;&lt;amount&gt;0.0250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wissFrancDenominatedSeniorNotesZeroPointSevenFivePercentDueTwentyThirtyMember&lt;/member&gt;&lt;units&gt;pure&lt;/units&gt;&lt;amount&gt;0.0075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FourFivePercentDueTwentyFortyFiveMember&lt;/member&gt;&lt;units&gt;pure&lt;/units&gt;&lt;amount&gt;0.0345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/dataRequest&gt;
</v>
      </c>
    </row>
    <row r="13" spans="1:16" x14ac:dyDescent="0.45">
      <c r="A13" s="4" t="s">
        <v>10</v>
      </c>
      <c r="B13" s="6">
        <v>2013</v>
      </c>
      <c r="E13" s="14"/>
      <c r="I13" s="24" t="str">
        <v>SeniorNotesThreePointFourFivePercentDueTwentyTwentyFourMember</v>
      </c>
      <c r="J13" s="24">
        <f t="shared" si="0"/>
        <v>2500000000</v>
      </c>
      <c r="K13" s="49">
        <f t="shared" si="2"/>
        <v>8.9999999999999993E-3</v>
      </c>
      <c r="L13" s="24">
        <f t="shared" si="3"/>
        <v>22500000</v>
      </c>
      <c r="M13" s="17"/>
      <c r="N13" s="49">
        <f t="shared" si="1"/>
        <v>3.4500000000000003E-2</v>
      </c>
      <c r="P13" t="str">
        <f>""&amp;$B$70&amp;"&amp;Element="&amp;N$7&amp;"&amp;CIK="&amp;$B$5&amp;"&amp;Ultimus=true&amp;NoYears=1&amp;DimReqd=true&amp;Axis="&amp;J$4&amp;"&amp;Year="&amp;K6&amp;""</f>
        <v>http://csuite.xbrl.us/php/dispatch.php?Task=xbrlValues&amp;API_Key=22f14062-1cc0-0298-1cae-cd793a60c05f&amp;Element=DebtInstrumentInterestRateStatedPercentage&amp;CIK=0000320193&amp;Ultimus=true&amp;NoYears=1&amp;DimReqd=true&amp;Axis=DebtInstrumentAxis&amp;Year=2014</v>
      </c>
    </row>
    <row r="14" spans="1:16" ht="17" customHeight="1" x14ac:dyDescent="0.45">
      <c r="A14" s="26" t="s">
        <v>11</v>
      </c>
      <c r="B14" s="23">
        <f>_xlfn.FILTERXML(_xlfn.WEBSERVICE(""&amp;$B$70&amp;"&amp;Element="&amp;$A14&amp;"&amp;Period="&amp;B$12&amp;"&amp;Year="&amp;B$13&amp;"&amp;CIK="&amp;$B$5&amp;"&amp;Ultimus=true&amp;NoYears=1&amp;DimReqd=false"),"/dataRequest/fact[last()]/amount")</f>
        <v>610000000</v>
      </c>
      <c r="I14" s="24" t="str">
        <v>SeniorNotesTwoPointOneZeroPercentDueTwentyNineteenMember</v>
      </c>
      <c r="J14" s="24">
        <f t="shared" si="0"/>
        <v>2000000000</v>
      </c>
      <c r="K14" s="49">
        <f t="shared" si="2"/>
        <v>5.3E-3</v>
      </c>
      <c r="L14" s="24">
        <f t="shared" si="3"/>
        <v>10600000</v>
      </c>
      <c r="M14" s="17"/>
      <c r="N14" s="49">
        <f t="shared" si="1"/>
        <v>2.1000000000000001E-2</v>
      </c>
      <c r="P14" s="12" t="s">
        <v>55</v>
      </c>
    </row>
    <row r="15" spans="1:16" x14ac:dyDescent="0.45">
      <c r="A15" s="26" t="s">
        <v>12</v>
      </c>
      <c r="B15" s="24">
        <f>_xlfn.FILTERXML(_xlfn.WEBSERVICE(""&amp;$B$70&amp;"&amp;Element="&amp;$A15&amp;"&amp;Period="&amp;B$12&amp;"&amp;Year="&amp;B$13&amp;"&amp;CIK="&amp;$B$5&amp;"&amp;Ultimus=true&amp;NoYears=1&amp;DimReqd=false"),"/dataRequest/fact[last()]/amount")</f>
        <v>613000000</v>
      </c>
      <c r="E15" s="13"/>
      <c r="I15" s="24" t="str">
        <v>SeniorNotesDueTwentyEighteenMember</v>
      </c>
      <c r="J15" s="24">
        <f t="shared" si="0"/>
        <v>2000000000</v>
      </c>
      <c r="K15" s="49">
        <f t="shared" si="2"/>
        <v>1.0999999999999999E-2</v>
      </c>
      <c r="L15" s="24">
        <f t="shared" si="3"/>
        <v>22000000</v>
      </c>
      <c r="M15" s="17"/>
      <c r="N15" s="49" t="e">
        <f t="shared" si="1"/>
        <v>#VALUE!</v>
      </c>
      <c r="P15" t="str">
        <f>_xlfn.WEBSERVICE(""&amp;$B$70&amp;"&amp;Element="&amp;J$7&amp;"&amp;Period="&amp;J$5&amp;"&amp;Year="&amp;J$6&amp;"&amp;CIK="&amp;$B$5&amp;"&amp;Ultimus=true&amp;NoYears=1&amp;Small=true&amp;DimReqd=true&amp;Axis="&amp;J$4&amp;"")</f>
        <v xml:space="preserve">&lt;?xml version="1.0"?&gt;
&lt;dataRequest date="2015-09-04T15:52:46-0400"&gt;&lt;fact&gt;&lt;entity&gt;&lt;![CDATA[APPLE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ix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FivePercentDueTwentySeven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ZeroPointFourFivePercentDueTwentySix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FourPointFourFivePercentDueTwentyFortyFour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EightFivePercentDueTwentyFortyThre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TwentyFourMember&lt;/member&gt;&lt;units&gt;USD&lt;/units&gt;&lt;amount&gt;2500000000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ZeroPercentDueTwentyNine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Eigh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PercentDueTwentyEighteenMember&lt;/member&gt;&lt;units&gt;USD&lt;/units&gt;&lt;amount&gt;4000000000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Zero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SixThreePercentDueTwentyTwentySix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FiveFivePercent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Five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ThreeEightPercentDueTwentyTwentyFour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iveZeroPercentDueTwentyTwen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SevenFivePercentDueTwentyThirty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For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even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ourZeroPercentDueTwentyTwentyThreeMember&lt;/member&gt;&lt;units&gt;USD&lt;/units&gt;&lt;amount&gt;5500000000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EightFivePercentDueTwentyTwentyOn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Nine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3000000000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2000000000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14000000000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ixedRateRangeFromZeroPointFourFiveToThreePointEight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10000000000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ixedRateRangeFromOnePointZeroFiveToFour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Yen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43&lt;/count&gt;&lt;/dataRequest&gt;
</v>
      </c>
    </row>
    <row r="16" spans="1:16" x14ac:dyDescent="0.45">
      <c r="A16" s="26" t="s">
        <v>13</v>
      </c>
      <c r="B16" s="24">
        <f t="shared" ref="B16:B29" si="4">_xlfn.FILTERXML(_xlfn.WEBSERVICE(""&amp;$B$70&amp;"&amp;Element="&amp;$A16&amp;"&amp;Period="&amp;B$12&amp;"&amp;Year="&amp;B$13&amp;"&amp;CIK="&amp;$B$5&amp;"&amp;Ultimus=true&amp;NoYears=1&amp;DimReqd=false"),"/dataRequest/fact[last()]/amount")</f>
        <v>587000000</v>
      </c>
      <c r="I16" s="24" t="str">
        <v>SeniorNotesOnePointZeroPercentDueTwentyEighteenMember</v>
      </c>
      <c r="J16" s="24">
        <f t="shared" si="0"/>
        <v>4000000000</v>
      </c>
      <c r="K16" s="49">
        <f t="shared" si="2"/>
        <v>1.0800000000000001E-2</v>
      </c>
      <c r="L16" s="24">
        <f t="shared" si="3"/>
        <v>43200000</v>
      </c>
      <c r="M16" s="17"/>
      <c r="N16" s="49">
        <f t="shared" si="1"/>
        <v>0.01</v>
      </c>
    </row>
    <row r="17" spans="1:14" x14ac:dyDescent="0.45">
      <c r="A17" s="26" t="s">
        <v>14</v>
      </c>
      <c r="B17" s="24">
        <f>_xlfn.FILTERXML(_xlfn.WEBSERVICE(""&amp;$B$70&amp;"&amp;Element="&amp;$A17&amp;"&amp;Period="&amp;B$12&amp;"&amp;Year="&amp;B$13&amp;"&amp;CIK="&amp;$B$5&amp;"&amp;Ultimus=true&amp;NoYears=1&amp;DimReqd=false"),"/dataRequest/fact[last()]/amount")</f>
        <v>551000000</v>
      </c>
      <c r="I17" s="24" t="str">
        <v>EuroDenominatedSeniorNotesOnePointZeroPercentDueTwentyTwentyTwoMember</v>
      </c>
      <c r="J17" s="24">
        <f t="shared" si="0"/>
        <v>0</v>
      </c>
      <c r="K17" s="49">
        <f t="shared" si="2"/>
        <v>0</v>
      </c>
      <c r="L17" s="24">
        <f t="shared" si="3"/>
        <v>0</v>
      </c>
      <c r="M17" s="17"/>
      <c r="N17" s="49">
        <f t="shared" si="1"/>
        <v>0.01</v>
      </c>
    </row>
    <row r="18" spans="1:14" x14ac:dyDescent="0.45">
      <c r="A18" s="26" t="s">
        <v>15</v>
      </c>
      <c r="B18" s="24">
        <f t="shared" si="4"/>
        <v>505000000</v>
      </c>
      <c r="I18" s="24" t="str">
        <v>EuroDenominatedSeniorNotesOnePointSixThreePercentDueTwentyTwentySixMember</v>
      </c>
      <c r="J18" s="24">
        <f t="shared" si="0"/>
        <v>0</v>
      </c>
      <c r="K18" s="49">
        <f t="shared" si="2"/>
        <v>0</v>
      </c>
      <c r="L18" s="24">
        <f t="shared" si="3"/>
        <v>0</v>
      </c>
      <c r="M18" s="17"/>
      <c r="N18" s="49">
        <f t="shared" si="1"/>
        <v>1.6299999999999999E-2</v>
      </c>
    </row>
    <row r="19" spans="1:14" x14ac:dyDescent="0.45">
      <c r="A19" s="26" t="s">
        <v>16</v>
      </c>
      <c r="B19" s="24">
        <f>_xlfn.FILTERXML(_xlfn.WEBSERVICE(""&amp;$B$70&amp;"&amp;Element="&amp;$A19&amp;"&amp;Period="&amp;B$12&amp;"&amp;Year="&amp;B$13&amp;"&amp;CIK="&amp;$B$5&amp;"&amp;Ultimus=true&amp;NoYears=1&amp;DimReqd=false"),"/dataRequest/fact[last()]/amount")</f>
        <v>1855000000</v>
      </c>
      <c r="I19" s="24" t="str">
        <v>SeniorNotesOnePointFiveFivePercentDueTwentyTwentyMember</v>
      </c>
      <c r="J19" s="24">
        <f t="shared" si="0"/>
        <v>0</v>
      </c>
      <c r="K19" s="49">
        <f t="shared" si="2"/>
        <v>0</v>
      </c>
      <c r="L19" s="24">
        <f t="shared" si="3"/>
        <v>0</v>
      </c>
      <c r="M19" s="17"/>
      <c r="N19" s="49">
        <f t="shared" si="1"/>
        <v>1.55E-2</v>
      </c>
    </row>
    <row r="20" spans="1:14" x14ac:dyDescent="0.45">
      <c r="A20" s="26" t="s">
        <v>17</v>
      </c>
      <c r="B20" s="24">
        <f t="shared" si="4"/>
        <v>136000000</v>
      </c>
      <c r="C20">
        <f>_xlfn.FILTERXML(_xlfn.WEBSERVICE(""&amp;B70&amp;"&amp;Element="&amp;$A20&amp;"&amp;Period="&amp;B$12&amp;"&amp;Year="&amp;B$13&amp;"&amp;CIK="&amp;$B$5&amp;"&amp;Ultimus=true&amp;NoYears=1&amp;DimReqd=false"),"//dataRequest/fact[last()]/accessionID")</f>
        <v>118521</v>
      </c>
      <c r="I20" s="24" t="str">
        <v>SeniorNotesTwoPointOneFivePercentDueTwentyTwentyTwoMember</v>
      </c>
      <c r="J20" s="24">
        <f t="shared" si="0"/>
        <v>0</v>
      </c>
      <c r="K20" s="49">
        <f>_xlfn.FILTERXML($P$9,"/dataRequest/fact[dimensions/dimensionPair[axisLocalName='"&amp;J$4&amp;"']/memberLocalName='"&amp;I20&amp;"']/amount")</f>
        <v>0</v>
      </c>
      <c r="L20" s="24">
        <f t="shared" si="3"/>
        <v>0</v>
      </c>
      <c r="M20" s="17"/>
      <c r="N20" s="49">
        <f t="shared" si="1"/>
        <v>2.1499999999999998E-2</v>
      </c>
    </row>
    <row r="21" spans="1:14" x14ac:dyDescent="0.45">
      <c r="A21" s="26" t="s">
        <v>43</v>
      </c>
      <c r="B21" s="24" t="str">
        <f>_xlfn.FILTERXML(_xlfn.WEBSERVICE(""&amp;$B$70&amp;"&amp;Element="&amp;$A21&amp;"&amp;Period="&amp;B$12&amp;"&amp;Year="&amp;B$13&amp;"&amp;CIK="&amp;$B$5&amp;"&amp;Ultimus=true&amp;NoYears=1&amp;DimReqd=false"),"/dataRequest/fact[last()]/amount")</f>
        <v>NIL</v>
      </c>
      <c r="C21" t="e">
        <f>_xlfn.FILTERXML(_xlfn.WEBSERVICE(""&amp;B65&amp;"&amp;Element="&amp;$A21&amp;"&amp;Period="&amp;B$12&amp;"&amp;Year="&amp;B$13&amp;"&amp;CIK="&amp;$B$5&amp;"&amp;Ultimus=true&amp;NoYears=1&amp;DimReqd=false"),"//dataRequest/fact[last()]/accessionID")</f>
        <v>#VALUE!</v>
      </c>
      <c r="I21" s="24" t="str">
        <v>SwissFrancDenominatedSeniorNotesZeroPointThreeEightPercentDueTwentyTwentyFourMember</v>
      </c>
      <c r="J21" s="24">
        <f t="shared" si="0"/>
        <v>0</v>
      </c>
      <c r="K21" s="49">
        <f t="shared" si="2"/>
        <v>0</v>
      </c>
      <c r="L21" s="24">
        <f t="shared" si="3"/>
        <v>0</v>
      </c>
      <c r="M21" s="17"/>
      <c r="N21" s="49">
        <f t="shared" si="1"/>
        <v>3.8E-3</v>
      </c>
    </row>
    <row r="22" spans="1:14" ht="24.4" customHeight="1" x14ac:dyDescent="0.45">
      <c r="A22" s="26" t="s">
        <v>18</v>
      </c>
      <c r="B22" s="24" t="str">
        <f t="shared" si="4"/>
        <v>NIL</v>
      </c>
      <c r="I22" s="24" t="str">
        <v>SeniorNotesTwoPointFiveZeroPercentDueTwentyTwentyFiveMember</v>
      </c>
      <c r="J22" s="24">
        <f t="shared" si="0"/>
        <v>0</v>
      </c>
      <c r="K22" s="49">
        <f t="shared" si="2"/>
        <v>0</v>
      </c>
      <c r="L22" s="24">
        <f t="shared" si="3"/>
        <v>0</v>
      </c>
      <c r="M22" s="17"/>
      <c r="N22" s="49">
        <f t="shared" si="1"/>
        <v>2.5000000000000001E-2</v>
      </c>
    </row>
    <row r="23" spans="1:14" x14ac:dyDescent="0.45">
      <c r="A23" s="26" t="s">
        <v>19</v>
      </c>
      <c r="B23" s="24" t="str">
        <f t="shared" si="4"/>
        <v>NIL</v>
      </c>
      <c r="I23" s="24" t="str">
        <v>SwissFrancDenominatedSeniorNotesZeroPointSevenFivePercentDueTwentyThirtyMember</v>
      </c>
      <c r="J23" s="24">
        <f t="shared" si="0"/>
        <v>0</v>
      </c>
      <c r="K23" s="49">
        <f t="shared" si="2"/>
        <v>0</v>
      </c>
      <c r="L23" s="24">
        <f t="shared" si="3"/>
        <v>0</v>
      </c>
      <c r="M23" s="17"/>
      <c r="N23" s="49">
        <f t="shared" si="1"/>
        <v>7.4999999999999997E-3</v>
      </c>
    </row>
    <row r="24" spans="1:14" x14ac:dyDescent="0.45">
      <c r="A24" s="26" t="s">
        <v>20</v>
      </c>
      <c r="B24" s="24" t="str">
        <f t="shared" si="4"/>
        <v>NIL</v>
      </c>
      <c r="I24" s="24" t="str">
        <v>SeniorNotesThreePointFourFivePercentDueTwentyFortyFiveMember</v>
      </c>
      <c r="J24" s="24">
        <f t="shared" si="0"/>
        <v>0</v>
      </c>
      <c r="K24" s="49">
        <f t="shared" si="2"/>
        <v>0</v>
      </c>
      <c r="L24" s="24">
        <f t="shared" si="3"/>
        <v>0</v>
      </c>
      <c r="M24" s="17"/>
      <c r="N24" s="49">
        <f t="shared" si="1"/>
        <v>3.4500000000000003E-2</v>
      </c>
    </row>
    <row r="25" spans="1:14" x14ac:dyDescent="0.45">
      <c r="A25" s="26" t="s">
        <v>21</v>
      </c>
      <c r="B25" s="24">
        <f t="shared" si="4"/>
        <v>16960000000</v>
      </c>
      <c r="I25" s="24" t="str">
        <v>SeniorNotesDueTwentySeventeenMember</v>
      </c>
      <c r="J25" s="24">
        <f t="shared" si="0"/>
        <v>1000000000</v>
      </c>
      <c r="K25" s="49">
        <f t="shared" si="2"/>
        <v>3.0999999999999999E-3</v>
      </c>
      <c r="L25" s="24">
        <f t="shared" si="3"/>
        <v>3100000</v>
      </c>
      <c r="M25" s="17"/>
      <c r="N25" s="49" t="e">
        <f t="shared" si="1"/>
        <v>#VALUE!</v>
      </c>
    </row>
    <row r="26" spans="1:14" x14ac:dyDescent="0.45">
      <c r="A26" s="26" t="s">
        <v>22</v>
      </c>
      <c r="B26" s="24" t="str">
        <f t="shared" si="4"/>
        <v>NIL</v>
      </c>
      <c r="I26" s="24" t="str">
        <v>SeniorNotesDueTwentyTwentyMember</v>
      </c>
      <c r="J26" s="24">
        <f t="shared" si="0"/>
        <v>0</v>
      </c>
      <c r="K26" s="49">
        <f t="shared" si="2"/>
        <v>0</v>
      </c>
      <c r="L26" s="24">
        <f t="shared" si="3"/>
        <v>0</v>
      </c>
      <c r="M26" s="17"/>
      <c r="N26" s="49" t="e">
        <f t="shared" si="1"/>
        <v>#VALUE!</v>
      </c>
    </row>
    <row r="27" spans="1:14" x14ac:dyDescent="0.45">
      <c r="A27" s="26" t="s">
        <v>23</v>
      </c>
      <c r="B27" s="24" t="str">
        <f t="shared" si="4"/>
        <v>NIL</v>
      </c>
      <c r="D27" s="7"/>
      <c r="I27" s="24" t="str">
        <v>SeniorNotesTwoPointFourZeroPercentDueTwentyTwentyThreeMember</v>
      </c>
      <c r="J27" s="24">
        <f t="shared" si="0"/>
        <v>5500000000</v>
      </c>
      <c r="K27" s="49">
        <f t="shared" si="2"/>
        <v>2.4400000000000002E-2</v>
      </c>
      <c r="L27" s="24">
        <f t="shared" si="3"/>
        <v>134200000.00000001</v>
      </c>
      <c r="M27" s="17"/>
      <c r="N27" s="49">
        <f t="shared" si="1"/>
        <v>2.4E-2</v>
      </c>
    </row>
    <row r="28" spans="1:14" x14ac:dyDescent="0.45">
      <c r="A28" s="26" t="s">
        <v>24</v>
      </c>
      <c r="B28" s="24" t="str">
        <f t="shared" si="4"/>
        <v>NIL</v>
      </c>
      <c r="I28" s="24" t="str">
        <v>SeniorNotesTwoPointEightFivePercentDueTwentyTwentyOneMember</v>
      </c>
      <c r="J28" s="24">
        <f t="shared" si="0"/>
        <v>3000000000</v>
      </c>
      <c r="K28" s="49">
        <f t="shared" si="2"/>
        <v>7.9000000000000008E-3</v>
      </c>
      <c r="L28" s="24">
        <f t="shared" si="3"/>
        <v>23700000.000000004</v>
      </c>
      <c r="M28" s="17"/>
      <c r="N28" s="49">
        <f t="shared" si="1"/>
        <v>2.8500000000000001E-2</v>
      </c>
    </row>
    <row r="29" spans="1:14" x14ac:dyDescent="0.45">
      <c r="A29" s="26" t="s">
        <v>25</v>
      </c>
      <c r="B29" s="24" t="str">
        <f t="shared" si="4"/>
        <v>NIL</v>
      </c>
      <c r="I29" s="24" t="str">
        <v>SeniorNotesDueTwentyNineteenMember</v>
      </c>
      <c r="J29" s="24">
        <f t="shared" si="0"/>
        <v>1000000000</v>
      </c>
      <c r="K29" s="49">
        <f t="shared" si="2"/>
        <v>5.4000000000000003E-3</v>
      </c>
      <c r="L29" s="24">
        <f t="shared" si="3"/>
        <v>5400000</v>
      </c>
      <c r="M29" s="17"/>
      <c r="N29" s="49" t="e">
        <f t="shared" si="1"/>
        <v>#VALUE!</v>
      </c>
    </row>
    <row r="30" spans="1:14" x14ac:dyDescent="0.45">
      <c r="A30" s="26" t="s">
        <v>26</v>
      </c>
      <c r="B30" s="25">
        <f>_xlfn.FILTERXML(_xlfn.WEBSERVICE(""&amp;$B$70&amp;"&amp;Element="&amp;$A30&amp;"&amp;Period="&amp;B$12&amp;"&amp;Year="&amp;B$13&amp;"&amp;CIK="&amp;$B$5&amp;"&amp;Ultimus=true&amp;NoYears=1&amp;DimReqd=false"),"/dataRequest/fact[last()]/amount")</f>
        <v>645000000</v>
      </c>
      <c r="I30" s="24" t="e">
        <v>#N/A</v>
      </c>
      <c r="J30" s="24">
        <f t="shared" si="0"/>
        <v>0</v>
      </c>
      <c r="K30" s="49" t="e">
        <f t="shared" si="2"/>
        <v>#N/A</v>
      </c>
      <c r="L30" s="24">
        <f t="shared" si="3"/>
        <v>0</v>
      </c>
      <c r="M30" s="17"/>
      <c r="N30" s="49" t="e">
        <f t="shared" si="1"/>
        <v>#N/A</v>
      </c>
    </row>
    <row r="31" spans="1:14" x14ac:dyDescent="0.45">
      <c r="I31" s="24" t="e">
        <v>#N/A</v>
      </c>
      <c r="J31" s="24">
        <f t="shared" si="0"/>
        <v>0</v>
      </c>
      <c r="K31" s="49" t="e">
        <f t="shared" si="2"/>
        <v>#N/A</v>
      </c>
      <c r="L31" s="24">
        <f t="shared" si="3"/>
        <v>0</v>
      </c>
      <c r="M31" s="17"/>
      <c r="N31" s="49" t="e">
        <f t="shared" si="1"/>
        <v>#N/A</v>
      </c>
    </row>
    <row r="32" spans="1:14" ht="19.5" thickBot="1" x14ac:dyDescent="0.55000000000000004">
      <c r="A32" s="8" t="s">
        <v>31</v>
      </c>
      <c r="I32" s="24" t="e">
        <v>#N/A</v>
      </c>
      <c r="J32" s="24">
        <f t="shared" si="0"/>
        <v>0</v>
      </c>
      <c r="K32" s="49" t="e">
        <f t="shared" si="2"/>
        <v>#N/A</v>
      </c>
      <c r="L32" s="24">
        <f t="shared" si="3"/>
        <v>0</v>
      </c>
      <c r="M32" s="17"/>
      <c r="N32" s="49" t="e">
        <f t="shared" si="1"/>
        <v>#N/A</v>
      </c>
    </row>
    <row r="33" spans="1:14" x14ac:dyDescent="0.45">
      <c r="A33" s="22" t="s">
        <v>27</v>
      </c>
      <c r="B33" s="43">
        <f>MAX(IF(B24="NIL",0,B24)+IF(B26="NIL",0,B26)+IF(B28="NIL",0,B28)+IF(B29="NIL",0,B29),IF(B22="NIL",0,B22),IF(B25="NIL",0,B25))</f>
        <v>16960000000</v>
      </c>
      <c r="I33" s="24" t="e">
        <v>#N/A</v>
      </c>
      <c r="J33" s="24">
        <f t="shared" si="0"/>
        <v>0</v>
      </c>
      <c r="K33" s="49" t="e">
        <f t="shared" si="2"/>
        <v>#N/A</v>
      </c>
      <c r="L33" s="24">
        <f t="shared" si="3"/>
        <v>0</v>
      </c>
      <c r="M33" s="17"/>
      <c r="N33" s="49" t="e">
        <f t="shared" si="1"/>
        <v>#N/A</v>
      </c>
    </row>
    <row r="34" spans="1:14" x14ac:dyDescent="0.45">
      <c r="A34" s="22" t="s">
        <v>28</v>
      </c>
      <c r="B34" s="44">
        <f>IF(B19="NIL",0,B19)/IF(B18="NIL",0,B18)</f>
        <v>3.6732673267326734</v>
      </c>
      <c r="I34" s="24" t="e">
        <v>#N/A</v>
      </c>
      <c r="J34" s="46">
        <f t="shared" si="0"/>
        <v>0</v>
      </c>
      <c r="K34" s="49" t="e">
        <f t="shared" si="2"/>
        <v>#N/A</v>
      </c>
      <c r="L34" s="24">
        <f t="shared" si="3"/>
        <v>0</v>
      </c>
      <c r="M34" s="18"/>
      <c r="N34" s="49" t="e">
        <f t="shared" si="1"/>
        <v>#N/A</v>
      </c>
    </row>
    <row r="35" spans="1:14" ht="14.65" thickBot="1" x14ac:dyDescent="0.5">
      <c r="A35" s="22" t="s">
        <v>29</v>
      </c>
      <c r="B35" s="44">
        <f>IFERROR(IFERROR(B20,B21)/B33,L32)</f>
        <v>8.0188679245283018E-3</v>
      </c>
      <c r="J35" s="47">
        <f>SUM(J8:J34)</f>
        <v>29000000000</v>
      </c>
      <c r="K35" s="48"/>
      <c r="L35" s="47">
        <f>SUM(L8:L34)</f>
        <v>444050000</v>
      </c>
      <c r="M35" s="16">
        <f>L35/J35</f>
        <v>1.5312068965517241E-2</v>
      </c>
      <c r="N35" s="15"/>
    </row>
    <row r="36" spans="1:14" ht="15" thickTop="1" thickBot="1" x14ac:dyDescent="0.5">
      <c r="A36" s="22" t="s">
        <v>30</v>
      </c>
      <c r="B36" s="45">
        <f>NPV(B35,B41:B65)</f>
        <v>4549512707.5096149</v>
      </c>
    </row>
    <row r="39" spans="1:14" ht="19.149999999999999" x14ac:dyDescent="0.5">
      <c r="A39" s="3" t="s">
        <v>32</v>
      </c>
      <c r="B39" s="2"/>
    </row>
    <row r="40" spans="1:14" x14ac:dyDescent="0.45">
      <c r="A40" s="22" t="s">
        <v>33</v>
      </c>
      <c r="B40" s="4" t="s">
        <v>34</v>
      </c>
    </row>
    <row r="41" spans="1:14" x14ac:dyDescent="0.45">
      <c r="A41" s="27">
        <f>B$13</f>
        <v>2013</v>
      </c>
      <c r="B41" s="24">
        <f>B14</f>
        <v>610000000</v>
      </c>
    </row>
    <row r="42" spans="1:14" x14ac:dyDescent="0.45">
      <c r="A42" s="27">
        <f>A41+1</f>
        <v>2014</v>
      </c>
      <c r="B42" s="24">
        <f>B15</f>
        <v>613000000</v>
      </c>
    </row>
    <row r="43" spans="1:14" x14ac:dyDescent="0.45">
      <c r="A43" s="27">
        <f>A42+1</f>
        <v>2015</v>
      </c>
      <c r="B43" s="24">
        <f>B16</f>
        <v>587000000</v>
      </c>
    </row>
    <row r="44" spans="1:14" x14ac:dyDescent="0.45">
      <c r="A44" s="27">
        <f>A43+1</f>
        <v>2016</v>
      </c>
      <c r="B44" s="24">
        <f>B17</f>
        <v>551000000</v>
      </c>
    </row>
    <row r="45" spans="1:14" x14ac:dyDescent="0.45">
      <c r="A45" s="27">
        <f>A44+1</f>
        <v>2017</v>
      </c>
      <c r="B45" s="24">
        <f>B18</f>
        <v>505000000</v>
      </c>
    </row>
    <row r="46" spans="1:14" x14ac:dyDescent="0.45">
      <c r="A46" s="27">
        <f>IF(B$34&gt;ROW(A46)-ROW(A$46),A45+1,"")</f>
        <v>2018</v>
      </c>
      <c r="B46" s="24">
        <f>IF(B$34&gt;ROW(A46)-ROW(A$45),B45,IF(B$34&gt;ROW(A46)-ROW(A$46),(B$34-(ROW(A46)-ROW(A$46)))*B45,""))</f>
        <v>505000000</v>
      </c>
    </row>
    <row r="47" spans="1:14" x14ac:dyDescent="0.45">
      <c r="A47" s="27">
        <f>IF(B$34&gt;ROW(A47)-ROW(A$46),A46+1,"")</f>
        <v>2019</v>
      </c>
      <c r="B47" s="24">
        <f t="shared" ref="B47:B59" si="5">IF(B$34&gt;ROW(A47)-ROW(A$45),B46,IF(B$34&gt;ROW(A47)-ROW(A$46),(B$34-(ROW(A47)-ROW(A$46)))*B46,""))</f>
        <v>505000000</v>
      </c>
    </row>
    <row r="48" spans="1:14" x14ac:dyDescent="0.45">
      <c r="A48" s="27">
        <f>IF(B$34&gt;ROW(A48)-ROW(A$46),A47+1,"")</f>
        <v>2020</v>
      </c>
      <c r="B48" s="24">
        <f t="shared" si="5"/>
        <v>505000000</v>
      </c>
    </row>
    <row r="49" spans="1:2" x14ac:dyDescent="0.45">
      <c r="A49" s="27">
        <f t="shared" ref="A49:A57" si="6">IF(B$34&gt;ROW(A49)-ROW(A$46),A48+1,"")</f>
        <v>2021</v>
      </c>
      <c r="B49" s="24">
        <f t="shared" si="5"/>
        <v>340000000.00000006</v>
      </c>
    </row>
    <row r="50" spans="1:2" x14ac:dyDescent="0.45">
      <c r="A50" s="5" t="str">
        <f t="shared" si="6"/>
        <v/>
      </c>
      <c r="B50" s="24" t="str">
        <f t="shared" si="5"/>
        <v/>
      </c>
    </row>
    <row r="51" spans="1:2" x14ac:dyDescent="0.45">
      <c r="A51" s="5" t="str">
        <f t="shared" si="6"/>
        <v/>
      </c>
      <c r="B51" s="24" t="str">
        <f t="shared" si="5"/>
        <v/>
      </c>
    </row>
    <row r="52" spans="1:2" x14ac:dyDescent="0.45">
      <c r="A52" s="5" t="str">
        <f t="shared" si="6"/>
        <v/>
      </c>
      <c r="B52" s="24" t="str">
        <f t="shared" si="5"/>
        <v/>
      </c>
    </row>
    <row r="53" spans="1:2" x14ac:dyDescent="0.45">
      <c r="A53" s="5" t="str">
        <f t="shared" si="6"/>
        <v/>
      </c>
      <c r="B53" s="24" t="str">
        <f t="shared" si="5"/>
        <v/>
      </c>
    </row>
    <row r="54" spans="1:2" x14ac:dyDescent="0.45">
      <c r="A54" s="5" t="str">
        <f t="shared" si="6"/>
        <v/>
      </c>
      <c r="B54" s="24" t="str">
        <f t="shared" si="5"/>
        <v/>
      </c>
    </row>
    <row r="55" spans="1:2" x14ac:dyDescent="0.45">
      <c r="A55" s="5" t="str">
        <f t="shared" si="6"/>
        <v/>
      </c>
      <c r="B55" s="24" t="str">
        <f t="shared" si="5"/>
        <v/>
      </c>
    </row>
    <row r="56" spans="1:2" x14ac:dyDescent="0.45">
      <c r="A56" s="5" t="str">
        <f t="shared" si="6"/>
        <v/>
      </c>
      <c r="B56" s="24" t="str">
        <f t="shared" si="5"/>
        <v/>
      </c>
    </row>
    <row r="57" spans="1:2" x14ac:dyDescent="0.45">
      <c r="A57" s="5" t="str">
        <f t="shared" si="6"/>
        <v/>
      </c>
      <c r="B57" s="24" t="str">
        <f t="shared" si="5"/>
        <v/>
      </c>
    </row>
    <row r="58" spans="1:2" x14ac:dyDescent="0.45">
      <c r="A58" s="5"/>
      <c r="B58" s="24" t="str">
        <f t="shared" si="5"/>
        <v/>
      </c>
    </row>
    <row r="59" spans="1:2" x14ac:dyDescent="0.45">
      <c r="A59" s="5"/>
      <c r="B59" s="24" t="str">
        <f t="shared" si="5"/>
        <v/>
      </c>
    </row>
    <row r="68" spans="1:2" x14ac:dyDescent="0.45">
      <c r="A68" s="53" t="s">
        <v>35</v>
      </c>
      <c r="B68" s="9"/>
    </row>
    <row r="69" spans="1:2" x14ac:dyDescent="0.45">
      <c r="A69" s="52" t="s">
        <v>61</v>
      </c>
      <c r="B69" s="9"/>
    </row>
    <row r="70" spans="1:2" ht="57" x14ac:dyDescent="0.45">
      <c r="A70" s="22" t="s">
        <v>36</v>
      </c>
      <c r="B70" s="10" t="s">
        <v>58</v>
      </c>
    </row>
    <row r="71" spans="1:2" x14ac:dyDescent="0.45">
      <c r="A71" s="12" t="s">
        <v>62</v>
      </c>
    </row>
    <row r="72" spans="1:2" ht="28.5" x14ac:dyDescent="0.45">
      <c r="A72" s="22" t="s">
        <v>36</v>
      </c>
      <c r="B72" s="10" t="s">
        <v>60</v>
      </c>
    </row>
  </sheetData>
  <hyperlinks>
    <hyperlink ref="B70" r:id="rId1"/>
    <hyperlink ref="B72" r:id="rId2"/>
  </hyperlinks>
  <pageMargins left="0.7" right="0.7" top="0.75" bottom="0.75" header="0.3" footer="0.3"/>
  <pageSetup paperSize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campbellpryde</cp:lastModifiedBy>
  <dcterms:created xsi:type="dcterms:W3CDTF">2015-07-30T23:52:32Z</dcterms:created>
  <dcterms:modified xsi:type="dcterms:W3CDTF">2015-09-04T19:54:28Z</dcterms:modified>
</cp:coreProperties>
</file>