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ON\Desktop\Analysis Projects\Crowdfunding Analysis\"/>
    </mc:Choice>
  </mc:AlternateContent>
  <xr:revisionPtr revIDLastSave="0" documentId="13_ncr:1_{827093A0-CE49-4834-95CC-FB8161BA5BF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Outcomes Based on Goals" sheetId="11" r:id="rId1"/>
    <sheet name="Theater Outcomes by Launch Date" sheetId="10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2" i="1" l="1"/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C2" i="11"/>
  <c r="C13" i="11"/>
  <c r="C12" i="11"/>
  <c r="C11" i="11"/>
  <c r="C10" i="11"/>
  <c r="C9" i="11"/>
  <c r="C8" i="11"/>
  <c r="C7" i="11"/>
  <c r="C3" i="11"/>
  <c r="C6" i="11"/>
  <c r="C5" i="11"/>
  <c r="C4" i="11"/>
  <c r="D13" i="11"/>
  <c r="D12" i="11"/>
  <c r="D11" i="11"/>
  <c r="D10" i="11"/>
  <c r="D9" i="11"/>
  <c r="D8" i="11"/>
  <c r="D7" i="11"/>
  <c r="D6" i="11"/>
  <c r="D5" i="11"/>
  <c r="D3" i="11"/>
  <c r="D4" i="11"/>
  <c r="D2" i="11"/>
  <c r="B2" i="11"/>
  <c r="B13" i="11"/>
  <c r="B12" i="11"/>
  <c r="B11" i="11"/>
  <c r="B10" i="11"/>
  <c r="B9" i="11"/>
  <c r="B8" i="11"/>
  <c r="B7" i="11"/>
  <c r="B6" i="11"/>
  <c r="B5" i="11"/>
  <c r="B4" i="11"/>
  <c r="B3" i="11"/>
  <c r="S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<sst xmlns="http://schemas.openxmlformats.org/spreadsheetml/2006/main" count="33042" uniqueCount="8403">
  <si>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</si>
  <si>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</si>
  <si>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</si>
  <si>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</si>
  <si>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</si>
  <si>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</si>
  <si>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</si>
  <si>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</si>
  <si>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</si>
  <si>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</si>
  <si>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</si>
  <si>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</si>
  <si>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</si>
  <si>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</si>
  <si>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</si>
  <si>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</si>
  <si>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</si>
  <si>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</si>
  <si>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</si>
  <si>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</si>
  <si>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</si>
  <si>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</si>
  <si>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</si>
  <si>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</si>
  <si>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</si>
  <si>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</si>
  <si>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</si>
  <si>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</si>
  <si>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</si>
  <si>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</si>
  <si>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</si>
  <si>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</si>
  <si>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</si>
  <si>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</si>
  <si>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</si>
  <si>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</si>
  <si>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</si>
  <si>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</si>
  <si>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</si>
  <si>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</si>
  <si>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</si>
  <si>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</si>
  <si>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</si>
  <si>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</si>
  <si>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</si>
  <si>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</si>
  <si>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</si>
  <si>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</si>
  <si>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</si>
  <si>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</si>
  <si>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</si>
  <si>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</si>
  <si>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</si>
  <si>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</si>
  <si>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</si>
  <si>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</si>
  <si>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</si>
  <si>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</si>
  <si>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</si>
  <si>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</si>
  <si>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</si>
  <si>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</si>
  <si>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</si>
  <si>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</si>
  <si>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</si>
  <si>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</si>
  <si>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</si>
  <si>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</si>
  <si>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</si>
  <si>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</si>
  <si>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</si>
  <si>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</si>
  <si>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</si>
  <si>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</si>
  <si>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</si>
  <si>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</si>
  <si>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</si>
  <si>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</si>
  <si>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</si>
  <si>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</si>
  <si>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</si>
  <si>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</si>
  <si>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</si>
  <si>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</si>
  <si>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</si>
  <si>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</si>
  <si>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</si>
  <si>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</si>
  <si>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</si>
  <si>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</si>
  <si>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</si>
  <si>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</si>
  <si>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</si>
  <si>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</si>
  <si>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</si>
  <si>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</si>
  <si>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</si>
  <si>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</si>
  <si>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</si>
  <si>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</si>
  <si>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</si>
  <si>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</si>
  <si>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</si>
  <si>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</si>
  <si>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</si>
  <si>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</si>
  <si>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</si>
  <si>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</si>
  <si>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</si>
  <si>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</si>
  <si>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</si>
  <si>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</si>
  <si>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</si>
  <si>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</si>
  <si>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</si>
  <si>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</si>
  <si>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</si>
  <si>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</si>
  <si>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</si>
  <si>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</si>
  <si>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</si>
  <si>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</si>
  <si>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</si>
  <si>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</si>
  <si>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</si>
  <si>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</si>
  <si>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</si>
  <si>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</si>
  <si>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</si>
  <si>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</si>
  <si>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</si>
  <si>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</si>
  <si>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</si>
  <si>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</si>
  <si>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</si>
  <si>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</si>
  <si>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</si>
  <si>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</si>
  <si>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</si>
  <si>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</si>
  <si>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</si>
  <si>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</si>
  <si>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</si>
  <si>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</si>
  <si>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</si>
  <si>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</si>
  <si>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</si>
  <si>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</si>
  <si>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</si>
  <si>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</si>
  <si>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</si>
  <si>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</si>
  <si>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</si>
  <si>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</si>
  <si>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</si>
  <si>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</si>
  <si>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</si>
  <si>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</si>
  <si>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</si>
  <si>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</si>
  <si>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</si>
  <si>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</si>
  <si>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</si>
  <si>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</si>
  <si>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</si>
  <si>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</si>
  <si>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</si>
  <si>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</si>
  <si>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</si>
  <si>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</si>
  <si>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</si>
  <si>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</si>
  <si>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</si>
  <si>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</si>
  <si>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</si>
  <si>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</si>
  <si>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</si>
  <si>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</si>
  <si>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</si>
  <si>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</si>
  <si>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</si>
  <si>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</si>
  <si>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</si>
  <si>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</si>
  <si>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</si>
  <si>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</si>
  <si>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</si>
  <si>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</si>
  <si>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</si>
  <si>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</si>
  <si>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</si>
  <si>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</si>
  <si>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</si>
  <si>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</si>
  <si>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</si>
  <si>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</si>
  <si>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</si>
  <si>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</si>
  <si>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</si>
  <si>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</si>
  <si>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</si>
  <si>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</si>
  <si>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</si>
  <si>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</si>
  <si>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</si>
  <si>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</si>
  <si>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</si>
  <si>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</si>
  <si>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</si>
  <si>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</si>
  <si>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</si>
  <si>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</si>
  <si>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</si>
  <si>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</si>
  <si>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</si>
  <si>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</si>
  <si>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</si>
  <si>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</si>
  <si>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</si>
  <si>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</si>
  <si>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</si>
  <si>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</si>
  <si>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</si>
  <si>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</si>
  <si>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</si>
  <si>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</si>
  <si>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</si>
  <si>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</si>
  <si>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</si>
  <si>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</si>
  <si>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</si>
  <si>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</si>
  <si>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</si>
  <si>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</si>
  <si>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</si>
  <si>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</si>
  <si>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</si>
  <si>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</si>
  <si>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</si>
  <si>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</si>
  <si>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</si>
  <si>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</si>
  <si>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</si>
  <si>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</si>
  <si>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</si>
  <si>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</si>
  <si>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</si>
  <si>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</si>
  <si>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</si>
  <si>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</si>
  <si>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</si>
  <si>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</si>
  <si>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</si>
  <si>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</si>
  <si>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</si>
  <si>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</si>
  <si>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</si>
  <si>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</si>
  <si>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</si>
  <si>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</si>
  <si>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</si>
  <si>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</si>
  <si>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</si>
  <si>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</si>
  <si>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</si>
  <si>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</si>
  <si>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</si>
  <si>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</si>
  <si>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</si>
  <si>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</si>
  <si>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</si>
  <si>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</si>
  <si>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</si>
  <si>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</si>
  <si>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</si>
  <si>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</si>
  <si>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</si>
  <si>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</si>
  <si>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</si>
  <si>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</si>
  <si>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</si>
  <si>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</si>
  <si>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</si>
  <si>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</si>
  <si>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</si>
  <si>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</si>
  <si>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</si>
  <si>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</si>
  <si>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</si>
  <si>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</si>
  <si>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</si>
  <si>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</si>
  <si>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</si>
  <si>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</si>
  <si>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</si>
  <si>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</si>
  <si>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</si>
  <si>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</si>
  <si>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</si>
  <si>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</si>
  <si>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</si>
  <si>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</si>
  <si>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</si>
  <si>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</si>
  <si>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</si>
  <si>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</si>
  <si>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</si>
  <si>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</si>
  <si>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</si>
  <si>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</si>
  <si>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</si>
  <si>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</si>
  <si>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</si>
  <si>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</si>
  <si>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</si>
  <si>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</si>
  <si>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</si>
  <si>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</si>
  <si>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</si>
  <si>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</si>
  <si>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</si>
  <si>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</si>
  <si>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</si>
  <si>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</si>
  <si>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</si>
  <si>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</si>
  <si>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</si>
  <si>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</si>
  <si>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</si>
  <si>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</si>
  <si>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</si>
  <si>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</si>
  <si>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</si>
  <si>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</si>
  <si>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</si>
  <si>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</si>
  <si>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</si>
  <si>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</si>
  <si>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</si>
  <si>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</si>
  <si>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</si>
  <si>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</si>
  <si>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</si>
  <si>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</si>
  <si>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</si>
  <si>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</si>
  <si>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</si>
  <si>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</si>
  <si>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</si>
  <si>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</si>
  <si>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</si>
  <si>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</si>
  <si>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</si>
  <si>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</si>
  <si>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</si>
  <si>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</si>
  <si>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</si>
  <si>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</si>
  <si>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</si>
  <si>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</si>
  <si>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</si>
  <si>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</si>
  <si>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</si>
  <si>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</si>
  <si>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</si>
  <si>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</si>
  <si>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</si>
  <si>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</si>
  <si>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</si>
  <si>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</si>
  <si>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</si>
  <si>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</si>
  <si>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</si>
  <si>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</si>
  <si>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</si>
  <si>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</si>
  <si>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</si>
  <si>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</si>
  <si>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</si>
  <si>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</si>
  <si>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</si>
  <si>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</si>
  <si>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</si>
  <si>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</si>
  <si>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</si>
  <si>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</si>
  <si>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</si>
  <si>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</si>
  <si>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</si>
  <si>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</si>
  <si>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</si>
  <si>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</si>
  <si>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</si>
  <si>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</si>
  <si>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</si>
  <si>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</si>
  <si>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</si>
  <si>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</si>
  <si>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</si>
  <si>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</si>
  <si>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</si>
  <si>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</si>
  <si>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</si>
  <si>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</si>
  <si>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</si>
  <si>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</si>
  <si>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</si>
  <si>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</si>
  <si>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</si>
  <si>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</si>
  <si>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</si>
  <si>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</si>
  <si>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</si>
  <si>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</si>
  <si>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</si>
  <si>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</si>
  <si>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</si>
  <si>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</si>
  <si>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</si>
  <si>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</si>
  <si>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</si>
  <si>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</si>
  <si>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</si>
  <si>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</si>
  <si>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</si>
  <si>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</si>
  <si>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</si>
  <si>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</si>
  <si>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</si>
  <si>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</si>
  <si>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</si>
  <si>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</si>
  <si>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</si>
  <si>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</si>
  <si>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</si>
  <si>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</si>
  <si>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</si>
  <si>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</si>
  <si>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</si>
  <si>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</si>
  <si>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</si>
  <si>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</si>
  <si>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</si>
  <si>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</si>
  <si>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</si>
  <si>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</si>
  <si>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</si>
  <si>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</si>
  <si>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</si>
  <si>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</si>
  <si>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</si>
  <si>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</si>
  <si>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</si>
  <si>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</si>
  <si>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</si>
  <si>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</si>
  <si>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</si>
  <si>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</si>
  <si>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</si>
  <si>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</si>
  <si>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</si>
  <si>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</si>
  <si>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</si>
  <si>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</si>
  <si>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</si>
  <si>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</si>
  <si>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</si>
  <si>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</si>
  <si>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</si>
  <si>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</si>
  <si>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</si>
  <si>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</si>
  <si>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</si>
  <si>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</si>
  <si>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</si>
  <si>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</si>
  <si>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</si>
  <si>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</si>
  <si>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</si>
  <si>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</si>
  <si>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</si>
  <si>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</si>
  <si>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</si>
  <si>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</si>
  <si>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</si>
  <si>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</si>
  <si>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</si>
  <si>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</si>
  <si>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</si>
  <si>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</si>
  <si>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</si>
  <si>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</si>
  <si>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</si>
  <si>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</si>
  <si>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</si>
  <si>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</si>
  <si>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</si>
  <si>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</si>
  <si>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</si>
  <si>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</si>
  <si>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</si>
  <si>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</si>
  <si>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</si>
  <si>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</si>
  <si>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</si>
  <si>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</si>
  <si>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</si>
  <si>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</si>
  <si>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</si>
  <si>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</si>
  <si>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</si>
  <si>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</si>
  <si>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</si>
  <si>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</si>
  <si>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</si>
  <si>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</si>
  <si>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</si>
  <si>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</si>
  <si>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</si>
  <si>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</si>
  <si>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</si>
  <si>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</si>
  <si>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</si>
  <si>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</si>
  <si>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</si>
  <si>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</si>
  <si>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</si>
  <si>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</si>
  <si>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</si>
  <si>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</si>
  <si>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</si>
  <si>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</si>
  <si>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</si>
  <si>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</si>
  <si>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</si>
  <si>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</si>
  <si>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</si>
  <si>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</si>
  <si>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</si>
  <si>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</si>
  <si>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</si>
  <si>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</si>
  <si>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</si>
  <si>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</si>
  <si>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</si>
  <si>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</si>
  <si>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</si>
  <si>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</si>
  <si>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</si>
  <si>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</si>
  <si>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</si>
  <si>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</si>
  <si>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</si>
  <si>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</si>
  <si>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</si>
  <si>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</si>
  <si>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</si>
  <si>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</si>
  <si>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</si>
  <si>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</si>
  <si>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</si>
  <si>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</si>
  <si>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</si>
  <si>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</si>
  <si>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</si>
  <si>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</si>
  <si>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</si>
  <si>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</si>
  <si>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</si>
  <si>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</si>
  <si>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</si>
  <si>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</si>
  <si>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</si>
  <si>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</si>
  <si>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</si>
  <si>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</si>
  <si>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</si>
  <si>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</si>
  <si>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</si>
  <si>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</si>
  <si>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</si>
  <si>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</si>
  <si>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</si>
  <si>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</si>
  <si>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</si>
  <si>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</si>
  <si>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</si>
  <si>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</si>
  <si>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</si>
  <si>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</si>
  <si>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</si>
  <si>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</si>
  <si>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</si>
  <si>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</si>
  <si>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</si>
  <si>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</si>
  <si>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</si>
  <si>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</si>
  <si>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</si>
  <si>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</si>
  <si>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</si>
  <si>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</si>
  <si>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</si>
  <si>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</si>
  <si>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</si>
  <si>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</si>
  <si>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</si>
  <si>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</si>
  <si>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</si>
  <si>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</si>
  <si>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</si>
  <si>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</si>
  <si>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</si>
  <si>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</si>
  <si>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</si>
  <si>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</si>
  <si>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</si>
  <si>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</si>
  <si>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</si>
  <si>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</si>
  <si>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</si>
  <si>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</si>
  <si>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</si>
  <si>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</si>
  <si>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</si>
  <si>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</si>
  <si>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</si>
  <si>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</si>
  <si>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</si>
  <si>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</si>
  <si>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</si>
  <si>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</si>
  <si>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</si>
  <si>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</si>
  <si>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</si>
  <si>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</si>
  <si>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</si>
  <si>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</si>
  <si>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</si>
  <si>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</si>
  <si>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</si>
  <si>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</si>
  <si>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</si>
  <si>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</si>
  <si>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</si>
  <si>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</si>
  <si>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</si>
  <si>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</si>
  <si>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</si>
  <si>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</si>
  <si>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</si>
  <si>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</si>
  <si>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</si>
  <si>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</si>
  <si>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</si>
  <si>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</si>
  <si>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</si>
  <si>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</si>
  <si>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</si>
  <si>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</si>
  <si>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</si>
  <si>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</si>
  <si>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</si>
  <si>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</si>
  <si>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</si>
  <si>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</si>
  <si>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</si>
  <si>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</si>
  <si>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</si>
  <si>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</si>
  <si>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</si>
  <si>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</si>
  <si>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</si>
  <si>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</si>
  <si>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</si>
  <si>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</si>
  <si>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</si>
  <si>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</si>
  <si>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</si>
  <si>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</si>
  <si>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</si>
  <si>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</si>
  <si>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</si>
  <si>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</si>
  <si>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</si>
  <si>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</si>
  <si>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</si>
  <si>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</si>
  <si>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</si>
  <si>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</si>
  <si>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</si>
  <si>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</si>
  <si>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</si>
  <si>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</si>
  <si>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</si>
  <si>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</si>
  <si>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</si>
  <si>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</si>
  <si>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</si>
  <si>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</si>
  <si>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</si>
  <si>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</si>
  <si>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</si>
  <si>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</si>
  <si>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</si>
  <si>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</si>
  <si>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</si>
  <si>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</si>
  <si>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</si>
  <si>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</si>
  <si>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</si>
  <si>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</si>
  <si>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</si>
  <si>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</si>
  <si>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</si>
  <si>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</si>
  <si>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</si>
  <si>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</si>
  <si>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</si>
  <si>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</si>
  <si>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</si>
  <si>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</si>
  <si>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</si>
  <si>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</si>
  <si>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</si>
  <si>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</si>
  <si>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</si>
  <si>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</si>
  <si>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</si>
  <si>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</si>
  <si>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</si>
  <si>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</si>
  <si>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</si>
  <si>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</si>
  <si>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</si>
  <si>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</si>
  <si>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</si>
  <si>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</si>
  <si>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</si>
  <si>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</si>
  <si>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</si>
  <si>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</si>
  <si>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</si>
  <si>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</si>
  <si>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</si>
  <si>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</si>
  <si>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</si>
  <si>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</si>
  <si>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</si>
  <si>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</si>
  <si>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</si>
  <si>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</si>
  <si>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</si>
  <si>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</si>
  <si>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</si>
  <si>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</si>
  <si>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</si>
  <si>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</si>
  <si>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</si>
  <si>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</si>
  <si>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</si>
  <si>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</si>
  <si>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</si>
  <si>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</si>
  <si>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</si>
  <si>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</si>
  <si>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</si>
  <si>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</si>
  <si>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</si>
  <si>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</si>
  <si>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</si>
  <si>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</si>
  <si>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</si>
  <si>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</si>
  <si>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</si>
  <si>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</si>
  <si>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</si>
  <si>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</si>
  <si>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</si>
  <si>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</si>
  <si>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</si>
  <si>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</si>
  <si>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</si>
  <si>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</si>
  <si>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</si>
  <si>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</si>
  <si>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</si>
  <si>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</si>
  <si>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</si>
  <si>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</si>
  <si>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</si>
  <si>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</si>
  <si>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</si>
  <si>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</si>
  <si>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</si>
  <si>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</si>
  <si>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</si>
  <si>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</si>
  <si>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</si>
  <si>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</si>
  <si>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</si>
  <si>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</si>
  <si>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</si>
  <si>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</si>
  <si>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</si>
  <si>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</si>
  <si>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</si>
  <si>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</si>
  <si>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</si>
  <si>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</si>
  <si>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</si>
  <si>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</si>
  <si>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</si>
  <si>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</si>
  <si>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</si>
  <si>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</si>
  <si>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</si>
  <si>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</si>
  <si>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</si>
  <si>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</si>
  <si>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</si>
  <si>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</si>
  <si>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</si>
  <si>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</si>
  <si>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</si>
  <si>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</si>
  <si>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</si>
  <si>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</si>
  <si>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</si>
  <si>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</si>
  <si>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</si>
  <si>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</si>
  <si>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</si>
  <si>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</si>
  <si>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</si>
  <si>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</si>
  <si>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</si>
  <si>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</si>
  <si>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</si>
  <si>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</si>
  <si>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</si>
  <si>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</si>
  <si>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</si>
  <si>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</si>
  <si>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</si>
  <si>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</si>
  <si>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</si>
  <si>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</si>
  <si>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</si>
  <si>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</si>
  <si>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</si>
  <si>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</si>
  <si>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</si>
  <si>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</si>
  <si>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</si>
  <si>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</si>
  <si>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</si>
  <si>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</si>
  <si>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</si>
  <si>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</si>
  <si>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</si>
  <si>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</si>
  <si>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</si>
  <si>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</si>
  <si>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</si>
  <si>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</si>
  <si>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</si>
  <si>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</si>
  <si>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</si>
  <si>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</si>
  <si>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</si>
  <si>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</si>
  <si>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</si>
  <si>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</si>
  <si>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</si>
  <si>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</si>
  <si>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</si>
  <si>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</si>
  <si>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</si>
  <si>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</si>
  <si>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</si>
  <si>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</si>
  <si>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</si>
  <si>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</si>
  <si>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</si>
  <si>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</si>
  <si>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</si>
  <si>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</si>
  <si>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</si>
  <si>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</si>
  <si>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</si>
  <si>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</si>
  <si>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</si>
  <si>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</si>
  <si>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</si>
  <si>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</si>
  <si>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</si>
  <si>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</si>
  <si>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</si>
  <si>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</si>
  <si>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</si>
  <si>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</si>
  <si>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</si>
  <si>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</si>
  <si>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</si>
  <si>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</si>
  <si>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</si>
  <si>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</si>
  <si>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</si>
  <si>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</si>
  <si>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</si>
  <si>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</si>
  <si>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</si>
  <si>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</si>
  <si>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</si>
  <si>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</si>
  <si>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</si>
  <si>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</si>
  <si>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</si>
  <si>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</si>
  <si>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</si>
  <si>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</si>
  <si>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</si>
  <si>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</si>
  <si>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</si>
  <si>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</si>
  <si>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</si>
  <si>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</si>
  <si>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</si>
  <si>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</si>
  <si>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</si>
  <si>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</si>
  <si>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</si>
  <si>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</si>
  <si>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</si>
  <si>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</si>
  <si>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</si>
  <si>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</si>
  <si>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</si>
  <si>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</si>
  <si>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</si>
  <si>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</si>
  <si>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</si>
  <si>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</si>
  <si>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</si>
  <si>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</si>
  <si>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</si>
  <si>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</si>
  <si>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</si>
  <si>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</si>
  <si>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</si>
  <si>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</si>
  <si>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</si>
  <si>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</si>
  <si>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</si>
  <si>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</si>
  <si>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</si>
  <si>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</si>
  <si>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</si>
  <si>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</si>
  <si>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</si>
  <si>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</si>
  <si>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</si>
  <si>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</si>
  <si>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</si>
  <si>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</si>
  <si>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</si>
  <si>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</si>
  <si>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</si>
  <si>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</si>
  <si>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</si>
  <si>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</si>
  <si>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</si>
  <si>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</si>
  <si>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</si>
  <si>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</si>
  <si>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</si>
  <si>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</si>
  <si>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</si>
  <si>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</si>
  <si>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</si>
  <si>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</si>
  <si>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</si>
  <si>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</si>
  <si>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</si>
  <si>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</si>
  <si>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</si>
  <si>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</si>
  <si>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</si>
  <si>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</si>
  <si>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</si>
  <si>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</si>
  <si>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</si>
  <si>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</si>
  <si>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</si>
  <si>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</si>
  <si>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</si>
  <si>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</si>
  <si>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</si>
  <si>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</si>
  <si>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</si>
  <si>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</si>
  <si>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</si>
  <si>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</si>
  <si>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</si>
  <si>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</si>
  <si>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</si>
  <si>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</si>
  <si>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</si>
  <si>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</si>
  <si>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</si>
  <si>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</si>
  <si>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</si>
  <si>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</si>
  <si>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</si>
  <si>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</si>
  <si>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</si>
  <si>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</si>
  <si>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</si>
  <si>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</si>
  <si>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</si>
  <si>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</si>
  <si>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</si>
  <si>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</si>
  <si>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</si>
  <si>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</si>
  <si>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</si>
  <si>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</si>
  <si>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</si>
  <si>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</si>
  <si>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</si>
  <si>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</si>
  <si>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</si>
  <si>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</si>
  <si>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</si>
  <si>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</si>
  <si>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</si>
  <si>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</si>
  <si>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</si>
  <si>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</si>
  <si>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</si>
  <si>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</si>
  <si>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</si>
  <si>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</si>
  <si>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</si>
  <si>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</si>
  <si>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</si>
  <si>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</si>
  <si>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</si>
  <si>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</si>
  <si>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</si>
  <si>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</si>
  <si>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</si>
  <si>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</si>
  <si>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</si>
  <si>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</si>
  <si>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</si>
  <si>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</si>
  <si>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</si>
  <si>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</si>
  <si>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</si>
  <si>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</si>
  <si>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</si>
  <si>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</si>
  <si>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</si>
  <si>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</si>
  <si>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</si>
  <si>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</si>
  <si>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</si>
  <si>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</si>
  <si>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</si>
  <si>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</si>
  <si>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</si>
  <si>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</si>
  <si>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</si>
  <si>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</si>
  <si>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</si>
  <si>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</si>
  <si>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</si>
  <si>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</si>
  <si>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</si>
  <si>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</si>
  <si>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</si>
  <si>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</si>
  <si>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</si>
  <si>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</si>
  <si>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</si>
  <si>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</si>
  <si>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</si>
  <si>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</si>
  <si>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</si>
  <si>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</si>
  <si>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</si>
  <si>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</si>
  <si>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</si>
  <si>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</si>
  <si>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</si>
  <si>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</si>
  <si>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</si>
  <si>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</si>
  <si>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</si>
  <si>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</si>
  <si>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</si>
  <si>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</si>
  <si>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</si>
  <si>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</si>
  <si>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</si>
  <si>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</si>
  <si>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</si>
  <si>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</si>
  <si>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</si>
  <si>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</si>
  <si>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</si>
  <si>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</si>
  <si>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</si>
  <si>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</si>
  <si>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</si>
  <si>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</si>
  <si>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</si>
  <si>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</si>
  <si>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</si>
  <si>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</si>
  <si>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</si>
  <si>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</si>
  <si>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</si>
  <si>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</si>
  <si>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</si>
  <si>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</si>
  <si>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</si>
  <si>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</si>
  <si>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</si>
  <si>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</si>
  <si>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</si>
  <si>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</si>
  <si>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</si>
  <si>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</si>
  <si>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</si>
  <si>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</si>
  <si>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</si>
  <si>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</si>
  <si>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</si>
  <si>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</si>
  <si>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</si>
  <si>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</si>
  <si>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</si>
  <si>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</si>
  <si>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</si>
  <si>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</si>
  <si>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</si>
  <si>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</si>
  <si>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</si>
  <si>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</si>
  <si>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</si>
  <si>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</si>
  <si>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</si>
  <si>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</si>
  <si>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</si>
  <si>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</si>
  <si>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</si>
  <si>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</si>
  <si>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</si>
  <si>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</si>
  <si>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</si>
  <si>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</si>
  <si>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</si>
  <si>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</si>
  <si>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</si>
  <si>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</si>
  <si>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</si>
  <si>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</si>
  <si>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</si>
  <si>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</si>
  <si>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</si>
  <si>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</si>
  <si>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</si>
  <si>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</si>
  <si>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</si>
  <si>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</si>
  <si>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</si>
  <si>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</si>
  <si>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</si>
  <si>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</si>
  <si>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</si>
  <si>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</si>
  <si>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</si>
  <si>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</si>
  <si>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</si>
  <si>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</si>
  <si>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</si>
  <si>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</si>
  <si>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</si>
  <si>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</si>
  <si>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</si>
  <si>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</si>
  <si>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</si>
  <si>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</si>
  <si>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</si>
  <si>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</si>
  <si>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</si>
  <si>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</si>
  <si>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</si>
  <si>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</si>
  <si>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</si>
  <si>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</si>
  <si>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</si>
  <si>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</si>
  <si>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</si>
  <si>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</si>
  <si>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</si>
  <si>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</si>
  <si>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</si>
  <si>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</si>
  <si>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</si>
  <si>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</si>
  <si>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</si>
  <si>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</si>
  <si>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</si>
  <si>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</si>
  <si>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</si>
  <si>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</si>
  <si>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</si>
  <si>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</si>
  <si>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</si>
  <si>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</si>
  <si>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</si>
  <si>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</si>
  <si>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</si>
  <si>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</si>
  <si>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</si>
  <si>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</si>
  <si>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</si>
  <si>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</si>
  <si>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</si>
  <si>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</si>
  <si>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</si>
  <si>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</si>
  <si>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</si>
  <si>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</si>
  <si>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</si>
  <si>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</si>
  <si>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</si>
  <si>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</si>
  <si>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</si>
  <si>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</si>
  <si>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</si>
  <si>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</si>
  <si>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</si>
  <si>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</si>
  <si>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</si>
  <si>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</si>
  <si>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</si>
  <si>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</si>
  <si>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</si>
  <si>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</si>
  <si>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</si>
  <si>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</si>
  <si>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</si>
  <si>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</si>
  <si>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</si>
  <si>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</si>
  <si>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</si>
  <si>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</si>
  <si>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</si>
  <si>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</si>
  <si>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</si>
  <si>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</si>
  <si>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</si>
  <si>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</si>
  <si>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</si>
  <si>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</si>
  <si>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</si>
  <si>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</si>
  <si>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</si>
  <si>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</si>
  <si>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</si>
  <si>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</si>
  <si>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</si>
  <si>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</si>
  <si>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</si>
  <si>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</si>
  <si>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</si>
  <si>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</si>
  <si>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</si>
  <si>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</si>
  <si>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</si>
  <si>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</si>
  <si>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</si>
  <si>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</si>
  <si>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</si>
  <si>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</si>
  <si>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</si>
  <si>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</si>
  <si>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</si>
  <si>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</si>
  <si>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</si>
  <si>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</si>
  <si>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</si>
  <si>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</si>
  <si>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</si>
  <si>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</si>
  <si>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</si>
  <si>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</si>
  <si>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</si>
  <si>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</si>
  <si>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</si>
  <si>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</si>
  <si>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</si>
  <si>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</si>
  <si>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</si>
  <si>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</si>
  <si>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</si>
  <si>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</si>
  <si>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</si>
  <si>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</si>
  <si>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</si>
  <si>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</si>
  <si>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</si>
  <si>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</si>
  <si>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</si>
  <si>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</si>
  <si>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</si>
  <si>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</si>
  <si>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</si>
  <si>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</si>
  <si>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</si>
  <si>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</si>
  <si>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</si>
  <si>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</si>
  <si>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</si>
  <si>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</si>
  <si>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</si>
  <si>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</si>
  <si>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</si>
  <si>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</si>
  <si>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</si>
  <si>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</si>
  <si>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</si>
  <si>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</si>
  <si>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</si>
  <si>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</si>
  <si>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</si>
  <si>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</si>
  <si>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</si>
  <si>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</si>
  <si>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</si>
  <si>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</si>
  <si>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</si>
  <si>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</si>
  <si>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</si>
  <si>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</si>
  <si>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</si>
  <si>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</si>
  <si>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</si>
  <si>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</si>
  <si>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</si>
  <si>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</si>
  <si>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</si>
  <si>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</si>
  <si>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</si>
  <si>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</si>
  <si>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</si>
  <si>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</si>
  <si>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</si>
  <si>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</si>
  <si>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</si>
  <si>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</si>
  <si>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</si>
  <si>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</si>
  <si>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</si>
  <si>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</si>
  <si>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</si>
  <si>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</si>
  <si>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</si>
  <si>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</si>
  <si>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</si>
  <si>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</si>
  <si>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</si>
  <si>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</si>
  <si>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</si>
  <si>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</si>
  <si>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</si>
  <si>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</si>
  <si>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</si>
  <si>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</si>
  <si>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</si>
  <si>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</si>
  <si>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</si>
  <si>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</si>
  <si>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</si>
  <si>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</si>
  <si>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</si>
  <si>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</si>
  <si>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</si>
  <si>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</si>
  <si>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</si>
  <si>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</si>
  <si>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</si>
  <si>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</si>
  <si>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</si>
  <si>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</si>
  <si>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</si>
  <si>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</si>
  <si>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</si>
  <si>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</si>
  <si>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</si>
  <si>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</si>
  <si>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</si>
  <si>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</si>
  <si>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</si>
  <si>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</si>
  <si>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</si>
  <si>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</si>
  <si>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</si>
  <si>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</si>
  <si>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</si>
  <si>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</si>
  <si>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</si>
  <si>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</si>
  <si>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</si>
  <si>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</si>
  <si>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</si>
  <si>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</si>
  <si>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</si>
  <si>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</si>
  <si>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</si>
  <si>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</si>
  <si>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</si>
  <si>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</si>
  <si>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</si>
  <si>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</si>
  <si>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</si>
  <si>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</si>
  <si>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</si>
  <si>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</si>
  <si>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</si>
  <si>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</si>
  <si>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</si>
  <si>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</si>
  <si>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</si>
  <si>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</si>
  <si>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</si>
  <si>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</si>
  <si>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</si>
  <si>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</si>
  <si>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</si>
  <si>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</si>
  <si>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</si>
  <si>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</si>
  <si>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</si>
  <si>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</si>
  <si>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</si>
  <si>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</si>
  <si>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</si>
  <si>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</si>
  <si>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</si>
  <si>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</si>
  <si>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</si>
  <si>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</si>
  <si>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</si>
  <si>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</si>
  <si>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</si>
  <si>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</si>
  <si>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</si>
  <si>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</si>
  <si>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</si>
  <si>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</si>
  <si>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</si>
  <si>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</si>
  <si>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</si>
  <si>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</si>
  <si>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</si>
  <si>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</si>
  <si>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</si>
  <si>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</si>
  <si>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</si>
  <si>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</si>
  <si>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</si>
  <si>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</si>
  <si>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</si>
  <si>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</si>
  <si>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</si>
  <si>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</si>
  <si>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</si>
  <si>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</si>
  <si>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</si>
  <si>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</si>
  <si>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</si>
  <si>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</si>
  <si>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</si>
  <si>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</si>
  <si>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</si>
  <si>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</si>
  <si>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</si>
  <si>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</si>
  <si>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</si>
  <si>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</si>
  <si>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</si>
  <si>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</si>
  <si>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</si>
  <si>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</si>
  <si>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</si>
  <si>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</si>
  <si>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</si>
  <si>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</si>
  <si>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</si>
  <si>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</si>
  <si>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</si>
  <si>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</si>
  <si>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</si>
  <si>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</si>
  <si>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</si>
  <si>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</si>
  <si>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</si>
  <si>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</si>
  <si>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</si>
  <si>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</si>
  <si>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</si>
  <si>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</si>
  <si>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</si>
  <si>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</si>
  <si>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</si>
  <si>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</si>
  <si>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</si>
  <si>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</si>
  <si>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</si>
  <si>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</si>
  <si>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</si>
  <si>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</si>
  <si>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</si>
  <si>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</si>
  <si>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</si>
  <si>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</si>
  <si>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</si>
  <si>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</si>
  <si>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</si>
  <si>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</si>
  <si>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</si>
  <si>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</si>
  <si>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</si>
  <si>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</si>
  <si>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</si>
  <si>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</si>
  <si>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</si>
  <si>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</si>
  <si>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</si>
  <si>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</si>
  <si>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</si>
  <si>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</si>
  <si>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</si>
  <si>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</si>
  <si>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</si>
  <si>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</si>
  <si>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</si>
  <si>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</si>
  <si>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</si>
  <si>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</si>
  <si>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</si>
  <si>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</si>
  <si>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</si>
  <si>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</si>
  <si>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</si>
  <si>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</si>
  <si>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</si>
  <si>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</si>
  <si>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</si>
  <si>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</si>
  <si>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</si>
  <si>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</si>
  <si>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</si>
  <si>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</si>
  <si>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</si>
  <si>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</si>
  <si>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</si>
  <si>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</si>
  <si>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</si>
  <si>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</si>
  <si>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</si>
  <si>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</si>
  <si>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</si>
  <si>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</si>
  <si>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</si>
  <si>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</si>
  <si>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</si>
  <si>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</si>
  <si>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</si>
  <si>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</si>
  <si>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</si>
  <si>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</si>
  <si>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</si>
  <si>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</si>
  <si>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</si>
  <si>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</si>
  <si>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</si>
  <si>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</si>
  <si>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</si>
  <si>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</si>
  <si>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</si>
  <si>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</si>
  <si>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</si>
  <si>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</si>
  <si>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</si>
  <si>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</si>
  <si>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</si>
  <si>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</si>
  <si>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</si>
  <si>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</si>
  <si>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</si>
  <si>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</si>
  <si>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</si>
  <si>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</si>
  <si>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</si>
  <si>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</si>
  <si>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</si>
  <si>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</si>
  <si>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</si>
  <si>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</si>
  <si>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</si>
  <si>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</si>
  <si>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</si>
  <si>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</si>
  <si>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</si>
  <si>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</si>
  <si>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</si>
  <si>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</si>
  <si>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</si>
  <si>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</si>
  <si>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</si>
  <si>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</si>
  <si>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</si>
  <si>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</si>
  <si>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</si>
  <si>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</si>
  <si>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</si>
  <si>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</si>
  <si>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</si>
  <si>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</si>
  <si>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</si>
  <si>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</si>
  <si>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</si>
  <si>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</si>
  <si>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</si>
  <si>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</si>
  <si>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</si>
  <si>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</si>
  <si>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</si>
  <si>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</si>
  <si>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</si>
  <si>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</si>
  <si>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</si>
  <si>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</si>
  <si>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</si>
  <si>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</si>
  <si>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</si>
  <si>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</si>
  <si>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</si>
  <si>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</si>
  <si>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</si>
  <si>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</si>
  <si>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</si>
  <si>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</si>
  <si>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</si>
  <si>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</si>
  <si>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</si>
  <si>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</si>
  <si>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</si>
  <si>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</si>
  <si>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</si>
  <si>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</si>
  <si>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</si>
  <si>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</si>
  <si>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</si>
  <si>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</si>
  <si>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</si>
  <si>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</si>
  <si>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</si>
  <si>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</si>
  <si>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</si>
  <si>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</si>
  <si>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</si>
  <si>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</si>
  <si>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</si>
  <si>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</si>
  <si>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</si>
  <si>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</si>
  <si>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</si>
  <si>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</si>
  <si>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</si>
  <si>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</si>
  <si>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</si>
  <si>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</si>
  <si>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</si>
  <si>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</si>
  <si>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</si>
  <si>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</si>
  <si>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</si>
  <si>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</si>
  <si>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</si>
  <si>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</si>
  <si>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</si>
  <si>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</si>
  <si>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</si>
  <si>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</si>
  <si>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</si>
  <si>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</si>
  <si>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</si>
  <si>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</si>
  <si>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</si>
  <si>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</si>
  <si>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</si>
  <si>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</si>
  <si>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</si>
  <si>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</si>
  <si>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</si>
  <si>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</si>
  <si>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</si>
  <si>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</si>
  <si>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</si>
  <si>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</si>
  <si>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</si>
  <si>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</si>
  <si>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</si>
  <si>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</si>
  <si>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</si>
  <si>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</si>
  <si>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</si>
  <si>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</si>
  <si>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</si>
  <si>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</si>
  <si>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</si>
  <si>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</si>
  <si>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</si>
  <si>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</si>
  <si>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</si>
  <si>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</si>
  <si>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</si>
  <si>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</si>
  <si>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</si>
  <si>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</si>
  <si>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</si>
  <si>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</si>
  <si>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</si>
  <si>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</si>
  <si>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</si>
  <si>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</si>
  <si>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</si>
  <si>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</si>
  <si>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</si>
  <si>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</si>
  <si>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</si>
  <si>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</si>
  <si>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</si>
  <si>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</si>
  <si>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</si>
  <si>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</si>
  <si>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</si>
  <si>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</si>
  <si>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</si>
  <si>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</si>
  <si>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</si>
  <si>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</si>
  <si>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</si>
  <si>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</si>
  <si>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</si>
  <si>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</si>
  <si>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</si>
  <si>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</si>
  <si>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</si>
  <si>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</si>
  <si>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</si>
  <si>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</si>
  <si>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</si>
  <si>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</si>
  <si>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</si>
  <si>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</si>
  <si>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</si>
  <si>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</si>
  <si>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</si>
  <si>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</si>
  <si>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</si>
  <si>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</si>
  <si>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</si>
  <si>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</si>
  <si>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</si>
  <si>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</si>
  <si>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</si>
  <si>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</si>
  <si>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</si>
  <si>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</si>
  <si>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</si>
  <si>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</si>
  <si>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</si>
  <si>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</si>
  <si>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</si>
  <si>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</si>
  <si>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</si>
  <si>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</si>
  <si>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</si>
  <si>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</si>
  <si>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</si>
  <si>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</si>
  <si>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</si>
  <si>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</si>
  <si>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</si>
  <si>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</si>
  <si>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</si>
  <si>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</si>
  <si>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</si>
  <si>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</si>
  <si>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</si>
  <si>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</si>
  <si>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</si>
  <si>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</si>
  <si>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</si>
  <si>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</si>
  <si>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</si>
  <si>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</si>
  <si>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</si>
  <si>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</si>
  <si>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</si>
  <si>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</si>
  <si>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</si>
  <si>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</si>
  <si>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</si>
  <si>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</si>
  <si>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</si>
  <si>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</si>
  <si>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</si>
  <si>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</si>
  <si>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</si>
  <si>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</si>
  <si>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</si>
  <si>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</si>
  <si>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</si>
  <si>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</si>
  <si>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</si>
  <si>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</si>
  <si>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</si>
  <si>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</si>
  <si>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</si>
  <si>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</si>
  <si>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</si>
  <si>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</si>
  <si>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</si>
  <si>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</si>
  <si>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</si>
  <si>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</si>
  <si>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</si>
  <si>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</si>
  <si>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</si>
  <si>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</si>
  <si>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</si>
  <si>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</si>
  <si>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</si>
  <si>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</si>
  <si>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</si>
  <si>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</si>
  <si>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</si>
  <si>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</si>
  <si>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</si>
  <si>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</si>
  <si>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</si>
  <si>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</si>
  <si>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</si>
  <si>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</si>
  <si>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</si>
  <si>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</si>
  <si>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</si>
  <si>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</si>
  <si>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</si>
  <si>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</si>
  <si>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</si>
  <si>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</si>
  <si>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</si>
  <si>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</si>
  <si>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</si>
  <si>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</si>
  <si>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</si>
  <si>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</si>
  <si>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</si>
  <si>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</si>
  <si>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</si>
  <si>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</si>
  <si>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</si>
  <si>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</si>
  <si>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</si>
  <si>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</si>
  <si>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</si>
  <si>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</si>
  <si>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</si>
  <si>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</si>
  <si>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</si>
  <si>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</si>
  <si>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</si>
  <si>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</si>
  <si>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</si>
  <si>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</si>
  <si>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</si>
  <si>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</si>
  <si>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</si>
  <si>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</si>
  <si>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</si>
  <si>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</si>
  <si>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</si>
  <si>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</si>
  <si>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</si>
  <si>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</si>
  <si>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</si>
  <si>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</si>
  <si>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</si>
  <si>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</si>
  <si>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</si>
  <si>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</si>
  <si>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</si>
  <si>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</si>
  <si>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</si>
  <si>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</si>
  <si>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</si>
  <si>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</si>
  <si>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</si>
  <si>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</si>
  <si>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</si>
  <si>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</si>
  <si>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</si>
  <si>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</si>
  <si>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</si>
  <si>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</si>
  <si>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</si>
  <si>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</si>
  <si>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</si>
  <si>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</si>
  <si>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</si>
  <si>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</si>
  <si>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</si>
  <si>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</si>
  <si>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</si>
  <si>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</si>
  <si>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</si>
  <si>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</si>
  <si>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</si>
  <si>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</si>
  <si>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</si>
  <si>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</si>
  <si>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</si>
  <si>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</si>
  <si>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</si>
  <si>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</si>
  <si>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</si>
  <si>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</si>
  <si>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</si>
  <si>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</si>
  <si>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</si>
  <si>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</si>
  <si>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</si>
  <si>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</si>
  <si>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</si>
  <si>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</si>
  <si>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</si>
  <si>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</si>
  <si>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</si>
  <si>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</si>
  <si>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</si>
  <si>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</si>
  <si>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</si>
  <si>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</si>
  <si>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</si>
  <si>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</si>
  <si>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</si>
  <si>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</si>
  <si>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</si>
  <si>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</si>
  <si>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</si>
  <si>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</si>
  <si>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</si>
  <si>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</si>
  <si>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</si>
  <si>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</si>
  <si>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</si>
  <si>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</si>
  <si>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</si>
  <si>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</si>
  <si>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</si>
  <si>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</si>
  <si>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</si>
  <si>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</si>
  <si>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</si>
  <si>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</si>
  <si>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</si>
  <si>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</si>
  <si>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</si>
  <si>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</si>
  <si>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</si>
  <si>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</si>
  <si>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</si>
  <si>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</si>
  <si>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</si>
  <si>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</si>
  <si>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</si>
  <si>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</si>
  <si>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</si>
  <si>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</si>
  <si>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</si>
  <si>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</si>
  <si>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</si>
  <si>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</si>
  <si>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</si>
  <si>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</si>
  <si>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</si>
  <si>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</si>
  <si>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</si>
  <si>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</si>
  <si>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</si>
  <si>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</si>
  <si>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</si>
  <si>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</si>
  <si>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</si>
  <si>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</si>
  <si>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</si>
  <si>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</si>
  <si>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</si>
  <si>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</si>
  <si>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</si>
  <si>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</si>
  <si>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</si>
  <si>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</si>
  <si>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</si>
  <si>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</si>
  <si>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</si>
  <si>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</si>
  <si>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</si>
  <si>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</si>
  <si>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</si>
  <si>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</si>
  <si>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</si>
  <si>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</si>
  <si>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</si>
  <si>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</si>
  <si>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</si>
  <si>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</si>
  <si>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</si>
  <si>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</si>
  <si>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</si>
  <si>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</si>
  <si>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</si>
  <si>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</si>
  <si>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</si>
  <si>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</si>
  <si>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</si>
  <si>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</si>
  <si>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</si>
  <si>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</si>
  <si>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</si>
  <si>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</si>
  <si>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</si>
  <si>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</si>
  <si>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</si>
  <si>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</si>
  <si>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</si>
  <si>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</si>
  <si>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</si>
  <si>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</si>
  <si>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</si>
  <si>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</si>
  <si>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</si>
  <si>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</si>
  <si>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</si>
  <si>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</si>
  <si>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</si>
  <si>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</si>
  <si>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</si>
  <si>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</si>
  <si>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</si>
  <si>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</si>
  <si>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</si>
  <si>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</si>
  <si>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</si>
  <si>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</si>
  <si>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</si>
  <si>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</si>
  <si>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</si>
  <si>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</si>
  <si>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</si>
  <si>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</si>
  <si>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</si>
  <si>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</si>
  <si>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</si>
  <si>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</si>
  <si>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</si>
  <si>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</si>
  <si>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</si>
  <si>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</si>
  <si>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</si>
  <si>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</si>
  <si>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</si>
  <si>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</si>
  <si>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</si>
  <si>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</si>
  <si>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</si>
  <si>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</si>
  <si>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</si>
  <si>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</si>
  <si>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</si>
  <si>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</si>
  <si>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</si>
  <si>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</si>
  <si>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</si>
  <si>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</si>
  <si>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</si>
  <si>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</si>
  <si>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</si>
  <si>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</si>
  <si>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</si>
  <si>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</si>
  <si>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</si>
  <si>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</si>
  <si>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</si>
  <si>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</si>
  <si>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</si>
  <si>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</si>
  <si>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</si>
  <si>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</si>
  <si>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</si>
  <si>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</si>
  <si>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</si>
  <si>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</si>
  <si>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</si>
  <si>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</si>
  <si>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</si>
  <si>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</si>
  <si>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</si>
  <si>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</si>
  <si>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</si>
  <si>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</si>
  <si>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</si>
  <si>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</si>
  <si>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</si>
  <si>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</si>
  <si>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</si>
  <si>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</si>
  <si>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</si>
  <si>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</si>
  <si>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</si>
  <si>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</si>
  <si>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</si>
  <si>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</si>
  <si>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</si>
  <si>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</si>
  <si>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</si>
  <si>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</si>
  <si>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</si>
  <si>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</si>
  <si>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</si>
  <si>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</si>
  <si>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</si>
  <si>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</si>
  <si>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</si>
  <si>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</si>
  <si>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</si>
  <si>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</si>
  <si>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</si>
  <si>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</si>
  <si>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</si>
  <si>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</si>
  <si>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</si>
  <si>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</si>
  <si>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</si>
  <si>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</si>
  <si>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</si>
  <si>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</si>
  <si>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</si>
  <si>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</si>
  <si>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</si>
  <si>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</si>
  <si>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</si>
  <si>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</si>
  <si>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</si>
  <si>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</si>
  <si>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</si>
  <si>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</si>
  <si>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</si>
  <si>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</si>
  <si>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</si>
  <si>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</si>
  <si>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</si>
  <si>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</si>
  <si>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</si>
  <si>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</si>
  <si>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</si>
  <si>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</si>
  <si>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</si>
  <si>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</si>
  <si>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</si>
  <si>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</si>
  <si>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</si>
  <si>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</si>
  <si>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</si>
  <si>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</si>
  <si>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</si>
  <si>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</si>
  <si>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</si>
  <si>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</si>
  <si>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</si>
  <si>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</si>
  <si>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</si>
  <si>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</si>
  <si>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</si>
  <si>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</si>
  <si>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</si>
  <si>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</si>
  <si>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</si>
  <si>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</si>
  <si>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</si>
  <si>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</si>
  <si>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</si>
  <si>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</si>
  <si>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</si>
  <si>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</si>
  <si>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</si>
  <si>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</si>
  <si>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</si>
  <si>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</si>
  <si>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</si>
  <si>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</si>
  <si>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</si>
  <si>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</si>
  <si>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</si>
  <si>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</si>
  <si>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</si>
  <si>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</si>
  <si>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</si>
  <si>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</si>
  <si>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</si>
  <si>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</si>
  <si>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</si>
  <si>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</si>
  <si>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</si>
  <si>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</si>
  <si>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</si>
  <si>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</si>
  <si>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</si>
  <si>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</si>
  <si>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</si>
  <si>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</si>
  <si>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</si>
  <si>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</si>
  <si>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</si>
  <si>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</si>
  <si>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</si>
  <si>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</si>
  <si>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</si>
  <si>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</si>
  <si>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</si>
  <si>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</si>
  <si>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</si>
  <si>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</si>
  <si>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</si>
  <si>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</si>
  <si>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</si>
  <si>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</si>
  <si>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</si>
  <si>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</si>
  <si>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</si>
  <si>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</si>
  <si>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</si>
  <si>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</si>
  <si>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</si>
  <si>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</si>
  <si>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</si>
  <si>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</si>
  <si>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</si>
  <si>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</si>
  <si>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</si>
  <si>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</si>
  <si>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</si>
  <si>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</si>
  <si>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</si>
  <si>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</si>
  <si>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</si>
  <si>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</si>
  <si>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</si>
  <si>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</si>
  <si>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</si>
  <si>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</si>
  <si>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</si>
  <si>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</si>
  <si>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</si>
  <si>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</si>
  <si>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</si>
  <si>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</si>
  <si>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</si>
  <si>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</si>
  <si>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</si>
  <si>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</si>
  <si>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</si>
  <si>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</si>
  <si>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</si>
  <si>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</si>
  <si>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</si>
  <si>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</si>
  <si>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</si>
  <si>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</si>
  <si>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</si>
  <si>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</si>
  <si>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</si>
  <si>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</si>
  <si>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</si>
  <si>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</si>
  <si>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</si>
  <si>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</si>
  <si>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</si>
  <si>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</si>
  <si>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</si>
  <si>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</si>
  <si>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</si>
  <si>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</si>
  <si>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</si>
  <si>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</si>
  <si>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</si>
  <si>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</si>
  <si>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</si>
  <si>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</si>
  <si>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</si>
  <si>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</si>
  <si>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</si>
  <si>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</si>
  <si>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</si>
  <si>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</si>
  <si>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</si>
  <si>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</si>
  <si>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</si>
  <si>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</si>
  <si>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</si>
  <si>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</si>
  <si>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</si>
  <si>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</si>
  <si>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</si>
  <si>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</si>
  <si>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</si>
  <si>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</si>
  <si>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</si>
  <si>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</si>
  <si>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</si>
  <si>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</si>
  <si>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</si>
  <si>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</si>
  <si>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</si>
  <si>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</si>
  <si>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</si>
  <si>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</si>
  <si>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</si>
  <si>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</si>
  <si>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</si>
  <si>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</si>
  <si>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</si>
  <si>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</si>
  <si>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</si>
  <si>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</si>
  <si>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</si>
  <si>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</si>
  <si>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</si>
  <si>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</si>
  <si>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</si>
  <si>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</si>
  <si>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</si>
  <si>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</si>
  <si>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</si>
  <si>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</si>
  <si>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</si>
  <si>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</si>
  <si>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</si>
  <si>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</si>
  <si>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</si>
  <si>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</si>
  <si>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</si>
  <si>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</si>
  <si>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</si>
  <si>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</si>
  <si>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</si>
  <si>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</si>
  <si>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</si>
  <si>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</si>
  <si>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</si>
  <si>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</si>
  <si>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</si>
  <si>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</si>
  <si>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</si>
  <si>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</si>
  <si>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</si>
  <si>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</si>
  <si>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</si>
  <si>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</si>
  <si>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</si>
  <si>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</si>
  <si>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</si>
  <si>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</si>
  <si>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</si>
  <si>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</si>
  <si>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</si>
  <si>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</si>
  <si>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</si>
  <si>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</si>
  <si>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</si>
  <si>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</si>
  <si>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</si>
  <si>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</si>
  <si>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</si>
  <si>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</si>
  <si>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</si>
  <si>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</si>
  <si>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</si>
  <si>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</si>
  <si>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</si>
  <si>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</si>
  <si>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</si>
  <si>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</si>
  <si>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</si>
  <si>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</si>
  <si>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</si>
  <si>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</si>
  <si>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</si>
  <si>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</si>
  <si>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</si>
  <si>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</si>
  <si>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</si>
  <si>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</si>
  <si>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</si>
  <si>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</si>
  <si>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</si>
  <si>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</si>
  <si>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</si>
  <si>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</si>
  <si>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</si>
  <si>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</si>
  <si>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</si>
  <si>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</si>
  <si>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</si>
  <si>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</si>
  <si>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</si>
  <si>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</si>
  <si>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</si>
  <si>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</si>
  <si>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</si>
  <si>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</si>
  <si>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</si>
  <si>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</si>
  <si>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</si>
  <si>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</si>
  <si>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</si>
  <si>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</si>
  <si>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</si>
  <si>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</si>
  <si>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</si>
  <si>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</si>
  <si>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</si>
  <si>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</si>
  <si>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</si>
  <si>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</si>
  <si>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</si>
  <si>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</si>
  <si>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</si>
  <si>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</si>
  <si>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</si>
  <si>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</si>
  <si>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</si>
  <si>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</si>
  <si>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</si>
  <si>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</si>
  <si>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</si>
  <si>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</si>
  <si>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</si>
  <si>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</si>
  <si>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</si>
  <si>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</si>
  <si>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</si>
  <si>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</si>
  <si>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</si>
  <si>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</si>
  <si>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</si>
  <si>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</si>
  <si>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</si>
  <si>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</si>
  <si>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</si>
  <si>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</si>
  <si>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</si>
  <si>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</si>
  <si>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</si>
  <si>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</si>
  <si>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</si>
  <si>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</si>
  <si>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</si>
  <si>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</si>
  <si>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</si>
  <si>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</si>
  <si>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</si>
  <si>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</si>
  <si>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</si>
  <si>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</si>
  <si>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</si>
  <si>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</si>
  <si>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</si>
  <si>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</si>
  <si>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</si>
  <si>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</si>
  <si>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</si>
  <si>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</si>
  <si>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</si>
  <si>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</si>
  <si>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</si>
  <si>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</si>
  <si>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</si>
  <si>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</si>
  <si>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</si>
  <si>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</si>
  <si>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</si>
  <si>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</si>
  <si>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</si>
  <si>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</si>
  <si>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</si>
  <si>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</si>
  <si>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</si>
  <si>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</si>
  <si>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</si>
  <si>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</si>
  <si>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</si>
  <si>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</si>
  <si>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</si>
  <si>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</si>
  <si>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</si>
  <si>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</si>
  <si>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</si>
  <si>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</si>
  <si>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</si>
  <si>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</si>
  <si>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</si>
  <si>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</si>
  <si>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</si>
  <si>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</si>
  <si>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</si>
  <si>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</si>
  <si>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</si>
  <si>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</si>
  <si>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</si>
  <si>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</si>
  <si>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</si>
  <si>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</si>
  <si>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</si>
  <si>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</si>
  <si>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</si>
  <si>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</si>
  <si>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</si>
  <si>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</si>
  <si>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</si>
  <si>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</si>
  <si>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</si>
  <si>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</si>
  <si>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</si>
  <si>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</si>
  <si>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</si>
  <si>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</si>
  <si>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</si>
  <si>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</si>
  <si>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</si>
  <si>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</si>
  <si>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</si>
  <si>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</si>
  <si>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</si>
  <si>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</si>
  <si>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</si>
  <si>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</si>
  <si>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</si>
  <si>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</si>
  <si>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</si>
  <si>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</si>
  <si>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</si>
  <si>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</si>
  <si>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</si>
  <si>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</si>
  <si>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</si>
  <si>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</si>
  <si>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</si>
  <si>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</si>
  <si>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</si>
  <si>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</si>
  <si>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</si>
  <si>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</si>
  <si>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</si>
  <si>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</si>
  <si>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</si>
  <si>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</si>
  <si>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</si>
  <si>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</si>
  <si>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</si>
  <si>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</si>
  <si>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</si>
  <si>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</si>
  <si>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</si>
  <si>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</si>
  <si>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</si>
  <si>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</si>
  <si>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</si>
  <si>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</si>
  <si>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</si>
  <si>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</si>
  <si>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</si>
  <si>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</si>
  <si>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</si>
  <si>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</si>
  <si>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</si>
  <si>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</si>
  <si>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</si>
  <si>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</si>
  <si>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</si>
  <si>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</si>
  <si>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</si>
  <si>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</si>
  <si>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</si>
  <si>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</si>
  <si>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</si>
  <si>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</si>
  <si>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</si>
  <si>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</si>
  <si>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</si>
  <si>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</si>
  <si>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</si>
  <si>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</si>
  <si>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</si>
  <si>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</si>
  <si>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</si>
  <si>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</si>
  <si>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</si>
  <si>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</si>
  <si>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</si>
  <si>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</si>
  <si>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</si>
  <si>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</si>
  <si>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</si>
  <si>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</si>
  <si>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</si>
  <si>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</si>
  <si>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</si>
  <si>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</si>
  <si>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</si>
  <si>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</si>
  <si>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</si>
  <si>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</si>
  <si>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</si>
  <si>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</si>
  <si>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</si>
  <si>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</si>
  <si>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</si>
  <si>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</si>
  <si>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</si>
  <si>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</si>
  <si>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</si>
  <si>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</si>
  <si>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</si>
  <si>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</si>
  <si>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</si>
  <si>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</si>
  <si>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</si>
  <si>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</si>
  <si>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</si>
  <si>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</si>
  <si>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</si>
  <si>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</si>
  <si>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</si>
  <si>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</si>
  <si>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</si>
  <si>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</si>
  <si>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</si>
  <si>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</si>
  <si>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</si>
  <si>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</si>
  <si>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</si>
  <si>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</si>
  <si>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</si>
  <si>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</si>
  <si>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</si>
  <si>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</si>
  <si>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</si>
  <si>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</si>
  <si>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</si>
  <si>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</si>
  <si>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</si>
  <si>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</si>
  <si>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</si>
  <si>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</si>
  <si>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</si>
  <si>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</si>
  <si>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</si>
  <si>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</si>
  <si>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</si>
  <si>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</si>
  <si>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</si>
  <si>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</si>
  <si>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</si>
  <si>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</si>
  <si>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</si>
  <si>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</si>
  <si>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</si>
  <si>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</si>
  <si>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</si>
  <si>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</si>
  <si>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</si>
  <si>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</si>
  <si>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</si>
  <si>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</si>
  <si>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</si>
  <si>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</si>
  <si>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</si>
  <si>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</si>
  <si>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</si>
  <si>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</si>
  <si>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</si>
  <si>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</si>
  <si>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</si>
  <si>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</si>
  <si>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</si>
  <si>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</si>
  <si>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</si>
  <si>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</si>
  <si>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</si>
  <si>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</si>
  <si>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</si>
  <si>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</si>
  <si>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</si>
  <si>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</si>
  <si>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</si>
  <si>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</si>
  <si>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</si>
  <si>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</si>
  <si>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</si>
  <si>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</si>
  <si>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</si>
  <si>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</si>
  <si>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</si>
  <si>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</si>
  <si>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</si>
  <si>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</si>
  <si>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</si>
  <si>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</si>
  <si>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</si>
  <si>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</si>
  <si>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</si>
  <si>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</si>
  <si>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</si>
  <si>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</si>
  <si>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</si>
  <si>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</si>
  <si>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</si>
  <si>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</si>
  <si>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</si>
  <si>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</si>
  <si>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</si>
  <si>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</si>
  <si>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</si>
  <si>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</si>
  <si>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</si>
  <si>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</si>
  <si>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</si>
  <si>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</si>
  <si>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</si>
  <si>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</si>
  <si>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</si>
  <si>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</si>
  <si>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</si>
  <si>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</si>
  <si>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</si>
  <si>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</si>
  <si>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</si>
  <si>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</si>
  <si>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</si>
  <si>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</si>
  <si>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</si>
  <si>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</si>
  <si>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</si>
  <si>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</si>
  <si>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</si>
  <si>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</si>
  <si>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</si>
  <si>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</si>
  <si>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</si>
  <si>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</si>
  <si>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</si>
  <si>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</si>
  <si>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</si>
  <si>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</si>
  <si>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</si>
  <si>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</si>
  <si>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</si>
  <si>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</si>
  <si>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</si>
  <si>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</si>
  <si>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</si>
  <si>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</si>
  <si>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</si>
  <si>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</si>
  <si>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</si>
  <si>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</si>
  <si>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</si>
  <si>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</si>
  <si>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</si>
  <si>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</si>
  <si>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</si>
  <si>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</si>
  <si>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</si>
  <si>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</si>
  <si>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</si>
  <si>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</si>
  <si>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</si>
  <si>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</si>
  <si>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</si>
  <si>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</si>
  <si>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</si>
  <si>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</si>
  <si>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</si>
  <si>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</si>
  <si>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</si>
  <si>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</si>
  <si>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</si>
  <si>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</si>
  <si>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</si>
  <si>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</si>
  <si>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</si>
  <si>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</si>
  <si>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</si>
  <si>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</si>
  <si>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</si>
  <si>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</si>
  <si>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</si>
  <si>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</si>
  <si>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</si>
  <si>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</si>
  <si>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</si>
  <si>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</si>
  <si>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</si>
  <si>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</si>
  <si>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</si>
  <si>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</si>
  <si>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</si>
  <si>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</si>
  <si>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</si>
  <si>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</si>
  <si>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</si>
  <si>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</si>
  <si>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</si>
  <si>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</si>
  <si>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</si>
  <si>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</si>
  <si>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</si>
  <si>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</si>
  <si>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</si>
  <si>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</si>
  <si>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</si>
  <si>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</si>
  <si>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</si>
  <si>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</si>
  <si>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</si>
  <si>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</si>
  <si>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</si>
  <si>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</si>
  <si>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</si>
  <si>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</si>
  <si>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</si>
  <si>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</si>
  <si>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</si>
  <si>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</si>
  <si>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</si>
  <si>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</si>
  <si>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</si>
  <si>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</si>
  <si>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</si>
  <si>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</si>
  <si>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</si>
  <si>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</si>
  <si>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</si>
  <si>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</si>
  <si>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</si>
  <si>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</si>
  <si>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</si>
  <si>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</si>
  <si>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</si>
  <si>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</si>
  <si>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</si>
  <si>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</si>
  <si>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</si>
  <si>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</si>
  <si>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</si>
  <si>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</si>
  <si>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</si>
  <si>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</si>
  <si>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</si>
  <si>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</si>
  <si>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</si>
  <si>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</si>
  <si>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</si>
  <si>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</si>
  <si>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</si>
  <si>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</si>
  <si>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</si>
  <si>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</si>
  <si>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</si>
  <si>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</si>
  <si>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</si>
  <si>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</si>
  <si>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</si>
  <si>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</si>
  <si>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</si>
  <si>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</si>
  <si>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</si>
  <si>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</si>
  <si>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</si>
  <si>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</si>
  <si>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</si>
  <si>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</si>
  <si>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</si>
  <si>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</si>
  <si>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</si>
  <si>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</si>
  <si>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</si>
  <si>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</si>
  <si>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</si>
  <si>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</si>
  <si>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</si>
  <si>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</si>
  <si>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</si>
  <si>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</si>
  <si>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</si>
  <si>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</si>
  <si>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</si>
  <si>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</si>
  <si>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</si>
  <si>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</si>
  <si>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</si>
  <si>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</si>
  <si>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</si>
  <si>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</si>
  <si>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</si>
  <si>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</si>
  <si>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</si>
  <si>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</si>
  <si>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</si>
  <si>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</si>
  <si>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</si>
  <si>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</si>
  <si>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</si>
  <si>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</si>
  <si>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</si>
  <si>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</si>
  <si>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</si>
  <si>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</si>
  <si>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</si>
  <si>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</si>
  <si>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</si>
  <si>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</si>
  <si>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</si>
  <si>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</si>
  <si>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</si>
  <si>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</si>
  <si>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</si>
  <si>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</si>
  <si>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</si>
  <si>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</si>
  <si>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</si>
  <si>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</si>
  <si>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</si>
  <si>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</si>
  <si>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</si>
  <si>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</si>
  <si>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</si>
  <si>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</si>
  <si>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</si>
  <si>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</si>
  <si>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</si>
  <si>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</si>
  <si>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</si>
  <si>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</si>
  <si>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</si>
  <si>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</si>
  <si>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</si>
  <si>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</si>
  <si>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</si>
  <si>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</si>
  <si>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</si>
  <si>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</si>
  <si>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</si>
  <si>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</si>
  <si>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</si>
  <si>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</si>
  <si>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</si>
  <si>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</si>
  <si>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</si>
  <si>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</si>
  <si>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</si>
  <si>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</si>
  <si>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</si>
  <si>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</si>
  <si>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</si>
  <si>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</si>
  <si>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</si>
  <si>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</si>
  <si>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</si>
  <si>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</si>
  <si>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</si>
  <si>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</si>
  <si>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</si>
  <si>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</si>
  <si>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</si>
  <si>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</si>
  <si>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</si>
  <si>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</si>
  <si>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</si>
  <si>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</si>
  <si>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</si>
  <si>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</si>
  <si>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</si>
  <si>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</si>
  <si>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</si>
  <si>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</si>
  <si>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</si>
  <si>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</si>
  <si>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</si>
  <si>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</si>
  <si>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</si>
  <si>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</si>
  <si>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</si>
  <si>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</si>
  <si>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</si>
  <si>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</si>
  <si>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</si>
  <si>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</si>
  <si>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</si>
  <si>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</si>
  <si>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</si>
  <si>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</si>
  <si>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</si>
  <si>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</si>
  <si>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</si>
  <si>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</si>
  <si>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</si>
  <si>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</si>
  <si>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</si>
  <si>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</si>
  <si>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</si>
  <si>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</si>
  <si>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</si>
  <si>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</si>
  <si>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</si>
  <si>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</si>
  <si>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</si>
  <si>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</si>
  <si>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</si>
  <si>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</si>
  <si>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</si>
  <si>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</si>
  <si>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</si>
  <si>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</si>
  <si>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</si>
  <si>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</si>
  <si>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</si>
  <si>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</si>
  <si>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</si>
  <si>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</si>
  <si>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</si>
  <si>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</si>
  <si>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</si>
  <si>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</si>
  <si>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</si>
  <si>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</si>
  <si>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</si>
  <si>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</si>
  <si>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</si>
  <si>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</si>
  <si>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</si>
  <si>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</si>
  <si>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</si>
  <si>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</si>
  <si>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</si>
  <si>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</si>
  <si>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</si>
  <si>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</si>
  <si>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</si>
  <si>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</si>
  <si>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</si>
  <si>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</si>
  <si>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</si>
  <si>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</si>
  <si>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</si>
  <si>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</si>
  <si>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</si>
  <si>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</si>
  <si>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</si>
  <si>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</si>
  <si>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</si>
  <si>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</si>
  <si>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</si>
  <si>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</si>
  <si>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</si>
  <si>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</si>
  <si>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</si>
  <si>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</si>
  <si>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</si>
  <si>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</si>
  <si>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</si>
  <si>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</si>
  <si>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</si>
  <si>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</si>
  <si>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</si>
  <si>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</si>
  <si>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</si>
  <si>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</si>
  <si>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</si>
  <si>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</si>
  <si>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</si>
  <si>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</si>
  <si>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</si>
  <si>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</si>
  <si>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</si>
  <si>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</si>
  <si>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</si>
  <si>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</si>
  <si>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</si>
  <si>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</si>
  <si>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</si>
  <si>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</si>
  <si>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</si>
  <si>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</si>
  <si>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</si>
  <si>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</si>
  <si>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</si>
  <si>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</si>
  <si>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</si>
  <si>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</si>
  <si>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</si>
  <si>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</si>
  <si>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</si>
  <si>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</si>
  <si>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</si>
  <si>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</si>
  <si>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</si>
  <si>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</si>
  <si>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</si>
  <si>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</si>
  <si>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</si>
  <si>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</si>
  <si>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</si>
  <si>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</si>
  <si>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</si>
  <si>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</si>
  <si>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</si>
  <si>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</si>
  <si>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</si>
  <si>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</si>
  <si>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</si>
  <si>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</si>
  <si>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</si>
  <si>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</si>
  <si>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</si>
  <si>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</si>
  <si>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</si>
  <si>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</si>
  <si>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</si>
  <si>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</si>
  <si>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</si>
  <si>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</si>
  <si>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</si>
  <si>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</si>
  <si>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</si>
  <si>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</si>
  <si>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</si>
  <si>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</si>
  <si>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</si>
  <si>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</si>
  <si>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</si>
  <si>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</si>
  <si>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</si>
  <si>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</si>
  <si>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</si>
  <si>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</si>
  <si>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</si>
  <si>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</si>
  <si>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</si>
  <si>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</si>
  <si>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</si>
  <si>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</si>
  <si>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</si>
  <si>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</si>
  <si>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</si>
  <si>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</si>
  <si>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</si>
  <si>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</si>
  <si>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</si>
  <si>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</si>
  <si>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</si>
  <si>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</si>
  <si>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</si>
  <si>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</si>
  <si>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</si>
  <si>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</si>
  <si>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</si>
  <si>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</si>
  <si>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</si>
  <si>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</si>
  <si>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</si>
  <si>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</si>
  <si>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</si>
  <si>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</si>
  <si>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</si>
  <si>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</si>
  <si>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</si>
  <si>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</si>
  <si>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</si>
  <si>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</si>
  <si>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</si>
  <si>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</si>
  <si>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</si>
  <si>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</si>
  <si>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</si>
  <si>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</si>
  <si>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</si>
  <si>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</si>
  <si>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</si>
  <si>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</si>
  <si>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</si>
  <si>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</si>
  <si>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</si>
  <si>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</si>
  <si>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</si>
  <si>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</si>
  <si>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</si>
  <si>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</si>
  <si>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</si>
  <si>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</si>
  <si>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</si>
  <si>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</si>
  <si>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</si>
  <si>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</si>
  <si>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</si>
  <si>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</si>
  <si>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</si>
  <si>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</si>
  <si>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</si>
  <si>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</si>
  <si>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</si>
  <si>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</si>
  <si>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</si>
  <si>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</si>
  <si>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</si>
  <si>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</si>
  <si>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</si>
  <si>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</si>
  <si>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</si>
  <si>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</si>
  <si>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</si>
  <si>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</si>
  <si>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</si>
  <si>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</si>
  <si>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</si>
  <si>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</si>
  <si>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</si>
  <si>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</si>
  <si>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</si>
  <si>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</si>
  <si>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</si>
  <si>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</si>
  <si>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</si>
  <si>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</si>
  <si>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</si>
  <si>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</si>
  <si>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</si>
  <si>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</si>
  <si>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</si>
  <si>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</si>
  <si>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</si>
  <si>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</si>
  <si>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</si>
  <si>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</si>
  <si>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</si>
  <si>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</si>
  <si>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</si>
  <si>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</si>
  <si>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</si>
  <si>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</si>
  <si>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</si>
  <si>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</si>
  <si>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</si>
  <si>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</si>
  <si>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</si>
  <si>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</si>
  <si>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</si>
  <si>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</si>
  <si>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</si>
  <si>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</si>
  <si>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</si>
  <si>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</si>
  <si>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</si>
  <si>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</si>
  <si>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</si>
  <si>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</si>
  <si>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</si>
  <si>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</si>
  <si>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</si>
  <si>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</si>
  <si>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</si>
  <si>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</si>
  <si>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</si>
  <si>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</si>
  <si>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</si>
  <si>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</si>
  <si>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</si>
  <si>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</si>
  <si>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</si>
  <si>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</si>
  <si>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</si>
  <si>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</si>
  <si>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</si>
  <si>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</si>
  <si>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</si>
  <si>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</si>
  <si>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</si>
  <si>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</si>
  <si>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</si>
  <si>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</si>
  <si>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</si>
  <si>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</si>
  <si>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</si>
  <si>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</si>
  <si>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</si>
  <si>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</si>
  <si>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</si>
  <si>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</si>
  <si>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</si>
  <si>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</si>
  <si>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</si>
  <si>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</si>
  <si>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</si>
  <si>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</si>
  <si>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</si>
  <si>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</si>
  <si>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</si>
  <si>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</si>
  <si>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</si>
  <si>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</si>
  <si>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</si>
  <si>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</si>
  <si>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</si>
  <si>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</si>
  <si>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</si>
  <si>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</si>
  <si>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</si>
  <si>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</si>
  <si>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</si>
  <si>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</si>
  <si>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</si>
  <si>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</si>
  <si>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</si>
  <si>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</si>
  <si>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</si>
  <si>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</si>
  <si>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</si>
  <si>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</si>
  <si>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</si>
  <si>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</si>
  <si>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</si>
  <si>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</si>
  <si>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</si>
  <si>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</si>
  <si>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</si>
  <si>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</si>
  <si>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</si>
  <si>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</si>
  <si>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</si>
  <si>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</si>
  <si>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</si>
  <si>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</si>
  <si>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</si>
  <si>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</si>
  <si>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</si>
  <si>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</si>
  <si>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</si>
  <si>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</si>
  <si>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</si>
  <si>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</si>
  <si>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</si>
  <si>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</si>
  <si>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</si>
  <si>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</si>
  <si>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</si>
  <si>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</si>
  <si>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</si>
  <si>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</si>
  <si>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</si>
  <si>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</si>
  <si>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</si>
  <si>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</si>
  <si>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</si>
  <si>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</si>
  <si>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</si>
  <si>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</si>
  <si>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</si>
  <si>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</si>
  <si>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</si>
  <si>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</si>
  <si>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</si>
  <si>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</si>
  <si>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</si>
  <si>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</si>
  <si>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</si>
  <si>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</si>
  <si>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</si>
  <si>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</si>
  <si>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</si>
  <si>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</si>
  <si>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</si>
  <si>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</si>
  <si>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</si>
  <si>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</si>
  <si>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</si>
  <si>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</si>
  <si>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</si>
  <si>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</si>
  <si>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</si>
  <si>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</si>
  <si>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</si>
  <si>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</si>
  <si>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</si>
  <si>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</si>
  <si>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</si>
  <si>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</si>
  <si>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</si>
  <si>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</si>
  <si>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</si>
  <si>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</si>
  <si>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</si>
  <si>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</si>
  <si>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</si>
  <si>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</si>
  <si>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</si>
  <si>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</si>
  <si>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</si>
  <si>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</si>
  <si>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</si>
  <si>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</si>
  <si>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</si>
  <si>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</si>
  <si>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</si>
  <si>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</si>
  <si>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</si>
  <si>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</si>
  <si>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</si>
  <si>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</si>
  <si>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</si>
  <si>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</si>
  <si>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</si>
  <si>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</si>
  <si>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</si>
  <si>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</si>
  <si>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</si>
  <si>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</si>
  <si>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</si>
  <si>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</si>
  <si>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</si>
  <si>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</si>
  <si>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</si>
  <si>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</si>
  <si>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</si>
  <si>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</si>
  <si>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</si>
  <si>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</si>
  <si>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</si>
  <si>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</si>
  <si>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</si>
  <si>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</si>
  <si>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</si>
  <si>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</si>
  <si>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</si>
  <si>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</si>
  <si>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</si>
  <si>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</si>
  <si>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</si>
  <si>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</si>
  <si>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</si>
  <si>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</si>
  <si>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</si>
  <si>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</si>
  <si>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</si>
  <si>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</si>
  <si>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</si>
  <si>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</si>
  <si>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</si>
  <si>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</si>
  <si>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</si>
  <si>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</si>
  <si>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</si>
  <si>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</si>
  <si>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</si>
  <si>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</si>
  <si>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</si>
  <si>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</si>
  <si>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</si>
  <si>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</si>
  <si>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</si>
  <si>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</si>
  <si>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</si>
  <si>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</si>
  <si>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</si>
  <si>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</si>
  <si>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</si>
  <si>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</si>
  <si>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</si>
  <si>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</si>
  <si>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</si>
  <si>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</si>
  <si>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</si>
  <si>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</si>
  <si>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</si>
  <si>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</si>
  <si>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</si>
  <si>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</si>
  <si>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</si>
  <si>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</si>
  <si>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</si>
  <si>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</si>
  <si>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</si>
  <si>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</si>
  <si>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</si>
  <si>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</si>
  <si>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</si>
  <si>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</si>
  <si>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</si>
  <si>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</si>
  <si>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</si>
  <si>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</si>
  <si>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</si>
  <si>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</si>
  <si>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</si>
  <si>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</si>
  <si>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</si>
  <si>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</si>
  <si>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</si>
  <si>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</si>
  <si>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</si>
  <si>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</si>
  <si>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</si>
  <si>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</si>
  <si>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</si>
  <si>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</si>
  <si>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</si>
  <si>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</si>
  <si>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</si>
  <si>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</si>
  <si>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</si>
  <si>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</si>
  <si>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</si>
  <si>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</si>
  <si>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</si>
  <si>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</si>
  <si>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</si>
  <si>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</si>
  <si>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</si>
  <si>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</si>
  <si>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</si>
  <si>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</si>
  <si>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</si>
  <si>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</si>
  <si>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</si>
  <si>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</si>
  <si>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</si>
  <si>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</si>
  <si>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</si>
  <si>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</si>
  <si>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</si>
  <si>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</si>
  <si>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</si>
  <si>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</si>
  <si>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</si>
  <si>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</si>
  <si>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</si>
  <si>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</si>
  <si>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</si>
  <si>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</si>
  <si>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</si>
  <si>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</si>
  <si>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</si>
  <si>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</si>
  <si>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</si>
  <si>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</si>
  <si>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</si>
  <si>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</si>
  <si>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</si>
  <si>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</si>
  <si>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</si>
  <si>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</si>
  <si>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</si>
  <si>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</si>
  <si>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</si>
  <si>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</si>
  <si>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</si>
  <si>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</si>
  <si>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</si>
  <si>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</si>
  <si>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</si>
  <si>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</si>
  <si>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</si>
  <si>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</si>
  <si>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</si>
  <si>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</si>
  <si>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</si>
  <si>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</si>
  <si>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</si>
  <si>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</si>
  <si>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</si>
  <si>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</si>
  <si>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</si>
  <si>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</si>
  <si>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</si>
  <si>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</si>
  <si>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</si>
  <si>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</si>
  <si>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</si>
  <si>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</si>
  <si>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</si>
  <si>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</si>
  <si>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</si>
  <si>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</si>
  <si>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</si>
  <si>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</si>
  <si>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</si>
  <si>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</si>
  <si>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</si>
  <si>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</si>
  <si>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</si>
  <si>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</si>
  <si>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</si>
  <si>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</si>
  <si>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</si>
  <si>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</si>
  <si>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</si>
  <si>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</si>
  <si>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</si>
  <si>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</si>
  <si>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</si>
  <si>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</si>
  <si>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</si>
  <si>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</si>
  <si>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</si>
  <si>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</si>
  <si>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</si>
  <si>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</si>
  <si>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</si>
  <si>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</si>
  <si>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</si>
  <si>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</si>
  <si>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</si>
  <si>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</si>
  <si>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</si>
  <si>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</si>
  <si>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</si>
  <si>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</si>
  <si>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</si>
  <si>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</si>
  <si>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</si>
  <si>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</si>
  <si>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</si>
  <si>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</si>
  <si>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</si>
  <si>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</si>
  <si>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</si>
  <si>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</si>
  <si>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</si>
  <si>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</si>
  <si>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</si>
  <si>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</si>
  <si>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</si>
  <si>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</si>
  <si>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</si>
  <si>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</si>
  <si>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</si>
  <si>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</si>
  <si>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</si>
  <si>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</si>
  <si>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</si>
  <si>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</si>
  <si>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</si>
  <si>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</si>
  <si>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</si>
  <si>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</si>
  <si>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</si>
  <si>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</si>
  <si>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</si>
  <si>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</si>
  <si>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</si>
  <si>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</si>
  <si>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</si>
  <si>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</si>
  <si>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</si>
  <si>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</si>
  <si>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</si>
  <si>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</si>
  <si>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</si>
  <si>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</si>
  <si>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</si>
  <si>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</si>
  <si>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</si>
  <si>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</si>
  <si>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</si>
  <si>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</si>
  <si>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</si>
  <si>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</si>
  <si>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</si>
  <si>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</si>
  <si>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</si>
  <si>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</si>
  <si>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</si>
  <si>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</si>
  <si>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</si>
  <si>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</si>
  <si>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</si>
  <si>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</si>
  <si>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</si>
  <si>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</si>
  <si>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</si>
  <si>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</si>
  <si>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</si>
  <si>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</si>
  <si>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</si>
  <si>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</si>
  <si>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</si>
  <si>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</si>
  <si>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</si>
  <si>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</si>
  <si>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</si>
  <si>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</si>
  <si>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</si>
  <si>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</si>
  <si>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</si>
  <si>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</si>
  <si>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</si>
  <si>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</si>
  <si>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</si>
  <si>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</si>
  <si>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</si>
  <si>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</si>
  <si>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</si>
  <si>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</si>
  <si>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</si>
  <si>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</si>
  <si>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</si>
  <si>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</si>
  <si>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</si>
  <si>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</si>
  <si>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</si>
  <si>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</si>
  <si>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</si>
  <si>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</si>
  <si>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</si>
  <si>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</si>
  <si>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</si>
  <si>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</si>
  <si>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</si>
  <si>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</si>
  <si>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</si>
  <si>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</si>
  <si>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</si>
  <si>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</si>
  <si>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</si>
  <si>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</si>
  <si>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</si>
  <si>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</si>
  <si>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</si>
  <si>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</si>
  <si>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</si>
  <si>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</si>
  <si>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</si>
  <si>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</si>
  <si>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</si>
  <si>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</si>
  <si>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</si>
  <si>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</si>
  <si>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</si>
  <si>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</si>
  <si>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</si>
  <si>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</si>
  <si>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</si>
  <si>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</si>
  <si>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</si>
  <si>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</si>
  <si>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</si>
  <si>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</si>
  <si>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</si>
  <si>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</si>
  <si>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</si>
  <si>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</si>
  <si>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</si>
  <si>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</si>
  <si>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</si>
  <si>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</si>
  <si>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</si>
  <si>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</si>
  <si>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</si>
  <si>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</si>
  <si>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</si>
  <si>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</si>
  <si>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</si>
  <si>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</si>
  <si>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</si>
  <si>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</si>
  <si>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</si>
  <si>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</si>
  <si>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</si>
  <si>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</si>
  <si>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</si>
  <si>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</si>
  <si>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</si>
  <si>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</si>
  <si>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</si>
  <si>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</si>
  <si>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</si>
  <si>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</si>
  <si>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</si>
  <si>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</si>
  <si>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</si>
  <si>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</si>
  <si>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</si>
  <si>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</si>
  <si>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</si>
  <si>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</si>
  <si>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</si>
  <si>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</si>
  <si>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</si>
  <si>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</si>
  <si>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</si>
  <si>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</si>
  <si>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</si>
  <si>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</si>
  <si>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</si>
  <si>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</si>
  <si>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</si>
  <si>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</si>
  <si>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</si>
  <si>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</si>
  <si>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</si>
  <si>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</si>
  <si>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</si>
  <si>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</si>
  <si>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</si>
  <si>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</si>
  <si>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</si>
  <si>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</si>
  <si>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</si>
  <si>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</si>
  <si>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</si>
  <si>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</si>
  <si>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</si>
  <si>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</si>
  <si>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</si>
  <si>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</si>
  <si>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</si>
  <si>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</si>
  <si>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</si>
  <si>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</si>
  <si>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</si>
  <si>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</si>
  <si>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</si>
  <si>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</si>
  <si>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</si>
  <si>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</si>
  <si>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</si>
  <si>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</si>
  <si>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</si>
  <si>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</si>
  <si>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</si>
  <si>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</si>
  <si>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</si>
  <si>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</si>
  <si>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</si>
  <si>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</si>
  <si>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</si>
  <si>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</si>
  <si>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</si>
  <si>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</si>
  <si>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</si>
  <si>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</si>
  <si>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</si>
  <si>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</si>
  <si>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</si>
  <si>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</si>
  <si>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</si>
  <si>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</si>
  <si>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</si>
  <si>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</si>
  <si>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</si>
  <si>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</si>
  <si>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</si>
  <si>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</si>
  <si>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</si>
  <si>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</si>
  <si>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</si>
  <si>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</si>
  <si>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</si>
  <si>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</si>
  <si>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</si>
  <si>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</si>
  <si>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</si>
  <si>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</si>
  <si>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</si>
  <si>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</si>
  <si>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</si>
  <si>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</si>
  <si>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</si>
  <si>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</si>
  <si>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</si>
  <si>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</si>
  <si>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</si>
  <si>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</si>
  <si>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</si>
  <si>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</si>
  <si>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</si>
  <si>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</si>
  <si>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</si>
  <si>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</si>
  <si>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</si>
  <si>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</si>
  <si>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</si>
  <si>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</si>
  <si>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</si>
  <si>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</si>
  <si>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</si>
  <si>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</si>
  <si>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</si>
  <si>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</si>
  <si>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</si>
  <si>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</si>
  <si>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</si>
  <si>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</si>
  <si>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</si>
  <si>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</si>
  <si>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</si>
  <si>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</si>
  <si>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</si>
  <si>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</si>
  <si>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</si>
  <si>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</si>
  <si>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</si>
  <si>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</si>
  <si>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</si>
  <si>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</si>
  <si>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</si>
  <si>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</si>
  <si>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</si>
  <si>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</si>
  <si>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</si>
  <si>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</si>
  <si>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</si>
  <si>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</si>
  <si>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</si>
  <si>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</si>
  <si>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</si>
  <si>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</si>
  <si>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</si>
  <si>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</si>
  <si>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</si>
  <si>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</si>
  <si>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</si>
  <si>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</si>
  <si>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</si>
  <si>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</si>
  <si>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</si>
  <si>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</si>
  <si>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</si>
  <si>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</si>
  <si>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</si>
  <si>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</si>
  <si>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</si>
  <si>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</si>
  <si>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</si>
  <si>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</si>
  <si>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</si>
  <si>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</si>
  <si>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</si>
  <si>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</si>
  <si>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</si>
  <si>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</si>
  <si>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</si>
  <si>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</si>
  <si>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</si>
  <si>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</si>
  <si>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</si>
  <si>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</si>
  <si>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</si>
  <si>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</si>
  <si>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</si>
  <si>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</si>
  <si>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</si>
  <si>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</si>
  <si>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</si>
  <si>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</si>
  <si>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</si>
  <si>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</si>
  <si>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</si>
  <si>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</si>
  <si>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</si>
  <si>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</si>
  <si>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</si>
  <si>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</si>
  <si>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</si>
  <si>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</si>
  <si>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</si>
  <si>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</si>
  <si>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</si>
  <si>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</si>
  <si>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</si>
  <si>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</si>
  <si>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</si>
  <si>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</si>
  <si>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</si>
  <si>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</si>
  <si>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</si>
  <si>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</si>
  <si>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</si>
  <si>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</si>
  <si>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</si>
  <si>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</si>
  <si>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</si>
  <si>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</si>
  <si>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</si>
  <si>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</si>
  <si>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</si>
  <si>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</si>
  <si>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</si>
  <si>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</si>
  <si>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</si>
  <si>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</si>
  <si>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</si>
  <si>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</si>
  <si>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</si>
  <si>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</si>
  <si>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</si>
  <si>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</si>
  <si>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</si>
  <si>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</si>
  <si>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</si>
  <si>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</si>
  <si>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</si>
  <si>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</si>
  <si>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</si>
  <si>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</si>
  <si>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</si>
  <si>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</si>
  <si>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</si>
  <si>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</si>
  <si>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</si>
  <si>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</si>
  <si>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</si>
  <si>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</si>
  <si>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</si>
  <si>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</si>
  <si>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</si>
  <si>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</si>
  <si>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</si>
  <si>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</si>
  <si>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</si>
  <si>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</si>
  <si>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</si>
  <si>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</si>
  <si>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</si>
  <si>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</si>
  <si>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</si>
  <si>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</si>
  <si>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</si>
  <si>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</si>
  <si>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</si>
  <si>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</si>
  <si>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</si>
  <si>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</si>
  <si>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</si>
  <si>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</si>
  <si>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</si>
  <si>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</si>
  <si>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</si>
  <si>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</si>
  <si>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</si>
  <si>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</si>
  <si>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</si>
  <si>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</si>
  <si>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</si>
  <si>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</si>
  <si>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</si>
  <si>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</si>
  <si>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</si>
  <si>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</si>
  <si>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</si>
  <si>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</si>
  <si>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</si>
  <si>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</si>
  <si>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</si>
  <si>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</si>
  <si>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</si>
  <si>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</si>
  <si>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</si>
  <si>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</si>
  <si>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</si>
  <si>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</si>
  <si>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</si>
  <si>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</si>
  <si>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</si>
  <si>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</si>
  <si>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</si>
  <si>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</si>
  <si>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</si>
  <si>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</si>
  <si>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</si>
  <si>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</si>
  <si>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</si>
  <si>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</si>
  <si>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</si>
  <si>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</si>
  <si>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</si>
  <si>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</si>
  <si>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</si>
  <si>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</si>
  <si>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</si>
  <si>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</si>
  <si>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</si>
  <si>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</si>
  <si>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</si>
  <si>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</si>
  <si>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</si>
  <si>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</si>
  <si>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</si>
  <si>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</si>
  <si>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</si>
  <si>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</si>
  <si>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</si>
  <si>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</si>
  <si>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</si>
  <si>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</si>
  <si>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</si>
  <si>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</si>
  <si>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</si>
  <si>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</si>
  <si>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</si>
  <si>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</si>
  <si>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</si>
  <si>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</si>
  <si>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</si>
  <si>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</si>
  <si>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</si>
  <si>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</si>
  <si>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</si>
  <si>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</si>
  <si>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</si>
  <si>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</si>
  <si>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</si>
  <si>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</si>
  <si>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</si>
  <si>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</si>
  <si>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</si>
  <si>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</si>
  <si>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</si>
  <si>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</si>
  <si>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</si>
  <si>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</si>
  <si>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</si>
  <si>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</si>
  <si>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</si>
  <si>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</si>
  <si>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</si>
  <si>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</si>
  <si>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</si>
  <si>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</si>
  <si>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</si>
  <si>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</si>
  <si>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</si>
  <si>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</si>
  <si>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</si>
  <si>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</si>
  <si>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</si>
  <si>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</si>
  <si>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</si>
  <si>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</si>
  <si>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</si>
  <si>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</si>
  <si>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</si>
  <si>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</si>
  <si>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</si>
  <si>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</si>
  <si>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</si>
  <si>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</si>
  <si>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</si>
  <si>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</si>
  <si>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</si>
  <si>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</si>
  <si>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</si>
  <si>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</si>
  <si>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</si>
  <si>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</si>
  <si>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</si>
  <si>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</si>
  <si>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</si>
  <si>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</si>
  <si>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</si>
  <si>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</si>
  <si>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</si>
  <si>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</si>
  <si>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</si>
  <si>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</si>
  <si>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</si>
  <si>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</si>
  <si>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</si>
  <si>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</si>
  <si>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</si>
  <si>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</si>
  <si>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</si>
  <si>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</si>
  <si>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</si>
  <si>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</si>
  <si>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</si>
  <si>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</si>
  <si>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</si>
  <si>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</si>
  <si>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</si>
  <si>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</si>
  <si>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</si>
  <si>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</si>
  <si>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</si>
  <si>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</si>
  <si>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</si>
  <si>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</si>
  <si>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</si>
  <si>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</si>
  <si>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</si>
  <si>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</si>
  <si>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</si>
  <si>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</si>
  <si>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</si>
  <si>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</si>
  <si>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</si>
  <si>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</si>
  <si>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</si>
  <si>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</si>
  <si>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</si>
  <si>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</si>
  <si>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</si>
  <si>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</si>
  <si>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</si>
  <si>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</si>
  <si>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</si>
  <si>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</si>
  <si>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</si>
  <si>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</si>
  <si>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</si>
  <si>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</si>
  <si>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</si>
  <si>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</si>
  <si>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</si>
  <si>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</si>
  <si>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</si>
  <si>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</si>
  <si>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</si>
  <si>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</si>
  <si>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</si>
  <si>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</si>
  <si>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</si>
  <si>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</si>
  <si>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</si>
  <si>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</si>
  <si>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</si>
  <si>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</si>
  <si>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</si>
  <si>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</si>
  <si>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</si>
  <si>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</si>
  <si>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</si>
  <si>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</si>
  <si>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</si>
  <si>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</si>
  <si>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</si>
  <si>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</si>
  <si>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</si>
  <si>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</si>
  <si>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</si>
  <si>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</si>
  <si>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</si>
  <si>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</si>
  <si>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</si>
  <si>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</si>
  <si>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</si>
  <si>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</si>
  <si>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</si>
  <si>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</si>
  <si>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</si>
  <si>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</si>
  <si>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</si>
  <si>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</si>
  <si>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</si>
  <si>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</si>
  <si>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</si>
  <si>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</si>
  <si>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</si>
  <si>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</si>
  <si>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</si>
  <si>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</si>
  <si>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</si>
  <si>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</si>
  <si>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</si>
  <si>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</si>
  <si>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</si>
  <si>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</si>
  <si>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</si>
  <si>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</si>
  <si>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</si>
  <si>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</si>
  <si>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</si>
  <si>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</si>
  <si>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</si>
  <si>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</si>
  <si>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</si>
  <si>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</si>
  <si>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</si>
  <si>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</si>
  <si>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</si>
  <si>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</si>
  <si>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</si>
  <si>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</si>
  <si>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</si>
  <si>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</si>
  <si>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</si>
  <si>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</si>
  <si>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</si>
  <si>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</si>
  <si>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</si>
  <si>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</si>
  <si>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</si>
  <si>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</si>
  <si>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</si>
  <si>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</si>
  <si>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</si>
  <si>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</si>
  <si>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</si>
  <si>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</si>
  <si>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</si>
  <si>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</si>
  <si>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</si>
  <si>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</si>
  <si>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</si>
  <si>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</si>
  <si>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</si>
  <si>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</si>
  <si>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</si>
  <si>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</si>
  <si>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</si>
  <si>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</si>
  <si>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</si>
  <si>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</si>
  <si>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</si>
  <si>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</si>
  <si>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</si>
  <si>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</si>
  <si>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</si>
  <si>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</si>
  <si>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</si>
  <si>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</si>
  <si>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</si>
  <si>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</si>
  <si>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</si>
  <si>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</si>
  <si>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</si>
  <si>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</si>
  <si>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</si>
  <si>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</si>
  <si>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</si>
  <si>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</si>
  <si>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</si>
  <si>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</si>
  <si>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</si>
  <si>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</si>
  <si>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</si>
  <si>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</si>
  <si>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</si>
  <si>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</si>
  <si>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</si>
  <si>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</si>
  <si>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</si>
  <si>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</si>
  <si>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</si>
  <si>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</si>
  <si>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</si>
  <si>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</si>
  <si>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</si>
  <si>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</si>
  <si>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</si>
  <si>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</si>
  <si>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</si>
  <si>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</si>
  <si>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</si>
  <si>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</si>
  <si>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</si>
  <si>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</si>
  <si>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</si>
  <si>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</si>
  <si>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</si>
  <si>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</si>
  <si>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</si>
  <si>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</si>
  <si>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</si>
  <si>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</si>
  <si>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</si>
  <si>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</si>
  <si>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</si>
  <si>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</si>
  <si>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</si>
  <si>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</si>
  <si>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</si>
  <si>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</si>
  <si>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</si>
  <si>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</si>
  <si>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</si>
  <si>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</si>
  <si>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</si>
  <si>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</si>
  <si>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</si>
  <si>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</si>
  <si>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</si>
  <si>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</si>
  <si>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</si>
  <si>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</si>
  <si>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</si>
  <si>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</si>
  <si>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</si>
  <si>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</si>
  <si>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</si>
  <si>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</si>
  <si>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</si>
  <si>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</si>
  <si>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</si>
  <si>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</si>
  <si>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</si>
  <si>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</si>
  <si>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</si>
  <si>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</si>
  <si>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</si>
  <si>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</si>
  <si>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</si>
  <si>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</si>
  <si>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</si>
  <si>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</si>
  <si>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</si>
  <si>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</si>
  <si>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</si>
  <si>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</si>
  <si>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</si>
  <si>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</si>
  <si>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</si>
  <si>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</si>
  <si>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</si>
  <si>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</si>
  <si>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</si>
  <si>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</si>
  <si>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</si>
  <si>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</si>
  <si>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</si>
  <si>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</si>
  <si>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</si>
  <si>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</si>
  <si>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</si>
  <si>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</si>
  <si>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</si>
  <si>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</si>
  <si>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</si>
  <si>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</si>
  <si>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</si>
  <si>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</si>
  <si>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</si>
  <si>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</si>
  <si>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</si>
  <si>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</si>
  <si>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</si>
  <si>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</si>
  <si>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</si>
  <si>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</si>
  <si>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</si>
  <si>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</si>
  <si>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</si>
  <si>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</si>
  <si>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</si>
  <si>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</si>
  <si>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</si>
  <si>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</si>
  <si>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</si>
  <si>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</si>
  <si>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</si>
  <si>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</si>
  <si>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</si>
  <si>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</si>
  <si>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</si>
  <si>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</si>
  <si>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</si>
  <si>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</si>
  <si>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</si>
  <si>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</si>
  <si>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</si>
  <si>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</si>
  <si>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</si>
  <si>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</si>
  <si>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</si>
  <si>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</si>
  <si>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</si>
  <si>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</si>
  <si>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</si>
  <si>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</si>
  <si>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</si>
  <si>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</si>
  <si>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</si>
  <si>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</si>
  <si>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</si>
  <si>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</si>
  <si>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</si>
  <si>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</si>
  <si>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</si>
  <si>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</si>
  <si>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</si>
  <si>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</si>
  <si>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</si>
  <si>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</si>
  <si>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</si>
  <si>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</si>
  <si>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</si>
  <si>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</si>
  <si>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</si>
  <si>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</si>
  <si>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</si>
  <si>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</si>
  <si>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</si>
  <si>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</si>
  <si>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</si>
  <si>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</si>
  <si>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</si>
  <si>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</si>
  <si>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</si>
  <si>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</si>
  <si>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</si>
  <si>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</si>
  <si>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</si>
  <si>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</si>
  <si>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</si>
  <si>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</si>
  <si>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</si>
  <si>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</si>
  <si>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</si>
  <si>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</si>
  <si>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</si>
  <si>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</si>
  <si>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</si>
  <si>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</si>
  <si>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</si>
  <si>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</si>
  <si>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</si>
  <si>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</si>
  <si>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</si>
  <si>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</si>
  <si>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</si>
  <si>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</si>
  <si>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</si>
  <si>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</si>
  <si>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</si>
  <si>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</si>
  <si>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</si>
  <si>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</si>
  <si>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</si>
  <si>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</si>
  <si>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</si>
  <si>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</si>
  <si>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</si>
  <si>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</si>
  <si>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</si>
  <si>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</si>
  <si>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</si>
  <si>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</si>
  <si>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</si>
  <si>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</si>
  <si>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</si>
  <si>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</si>
  <si>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</si>
  <si>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</si>
  <si>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</si>
  <si>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</si>
  <si>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</si>
  <si>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</si>
  <si>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</si>
  <si>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</si>
  <si>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</si>
  <si>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</si>
  <si>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</si>
  <si>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</si>
  <si>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</si>
  <si>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</si>
  <si>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</si>
  <si>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</si>
  <si>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</si>
  <si>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</si>
  <si>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</si>
  <si>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</si>
  <si>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</si>
  <si>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</si>
  <si>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</si>
  <si>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</si>
  <si>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</si>
  <si>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</si>
  <si>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</si>
  <si>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</si>
  <si>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</si>
  <si>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</si>
  <si>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</si>
  <si>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</si>
  <si>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</si>
  <si>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</si>
  <si>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</si>
  <si>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</si>
  <si>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</si>
  <si>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</si>
  <si>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</si>
  <si>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</si>
  <si>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</si>
  <si>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</si>
  <si>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</si>
  <si>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</si>
  <si>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</si>
  <si>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</si>
  <si>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</si>
  <si>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</si>
  <si>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</si>
  <si>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</si>
  <si>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</si>
  <si>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</si>
  <si>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</si>
  <si>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</si>
  <si>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</si>
  <si>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</si>
  <si>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</si>
  <si>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</si>
  <si>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</si>
  <si>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</si>
  <si>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</si>
  <si>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</si>
  <si>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</si>
  <si>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</si>
  <si>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</si>
  <si>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</si>
  <si>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</si>
  <si>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</si>
  <si>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</si>
  <si>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</si>
  <si>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</si>
  <si>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</si>
  <si>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</si>
  <si>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</si>
  <si>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</si>
  <si>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</si>
  <si>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</si>
  <si>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</si>
  <si>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</si>
  <si>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</si>
  <si>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</si>
  <si>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</si>
  <si>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</si>
  <si>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</si>
  <si>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</si>
  <si>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</si>
  <si>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</si>
  <si>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</si>
  <si>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</si>
  <si>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</si>
  <si>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</si>
  <si>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</si>
  <si>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</si>
  <si>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</si>
  <si>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</si>
  <si>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</si>
  <si>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</si>
  <si>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</si>
  <si>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</si>
  <si>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</si>
  <si>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</si>
  <si>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</si>
  <si>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</si>
  <si>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</si>
  <si>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</si>
  <si>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</si>
  <si>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</si>
  <si>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</si>
  <si>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</si>
  <si>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</si>
  <si>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</si>
  <si>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</si>
  <si>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</si>
  <si>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</si>
  <si>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</si>
  <si>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</si>
  <si>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</si>
  <si>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</si>
  <si>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</si>
  <si>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</si>
  <si>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</si>
  <si>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</si>
  <si>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</si>
  <si>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</si>
  <si>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</si>
  <si>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</si>
  <si>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</si>
  <si>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</si>
  <si>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</si>
  <si>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</si>
  <si>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</si>
  <si>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</si>
  <si>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</si>
  <si>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</si>
  <si>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</si>
  <si>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</si>
  <si>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</si>
  <si>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</si>
  <si>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</si>
  <si>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</si>
  <si>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</si>
  <si>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</si>
  <si>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</si>
  <si>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</si>
  <si>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</si>
  <si>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</si>
  <si>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</si>
  <si>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</si>
  <si>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</si>
  <si>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</si>
  <si>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</si>
  <si>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</si>
  <si>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</si>
  <si>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</si>
  <si>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</si>
  <si>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</si>
  <si>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</si>
  <si>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</si>
  <si>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</si>
  <si>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</si>
  <si>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</si>
  <si>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</si>
  <si>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</si>
  <si>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</si>
  <si>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</si>
  <si>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</si>
  <si>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</si>
  <si>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</si>
  <si>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</si>
  <si>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</si>
  <si>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</si>
  <si>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</si>
  <si>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</si>
  <si>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</si>
  <si>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</si>
  <si>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</si>
  <si>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</si>
  <si>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</si>
  <si>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</si>
  <si>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</si>
  <si>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</si>
  <si>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</si>
  <si>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</si>
  <si>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</si>
  <si>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</si>
  <si>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</si>
  <si>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</si>
  <si>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</si>
  <si>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</si>
  <si>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</si>
  <si>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</si>
  <si>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</si>
  <si>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</si>
  <si>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</si>
  <si>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</si>
  <si>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</si>
  <si>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</si>
  <si>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</si>
  <si>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</si>
  <si>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</si>
  <si>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</si>
  <si>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</si>
  <si>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</si>
  <si>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</si>
  <si>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</si>
  <si>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</si>
  <si>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</si>
  <si>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</si>
  <si>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</si>
  <si>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</si>
  <si>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</si>
  <si>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</si>
  <si>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</si>
  <si>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</si>
  <si>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</si>
  <si>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</si>
  <si>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</si>
  <si>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</si>
  <si>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</si>
  <si>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</si>
  <si>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</si>
  <si>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</si>
  <si>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</si>
  <si>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</si>
  <si>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</si>
  <si>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</si>
  <si>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</si>
  <si>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</si>
  <si>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</si>
  <si>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</si>
  <si>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</si>
  <si>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</si>
  <si>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</si>
  <si>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</si>
  <si>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</si>
  <si>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</si>
  <si>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</si>
  <si>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</si>
  <si>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</si>
  <si>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</si>
  <si>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</si>
  <si>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</si>
  <si>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</si>
  <si>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</si>
  <si>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</si>
  <si>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</si>
  <si>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</si>
  <si>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</si>
  <si>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</si>
  <si>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</si>
  <si>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</si>
  <si>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</si>
  <si>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</si>
  <si>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</si>
  <si>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</si>
  <si>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</si>
  <si>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</si>
  <si>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</si>
  <si>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</si>
  <si>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</si>
  <si>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</si>
  <si>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</si>
  <si>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</si>
  <si>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</si>
  <si>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</si>
  <si>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</si>
  <si>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</si>
  <si>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</si>
  <si>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</si>
  <si>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</si>
  <si>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</si>
  <si>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</si>
  <si>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</si>
  <si>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</si>
  <si>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</si>
  <si>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</si>
  <si>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</si>
  <si>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</si>
  <si>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</si>
  <si>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</si>
  <si>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</si>
  <si>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</si>
  <si>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</si>
  <si>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</si>
  <si>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</si>
  <si>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</si>
  <si>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</si>
  <si>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</si>
  <si>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</si>
  <si>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</si>
  <si>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</si>
  <si>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</si>
  <si>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</si>
  <si>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</si>
  <si>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</si>
  <si>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</si>
  <si>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</si>
  <si>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</si>
  <si>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</si>
  <si>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</si>
  <si>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</si>
  <si>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</si>
  <si>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</si>
  <si>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</si>
  <si>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</si>
  <si>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</si>
  <si>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</si>
  <si>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</si>
  <si>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</si>
  <si>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</si>
  <si>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</si>
  <si>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</si>
  <si>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</si>
  <si>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</si>
  <si>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</si>
  <si>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</si>
  <si>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</si>
  <si>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</si>
  <si>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</si>
  <si>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</si>
  <si>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</si>
  <si>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</si>
  <si>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</si>
  <si>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</si>
  <si>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</si>
  <si>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</si>
  <si>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</si>
  <si>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</si>
  <si>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</si>
  <si>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</si>
  <si>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</si>
  <si>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</si>
  <si>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</si>
  <si>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</si>
  <si>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</si>
  <si>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</si>
  <si>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</si>
  <si>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</si>
  <si>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</si>
  <si>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</si>
  <si>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</si>
  <si>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</si>
  <si>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</si>
  <si>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</si>
  <si>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</si>
  <si>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</si>
  <si>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</si>
  <si>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</si>
  <si>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</si>
  <si>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</si>
  <si>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</si>
  <si>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</si>
  <si>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</si>
  <si>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</si>
  <si>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</si>
  <si>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</si>
  <si>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</si>
  <si>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</si>
  <si>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</si>
  <si>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</si>
  <si>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</si>
  <si>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</si>
  <si>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</si>
  <si>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</si>
  <si>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</si>
  <si>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</si>
  <si>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</si>
  <si>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</si>
  <si>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</si>
  <si>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</si>
  <si>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</si>
  <si>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</si>
  <si>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</si>
  <si>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</si>
  <si>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</si>
  <si>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</si>
  <si>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</si>
  <si>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</si>
  <si>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</si>
  <si>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</si>
  <si>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</si>
  <si>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</si>
  <si>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</si>
  <si>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</si>
  <si>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</si>
  <si>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</si>
  <si>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</si>
  <si>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</si>
  <si>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</si>
  <si>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</si>
  <si>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</si>
  <si>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</si>
  <si>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</si>
  <si>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</si>
  <si>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</si>
  <si>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</si>
  <si>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</si>
  <si>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</si>
  <si>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</si>
  <si>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</si>
  <si>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</si>
  <si>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</si>
  <si>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</si>
  <si>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</si>
  <si>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</si>
  <si>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</si>
  <si>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</si>
  <si>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</si>
  <si>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</si>
  <si>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</si>
  <si>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</si>
  <si>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</si>
  <si>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</si>
  <si>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</si>
  <si>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</si>
  <si>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</si>
  <si>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</si>
  <si>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</si>
  <si>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</si>
  <si>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</si>
  <si>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</si>
  <si>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</si>
  <si>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</si>
  <si>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</si>
  <si>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</si>
  <si>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</si>
  <si>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</si>
  <si>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</si>
  <si>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</si>
  <si>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</si>
  <si>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</si>
  <si>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</si>
  <si>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</si>
  <si>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</si>
  <si>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</si>
  <si>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</si>
  <si>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</si>
  <si>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</si>
  <si>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</si>
  <si>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</si>
  <si>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</si>
  <si>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</si>
  <si>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</si>
  <si>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</si>
  <si>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</si>
  <si>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</si>
  <si>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</si>
  <si>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</si>
  <si>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</si>
  <si>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</si>
  <si>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</si>
  <si>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</si>
  <si>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</si>
  <si>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</si>
  <si>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</si>
  <si>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</si>
  <si>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</si>
  <si>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</si>
  <si>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</si>
  <si>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</si>
  <si>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</si>
  <si>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</si>
  <si>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</si>
  <si>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</si>
  <si>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</si>
  <si>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</si>
  <si>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</si>
  <si>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</si>
  <si>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</si>
  <si>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</si>
  <si>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</si>
  <si>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</si>
  <si>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</si>
  <si>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</si>
  <si>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</si>
  <si>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</si>
  <si>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</si>
  <si>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</si>
  <si>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</si>
  <si>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</si>
  <si>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</si>
  <si>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</si>
  <si>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</si>
  <si>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</si>
  <si>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</si>
  <si>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</si>
  <si>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</si>
  <si>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</si>
  <si>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</si>
  <si>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</si>
  <si>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</si>
  <si>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</si>
  <si>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</si>
  <si>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</si>
  <si>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</si>
  <si>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</si>
  <si>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</si>
  <si>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</si>
  <si>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</si>
  <si>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</si>
  <si>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</si>
  <si>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</si>
  <si>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</si>
  <si>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</si>
  <si>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</si>
  <si>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</si>
  <si>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</si>
  <si>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</si>
  <si>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</si>
  <si>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</si>
  <si>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</si>
  <si>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</si>
  <si>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</si>
  <si>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</si>
  <si>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</si>
  <si>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</si>
  <si>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</si>
  <si>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</si>
  <si>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</si>
  <si>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</si>
  <si>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</si>
  <si>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</si>
  <si>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</si>
  <si>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</si>
  <si>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</si>
  <si>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</si>
  <si>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</si>
  <si>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</si>
  <si>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</si>
  <si>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</si>
  <si>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</si>
  <si>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</si>
  <si>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</si>
  <si>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</si>
  <si>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</si>
  <si>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</si>
  <si>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</si>
  <si>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</si>
  <si>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</si>
  <si>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</si>
  <si>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</si>
  <si>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</si>
  <si>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</si>
  <si>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</si>
  <si>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</si>
  <si>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</si>
  <si>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</si>
  <si>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</si>
  <si>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</si>
  <si>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</si>
  <si>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</si>
  <si>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</si>
  <si>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</si>
  <si>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</si>
  <si>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</si>
  <si>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</si>
  <si>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</si>
  <si>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</si>
  <si>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</si>
  <si>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</si>
  <si>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</si>
  <si>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</si>
  <si>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</si>
  <si>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</si>
  <si>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</si>
  <si>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</si>
  <si>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</si>
  <si>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</si>
  <si>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</si>
  <si>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</si>
  <si>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</si>
  <si>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</si>
  <si>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</si>
  <si>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</si>
  <si>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</si>
  <si>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</si>
  <si>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</si>
  <si>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</si>
  <si>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</si>
  <si>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</si>
  <si>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</si>
  <si>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</si>
  <si>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</si>
  <si>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</si>
  <si>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</si>
  <si>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</si>
  <si>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</si>
  <si>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</si>
  <si>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</si>
  <si>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</si>
  <si>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</si>
  <si>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</si>
  <si>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</si>
  <si>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</si>
  <si>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</si>
  <si>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</si>
  <si>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</si>
  <si>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</si>
  <si>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</si>
  <si>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</si>
  <si>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</si>
  <si>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</si>
  <si>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</si>
  <si>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</si>
  <si>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</si>
  <si>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</si>
  <si>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</si>
  <si>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</si>
  <si>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</si>
  <si>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</si>
  <si>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</si>
  <si>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</si>
  <si>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</si>
  <si>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</si>
  <si>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</si>
  <si>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</si>
  <si>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</si>
  <si>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</si>
  <si>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</si>
  <si>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</si>
  <si>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</si>
  <si>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</si>
  <si>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</si>
  <si>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</si>
  <si>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</si>
  <si>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</si>
  <si>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</si>
  <si>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</si>
  <si>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</si>
  <si>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</si>
  <si>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</si>
  <si>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</si>
  <si>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</si>
  <si>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</si>
  <si>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</si>
  <si>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</si>
  <si>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</si>
  <si>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</si>
  <si>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</si>
  <si>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</si>
  <si>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</si>
  <si>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</si>
  <si>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</si>
  <si>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</si>
  <si>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</si>
  <si>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</si>
  <si>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</si>
  <si>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</si>
  <si>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</si>
  <si>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</si>
  <si>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</si>
  <si>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</si>
  <si>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</si>
  <si>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</si>
  <si>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</si>
  <si>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</si>
  <si>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</si>
  <si>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</si>
  <si>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</si>
  <si>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</si>
  <si>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</si>
  <si>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</si>
  <si>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</si>
  <si>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</si>
  <si>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</si>
  <si>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</si>
  <si>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</si>
  <si>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</si>
  <si>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</si>
  <si>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</si>
  <si>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</si>
  <si>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</si>
  <si>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</si>
  <si>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</si>
  <si>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</si>
  <si>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</si>
  <si>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</si>
  <si>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</si>
  <si>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</si>
  <si>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</si>
  <si>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</si>
  <si>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</si>
  <si>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</si>
  <si>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</si>
  <si>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</si>
  <si>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</si>
  <si>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</si>
  <si>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</si>
  <si>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</si>
  <si>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</si>
  <si>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</si>
  <si>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</si>
  <si>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</si>
  <si>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</si>
  <si>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</si>
  <si>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</si>
  <si>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</si>
  <si>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</si>
  <si>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</si>
  <si>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</si>
  <si>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</si>
  <si>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</si>
  <si>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</si>
  <si>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</si>
  <si>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</si>
  <si>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</si>
  <si>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</si>
  <si>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</si>
  <si>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</si>
  <si>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</si>
  <si>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</si>
  <si>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</si>
  <si>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</si>
  <si>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</si>
  <si>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</si>
  <si>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</si>
  <si>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</si>
  <si>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</si>
  <si>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</si>
  <si>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</si>
  <si>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</si>
  <si>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</si>
  <si>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</si>
  <si>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</si>
  <si>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</si>
  <si>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</si>
  <si>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</si>
  <si>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</si>
  <si>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</si>
  <si>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</si>
  <si>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</si>
  <si>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</si>
  <si>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</si>
  <si>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</si>
  <si>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</si>
  <si>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</si>
  <si>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</si>
  <si>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</si>
  <si>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</si>
  <si>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</si>
  <si>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</si>
  <si>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</si>
  <si>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</si>
  <si>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</si>
  <si>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</si>
  <si>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</si>
  <si>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</si>
  <si>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</si>
  <si>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</si>
  <si>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</si>
  <si>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</si>
  <si>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</si>
  <si>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</si>
  <si>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</si>
  <si>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</si>
  <si>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</si>
  <si>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</si>
  <si>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</si>
  <si>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</si>
  <si>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</si>
  <si>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</si>
  <si>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</si>
  <si>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</si>
  <si>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</si>
  <si>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</si>
  <si>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</si>
  <si>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</si>
  <si>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</si>
  <si>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</si>
  <si>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</si>
  <si>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</si>
  <si>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</si>
  <si>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</si>
  <si>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</si>
  <si>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</si>
  <si>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</si>
  <si>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</si>
  <si>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</si>
  <si>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</si>
  <si>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</si>
  <si>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</si>
  <si>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</si>
  <si>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</si>
  <si>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</si>
  <si>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</si>
  <si>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</si>
  <si>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</si>
  <si>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</si>
  <si>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</si>
  <si>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</si>
  <si>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</si>
  <si>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</si>
  <si>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</si>
  <si>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</si>
  <si>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</si>
  <si>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</si>
  <si>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</si>
  <si>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</si>
  <si>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</si>
  <si>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</si>
  <si>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</si>
  <si>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</si>
  <si>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</si>
  <si>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</si>
  <si>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</si>
  <si>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</si>
  <si>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</si>
  <si>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</si>
  <si>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</si>
  <si>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</si>
  <si>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</si>
  <si>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</si>
  <si>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</si>
  <si>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</si>
  <si>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</si>
  <si>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</si>
  <si>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</si>
  <si>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</si>
  <si>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</si>
  <si>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</si>
  <si>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</si>
  <si>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</si>
  <si>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</si>
  <si>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</si>
  <si>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</si>
  <si>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</si>
  <si>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</si>
  <si>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</si>
  <si>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</si>
  <si>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</si>
  <si>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</si>
  <si>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</si>
  <si>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</si>
  <si>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</si>
  <si>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</si>
  <si>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</si>
  <si>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</si>
  <si>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</si>
  <si>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</si>
  <si>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</si>
  <si>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</si>
  <si>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</si>
  <si>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</si>
  <si>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</si>
  <si>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</si>
  <si>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</si>
  <si>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</si>
  <si>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</si>
  <si>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</si>
  <si>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</si>
  <si>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</si>
  <si>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</si>
  <si>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</si>
  <si>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</si>
  <si>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</si>
  <si>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</si>
  <si>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</si>
  <si>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</si>
  <si>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</si>
  <si>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</si>
  <si>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</si>
  <si>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</si>
  <si>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</si>
  <si>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</si>
  <si>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</si>
  <si>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</si>
  <si>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</si>
  <si>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</si>
  <si>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</si>
  <si>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</si>
  <si>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</si>
  <si>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</si>
  <si>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</si>
  <si>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</si>
  <si>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</si>
  <si>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</si>
  <si>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</si>
  <si>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</si>
  <si>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</si>
  <si>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</si>
  <si>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</si>
  <si>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</si>
  <si>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</si>
  <si>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</si>
  <si>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</si>
  <si>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</si>
  <si>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</si>
  <si>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</si>
  <si>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</si>
  <si>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</si>
  <si>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</si>
  <si>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</si>
  <si>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</si>
  <si>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</si>
  <si>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</si>
  <si>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</si>
  <si>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</si>
  <si>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</si>
  <si>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</si>
  <si>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</si>
  <si>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</si>
  <si>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</si>
  <si>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</si>
  <si>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</si>
  <si>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</si>
  <si>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</si>
  <si>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</si>
  <si>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</si>
  <si>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</si>
  <si>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</si>
  <si>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</si>
  <si>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</si>
  <si>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</si>
  <si>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</si>
  <si>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</si>
  <si>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</si>
  <si>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</si>
  <si>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</si>
  <si>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</si>
  <si>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</si>
  <si>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</si>
  <si>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</si>
  <si>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</si>
  <si>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</si>
  <si>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</si>
  <si>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</si>
  <si>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</si>
  <si>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</si>
  <si>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</si>
  <si>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</si>
  <si>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</si>
  <si>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</si>
  <si>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</si>
  <si>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</si>
  <si>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</si>
  <si>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</si>
  <si>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</si>
  <si>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</si>
  <si>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</si>
  <si>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</si>
  <si>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</si>
  <si>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</si>
  <si>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</si>
  <si>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</si>
  <si>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</si>
  <si>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</si>
  <si>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</si>
  <si>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</si>
  <si>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</si>
  <si>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</si>
  <si>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</si>
  <si>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</si>
  <si>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</si>
  <si>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</si>
  <si>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</si>
  <si>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</si>
  <si>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</si>
  <si>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</si>
  <si>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</si>
  <si>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</si>
  <si>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</si>
  <si>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</si>
  <si>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</si>
  <si>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</si>
  <si>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</si>
  <si>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</si>
  <si>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</si>
  <si>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</si>
  <si>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</si>
  <si>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</si>
  <si>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</si>
  <si>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</si>
  <si>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</si>
  <si>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</si>
  <si>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</si>
  <si>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</si>
  <si>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</si>
  <si>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</si>
  <si>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</si>
  <si>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</si>
  <si>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</si>
  <si>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</si>
  <si>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</si>
  <si>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</si>
  <si>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</si>
  <si>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</si>
  <si>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</si>
  <si>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</si>
  <si>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</si>
  <si>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</si>
  <si>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</si>
  <si>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</si>
  <si>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</si>
  <si>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</si>
  <si>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</si>
  <si>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</si>
  <si>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</si>
  <si>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</si>
  <si>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</si>
  <si>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</si>
  <si>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</si>
  <si>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</si>
  <si>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</si>
  <si>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</si>
  <si>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</si>
  <si>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</si>
  <si>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</si>
  <si>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</si>
  <si>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</si>
  <si>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</si>
  <si>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</si>
  <si>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</si>
  <si>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</si>
  <si>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</si>
  <si>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</si>
  <si>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</si>
  <si>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</si>
  <si>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</si>
  <si>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</si>
  <si>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</si>
  <si>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</si>
  <si>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</si>
  <si>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</si>
  <si>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</si>
  <si>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</si>
  <si>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</si>
  <si>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</si>
  <si>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</si>
  <si>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</si>
  <si>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</si>
  <si>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</si>
  <si>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</si>
  <si>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</si>
  <si>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</si>
  <si>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</si>
  <si>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</si>
  <si>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</si>
  <si>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</si>
  <si>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</si>
  <si>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</si>
  <si>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</si>
  <si>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</si>
  <si>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</si>
  <si>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</si>
  <si>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</si>
  <si>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</si>
  <si>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</si>
  <si>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</si>
  <si>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</si>
  <si>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</si>
  <si>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</si>
  <si>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</si>
  <si>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</si>
  <si>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</si>
  <si>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</si>
  <si>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</si>
  <si>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</si>
  <si>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</si>
  <si>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</si>
  <si>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</si>
  <si>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</si>
  <si>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</si>
  <si>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</si>
  <si>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</si>
  <si>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</si>
  <si>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</si>
  <si>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</si>
  <si>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</si>
  <si>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</si>
  <si>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</si>
  <si>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</si>
  <si>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</si>
  <si>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</si>
  <si>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</si>
  <si>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</si>
  <si>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</si>
  <si>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</si>
  <si>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</si>
  <si>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</si>
  <si>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</si>
  <si>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</si>
  <si>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</si>
  <si>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</si>
  <si>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</si>
  <si>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</si>
  <si>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</si>
  <si>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</si>
  <si>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</si>
  <si>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</si>
  <si>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</si>
  <si>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</si>
  <si>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</si>
  <si>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</si>
  <si>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</si>
  <si>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</si>
  <si>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</si>
  <si>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</si>
  <si>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</si>
  <si>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</si>
  <si>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</si>
  <si>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</si>
  <si>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</si>
  <si>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</si>
  <si>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</si>
  <si>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</si>
  <si>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</si>
  <si>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</si>
  <si>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</si>
  <si>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</si>
  <si>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</si>
  <si>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</si>
  <si>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</si>
  <si>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</si>
  <si>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</si>
  <si>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</si>
  <si>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</si>
  <si>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</si>
  <si>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</si>
  <si>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</si>
  <si>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</si>
  <si>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</si>
  <si>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</si>
  <si>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</si>
  <si>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</si>
  <si>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</si>
  <si>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</si>
  <si>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</si>
  <si>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</si>
  <si>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</si>
  <si>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</si>
  <si>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</si>
  <si>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</si>
  <si>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</si>
  <si>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</si>
  <si>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</si>
  <si>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</si>
  <si>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</si>
  <si>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</si>
  <si>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</si>
  <si>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</si>
  <si>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</si>
  <si>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</si>
  <si>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</si>
  <si>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</si>
  <si>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</si>
  <si>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</si>
  <si>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</si>
  <si>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</si>
  <si>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</si>
  <si>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</si>
  <si>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</si>
  <si>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</si>
  <si>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</si>
  <si>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</si>
  <si>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</si>
  <si>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</si>
  <si>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</si>
  <si>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</si>
  <si>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</si>
  <si>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</si>
  <si>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</si>
  <si>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</si>
  <si>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</si>
  <si>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</si>
  <si>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</si>
  <si>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</si>
  <si>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</si>
  <si>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</si>
  <si>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</si>
  <si>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</si>
  <si>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</si>
  <si>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</si>
  <si>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</si>
  <si>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</si>
  <si>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</si>
  <si>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</si>
  <si>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</si>
  <si>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</si>
  <si>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</si>
  <si>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</si>
  <si>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</si>
  <si>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</si>
  <si>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</si>
  <si>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</si>
  <si>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</si>
  <si>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</si>
  <si>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</si>
  <si>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</si>
  <si>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</si>
  <si>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</si>
  <si>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</si>
  <si>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</si>
  <si>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</si>
  <si>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</si>
  <si>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</si>
  <si>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</si>
  <si>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</si>
  <si>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</si>
  <si>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</si>
  <si>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</si>
  <si>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</si>
  <si>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</si>
  <si>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</si>
  <si>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</si>
  <si>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</si>
  <si>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</si>
  <si>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</si>
  <si>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</si>
  <si>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</si>
  <si>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</si>
  <si>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</si>
  <si>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</si>
  <si>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</si>
  <si>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</si>
  <si>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</si>
  <si>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</si>
  <si>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</si>
  <si>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</si>
  <si>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</si>
  <si>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</si>
  <si>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</si>
  <si>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</si>
  <si>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</si>
  <si>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</si>
  <si>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</si>
  <si>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</si>
  <si>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</si>
  <si>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</si>
  <si>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</si>
  <si>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</si>
  <si>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</si>
  <si>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</si>
  <si>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</si>
  <si>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</si>
  <si>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</si>
  <si>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</si>
  <si>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</si>
  <si>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</si>
  <si>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</si>
  <si>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</si>
  <si>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</si>
  <si>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</si>
  <si>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</si>
  <si>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</si>
  <si>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</si>
  <si>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</si>
  <si>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</si>
  <si>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</si>
  <si>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</si>
  <si>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</si>
  <si>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</si>
  <si>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</si>
  <si>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</si>
  <si>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</si>
  <si>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</si>
  <si>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</si>
  <si>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</si>
  <si>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</si>
  <si>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</si>
  <si>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</si>
  <si>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</si>
  <si>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</si>
  <si>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</si>
  <si>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</si>
  <si>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</si>
  <si>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</si>
  <si>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</si>
  <si>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</si>
  <si>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</si>
  <si>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</si>
  <si>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</si>
  <si>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</si>
  <si>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</si>
  <si>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</si>
  <si>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</si>
  <si>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</si>
  <si>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</si>
  <si>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</si>
  <si>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</si>
  <si>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</si>
  <si>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</si>
  <si>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</si>
  <si>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</si>
  <si>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</si>
  <si>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</si>
  <si>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</si>
  <si>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</si>
  <si>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</si>
  <si>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</si>
  <si>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</si>
  <si>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</si>
  <si>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</si>
  <si>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</si>
  <si>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</si>
  <si>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</si>
  <si>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</si>
  <si>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</si>
  <si>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</si>
  <si>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</si>
  <si>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</si>
  <si>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</si>
  <si>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</si>
  <si>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</si>
  <si>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</si>
  <si>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</si>
  <si>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</si>
  <si>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</si>
  <si>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</si>
  <si>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</si>
  <si>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</si>
  <si>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</si>
  <si>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</si>
  <si>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</si>
  <si>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</si>
  <si>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</si>
  <si>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</si>
  <si>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</si>
  <si>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</si>
  <si>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</si>
  <si>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</si>
  <si>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</si>
  <si>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</si>
  <si>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</si>
  <si>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</si>
  <si>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</si>
  <si>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</si>
  <si>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</si>
  <si>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</si>
  <si>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</si>
  <si>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</si>
  <si>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</si>
  <si>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</si>
  <si>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</si>
  <si>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</si>
  <si>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</si>
  <si>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</si>
  <si>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</si>
  <si>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</si>
  <si>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</si>
  <si>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</si>
  <si>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</si>
  <si>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</si>
  <si>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</si>
  <si>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</si>
  <si>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</si>
  <si>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</si>
  <si>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</si>
  <si>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</si>
  <si>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</si>
  <si>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</si>
  <si>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</si>
  <si>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</si>
  <si>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</si>
  <si>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</si>
  <si>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</si>
  <si>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</si>
  <si>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</si>
  <si>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</si>
  <si>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</si>
  <si>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</si>
  <si>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</si>
  <si>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</si>
  <si>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</si>
  <si>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</si>
  <si>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</si>
  <si>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</si>
  <si>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</si>
  <si>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</si>
  <si>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</si>
  <si>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</si>
  <si>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</si>
  <si>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</si>
  <si>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</si>
  <si>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</si>
  <si>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</si>
  <si>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</si>
  <si>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</si>
  <si>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</si>
  <si>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</si>
  <si>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</si>
  <si>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</si>
  <si>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</si>
  <si>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</si>
  <si>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</si>
  <si>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</si>
  <si>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</si>
  <si>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</si>
  <si>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</si>
  <si>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</si>
  <si>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</si>
  <si>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</si>
  <si>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</si>
  <si>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</si>
  <si>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</si>
  <si>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</si>
  <si>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</si>
  <si>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</si>
  <si>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</si>
  <si>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</si>
  <si>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</si>
  <si>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</si>
  <si>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</si>
  <si>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</si>
  <si>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</si>
  <si>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</si>
  <si>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</si>
  <si>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</si>
  <si>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</si>
  <si>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</si>
  <si>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</si>
  <si>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</si>
  <si>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</si>
  <si>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</si>
  <si>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</si>
  <si>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</si>
  <si>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</si>
  <si>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</si>
  <si>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</si>
  <si>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</si>
  <si>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</si>
  <si>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</si>
  <si>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</si>
  <si>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</si>
  <si>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</si>
  <si>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</si>
  <si>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</si>
  <si>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</si>
  <si>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</si>
  <si>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</si>
  <si>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</si>
  <si>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</si>
  <si>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</si>
  <si>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</si>
  <si>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</si>
  <si>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</si>
  <si>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</si>
  <si>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</si>
  <si>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</si>
  <si>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</si>
  <si>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</si>
  <si>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</si>
  <si>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</si>
  <si>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</si>
  <si>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</si>
  <si>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</si>
  <si>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</si>
  <si>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</si>
  <si>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</si>
  <si>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</si>
  <si>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</si>
  <si>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</si>
  <si>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</si>
  <si>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</si>
  <si>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</si>
  <si>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</si>
  <si>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</si>
  <si>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</si>
  <si>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</si>
  <si>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</si>
  <si>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</si>
  <si>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</si>
  <si>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</si>
  <si>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</si>
  <si>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</si>
  <si>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</si>
  <si>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</si>
  <si>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</si>
  <si>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</si>
  <si>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</si>
  <si>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</si>
  <si>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</si>
  <si>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</si>
  <si>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</si>
  <si>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</si>
  <si>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</si>
  <si>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</si>
  <si>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</si>
  <si>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</si>
  <si>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</si>
  <si>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</si>
  <si>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</si>
  <si>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</si>
  <si>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</si>
  <si>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</si>
  <si>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</si>
  <si>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</si>
  <si>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</si>
  <si>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</si>
  <si>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</si>
  <si>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</si>
  <si>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</si>
  <si>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</si>
  <si>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</si>
  <si>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</si>
  <si>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</si>
  <si>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</si>
  <si>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</si>
  <si>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</si>
  <si>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</si>
  <si>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</si>
  <si>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</si>
  <si>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</si>
  <si>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</si>
  <si>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</si>
  <si>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</si>
  <si>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</si>
  <si>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</si>
  <si>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</si>
  <si>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</si>
  <si>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</si>
  <si>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</si>
  <si>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</si>
  <si>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</si>
  <si>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</si>
  <si>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</si>
  <si>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</si>
  <si>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</si>
  <si>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</si>
  <si>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</si>
  <si>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</si>
  <si>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</si>
  <si>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</si>
  <si>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</si>
  <si>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</si>
  <si>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</si>
  <si>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</si>
  <si>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</si>
  <si>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</si>
  <si>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</si>
  <si>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</si>
  <si>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</si>
  <si>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</si>
  <si>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</si>
  <si>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</si>
  <si>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</si>
  <si>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</si>
  <si>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</si>
  <si>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</si>
  <si>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</si>
  <si>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</si>
  <si>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</si>
  <si>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</si>
  <si>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</si>
  <si>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</si>
  <si>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</si>
  <si>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</si>
  <si>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</si>
  <si>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</si>
  <si>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</si>
  <si>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</si>
  <si>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</si>
  <si>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</si>
  <si>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</si>
  <si>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</si>
  <si>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</si>
  <si>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</si>
  <si>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</si>
  <si>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</si>
  <si>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</si>
  <si>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</si>
  <si>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</si>
  <si>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</si>
  <si>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</si>
  <si>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</si>
  <si>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</si>
  <si>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</si>
  <si>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</si>
  <si>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</si>
  <si>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</si>
  <si>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</si>
  <si>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</si>
  <si>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</si>
  <si>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</si>
  <si>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</si>
  <si>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</si>
  <si>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</si>
  <si>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</si>
  <si>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</si>
  <si>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</si>
  <si>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</si>
  <si>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</si>
  <si>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</si>
  <si>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</si>
  <si>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</si>
  <si>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</si>
  <si>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</si>
  <si>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</si>
  <si>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</si>
  <si>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</si>
  <si>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</si>
  <si>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</si>
  <si>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</si>
  <si>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</si>
  <si>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</si>
  <si>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</si>
  <si>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</si>
  <si>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</si>
  <si>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</si>
  <si>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</si>
  <si>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</si>
  <si>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</si>
  <si>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</si>
  <si>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</si>
  <si>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</si>
  <si>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</si>
  <si>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</si>
  <si>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</si>
  <si>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</si>
  <si>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</si>
  <si>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</si>
  <si>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</si>
  <si>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</si>
  <si>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</si>
  <si>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</si>
  <si>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</si>
  <si>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</si>
  <si>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</si>
  <si>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</si>
  <si>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</si>
  <si>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</si>
  <si>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</si>
  <si>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</si>
  <si>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</si>
  <si>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</si>
  <si>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</si>
  <si>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</si>
  <si>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</si>
  <si>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</si>
  <si>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</si>
  <si>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</si>
  <si>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</si>
  <si>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</si>
  <si>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</si>
  <si>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</si>
  <si>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</si>
  <si>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</si>
  <si>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</si>
  <si>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</si>
  <si>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</si>
  <si>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</si>
  <si>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</si>
  <si>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</si>
  <si>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</si>
  <si>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</si>
  <si>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</si>
  <si>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</si>
  <si>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</si>
  <si>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</si>
  <si>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</si>
  <si>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</si>
  <si>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</si>
  <si>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</si>
  <si>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</si>
  <si>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</si>
  <si>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</si>
  <si>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</si>
  <si>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</si>
  <si>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</si>
  <si>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</si>
  <si>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</si>
  <si>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</si>
  <si>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</si>
  <si>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</si>
  <si>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</si>
  <si>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</si>
  <si>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</si>
  <si>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</si>
  <si>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</si>
  <si>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</si>
  <si>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</si>
  <si>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</si>
  <si>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</si>
  <si>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</si>
  <si>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</si>
  <si>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</si>
  <si>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</si>
  <si>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</si>
  <si>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</si>
  <si>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</si>
  <si>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</si>
  <si>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</si>
  <si>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</si>
  <si>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</si>
  <si>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</si>
  <si>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</si>
  <si>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</si>
  <si>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</si>
  <si>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</si>
  <si>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</si>
  <si>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</si>
  <si>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</si>
  <si>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</si>
  <si>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</si>
  <si>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</si>
  <si>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</si>
  <si>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</si>
  <si>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</si>
  <si>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</si>
  <si>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</si>
  <si>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</si>
  <si>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</si>
  <si>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</si>
  <si>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</si>
  <si>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</si>
  <si>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</si>
  <si>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</si>
  <si>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</si>
  <si>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</si>
  <si>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</si>
  <si>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</si>
  <si>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</si>
  <si>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</si>
  <si>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</si>
  <si>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</si>
  <si>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</si>
  <si>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</si>
  <si>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</si>
  <si>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</si>
  <si>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</si>
  <si>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</si>
  <si>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</si>
  <si>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</si>
  <si>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</si>
  <si>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</si>
  <si>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</si>
  <si>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</si>
  <si>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</si>
  <si>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</si>
  <si>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</si>
  <si>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</si>
  <si>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</si>
  <si>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</si>
  <si>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</si>
  <si>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</si>
  <si>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</si>
  <si>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</si>
  <si>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</si>
  <si>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</si>
  <si>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</si>
  <si>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</si>
  <si>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</si>
  <si>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</si>
  <si>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</si>
  <si>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</si>
  <si>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</si>
  <si>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</si>
  <si>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</si>
  <si>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</si>
  <si>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</si>
  <si>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</si>
  <si>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</si>
  <si>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</si>
  <si>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</si>
  <si>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</si>
  <si>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</si>
  <si>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</si>
  <si>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</si>
  <si>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</si>
  <si>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</si>
  <si>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</si>
  <si>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</si>
  <si>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</si>
  <si>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</si>
  <si>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</si>
  <si>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</si>
  <si>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</si>
  <si>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</si>
  <si>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</si>
  <si>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</si>
  <si>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</si>
  <si>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</si>
  <si>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</si>
  <si>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</si>
  <si>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</si>
  <si>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</si>
  <si>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</si>
  <si>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</si>
  <si>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</si>
  <si>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</si>
  <si>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</si>
  <si>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</si>
  <si>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</si>
  <si>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</si>
  <si>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</si>
  <si>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</si>
  <si>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</si>
  <si>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</si>
  <si>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</si>
  <si>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</si>
  <si>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</si>
  <si>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</si>
  <si>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</si>
  <si>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</si>
  <si>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</si>
  <si>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</si>
  <si>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</si>
  <si>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</si>
  <si>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</si>
  <si>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</si>
  <si>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</si>
  <si>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</si>
  <si>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</si>
  <si>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</si>
  <si>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</si>
  <si>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</si>
  <si>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</si>
  <si>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</si>
  <si>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</si>
  <si>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</si>
  <si>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</si>
  <si>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</si>
  <si>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</si>
  <si>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</si>
  <si>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</si>
  <si>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</si>
  <si>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</si>
  <si>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</si>
  <si>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</si>
  <si>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</si>
  <si>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</si>
  <si>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</si>
  <si>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</si>
  <si>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</si>
  <si>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</si>
  <si>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</si>
  <si>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</si>
  <si>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</si>
  <si>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</si>
  <si>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</si>
  <si>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</si>
  <si>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</si>
  <si>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</si>
  <si>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</si>
  <si>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</si>
  <si>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</si>
  <si>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</si>
  <si>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</si>
  <si>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</si>
  <si>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</si>
  <si>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</si>
  <si>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</si>
  <si>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</si>
  <si>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</si>
  <si>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</si>
  <si>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</si>
  <si>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</si>
  <si>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</si>
  <si>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</si>
  <si>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</si>
  <si>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</si>
  <si>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</si>
  <si>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</si>
  <si>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</si>
  <si>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</si>
  <si>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</si>
  <si>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</si>
  <si>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</si>
  <si>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</si>
  <si>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</si>
  <si>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</si>
  <si>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</si>
  <si>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</si>
  <si>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</si>
  <si>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</si>
  <si>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</si>
  <si>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</si>
  <si>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</si>
  <si>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</si>
  <si>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</si>
  <si>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</si>
  <si>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</si>
  <si>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</si>
  <si>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</si>
  <si>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</si>
  <si>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</si>
  <si>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</si>
  <si>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</si>
  <si>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</si>
  <si>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</si>
  <si>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</si>
  <si>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</si>
  <si>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</si>
  <si>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</si>
  <si>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</si>
  <si>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</si>
  <si>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</si>
  <si>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</si>
  <si>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</si>
  <si>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</si>
  <si>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</si>
  <si>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</si>
  <si>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</si>
  <si>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</si>
  <si>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</si>
  <si>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</si>
  <si>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</si>
  <si>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</si>
  <si>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</si>
  <si>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</si>
  <si>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</si>
  <si>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</si>
  <si>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</si>
  <si>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</si>
  <si>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</si>
  <si>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</si>
  <si>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</si>
  <si>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</si>
  <si>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</si>
  <si>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</si>
  <si>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</si>
  <si>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</si>
  <si>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</si>
  <si>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</si>
  <si>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</si>
  <si>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</si>
  <si>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</si>
  <si>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</si>
  <si>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</si>
  <si>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</si>
  <si>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</si>
  <si>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</si>
  <si>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</si>
  <si>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</si>
  <si>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</si>
  <si>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</si>
  <si>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</si>
  <si>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</si>
  <si>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</si>
  <si>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</si>
  <si>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</si>
  <si>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</si>
  <si>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</si>
  <si>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</si>
  <si>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</si>
  <si>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</si>
  <si>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</si>
  <si>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</si>
  <si>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</si>
  <si>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</si>
  <si>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</si>
  <si>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</si>
  <si>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</si>
  <si>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</si>
  <si>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</si>
  <si>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</si>
  <si>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</si>
  <si>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</si>
  <si>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</si>
  <si>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</si>
  <si>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</si>
  <si>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</si>
  <si>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</si>
  <si>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</si>
  <si>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</si>
  <si>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</si>
  <si>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</si>
  <si>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</si>
  <si>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</si>
  <si>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</si>
  <si>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</si>
  <si>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</si>
  <si>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</si>
  <si>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</si>
  <si>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</si>
  <si>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</si>
  <si>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</si>
  <si>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</si>
  <si>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</si>
  <si>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</si>
  <si>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</si>
  <si>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</si>
  <si>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</si>
  <si>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</si>
  <si>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</si>
  <si>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</si>
  <si>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</si>
  <si>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</si>
  <si>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</si>
  <si>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</si>
  <si>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</si>
  <si>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</si>
  <si>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</si>
  <si>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</si>
  <si>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</si>
  <si>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</si>
  <si>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</si>
  <si>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</si>
  <si>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</si>
  <si>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</si>
  <si>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</si>
  <si>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</si>
  <si>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</si>
  <si>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</si>
  <si>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</si>
  <si>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</si>
  <si>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</si>
  <si>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</si>
  <si>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</si>
  <si>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</si>
  <si>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</si>
  <si>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</si>
  <si>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</si>
  <si>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</si>
  <si>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</si>
  <si>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</si>
  <si>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</si>
  <si>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</si>
  <si>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</si>
  <si>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</si>
  <si>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</si>
  <si>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</si>
  <si>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</si>
  <si>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</si>
  <si>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</si>
  <si>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</si>
  <si>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</si>
  <si>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</si>
  <si>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</si>
  <si>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</si>
  <si>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</si>
  <si>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</si>
  <si>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</si>
  <si>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</si>
  <si>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</si>
  <si>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</si>
  <si>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</si>
  <si>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</si>
  <si>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</si>
  <si>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</si>
  <si>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</si>
  <si>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</si>
  <si>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</si>
  <si>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</si>
  <si>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</si>
  <si>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</si>
  <si>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</si>
  <si>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</si>
  <si>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</si>
  <si>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</si>
  <si>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</si>
  <si>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</si>
  <si>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</si>
  <si>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</si>
  <si>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</si>
  <si>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</si>
  <si>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</si>
  <si>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</si>
  <si>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</si>
  <si>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</si>
  <si>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</si>
  <si>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</si>
  <si>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</si>
  <si>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</si>
  <si>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</si>
  <si>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</si>
  <si>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</si>
  <si>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</si>
  <si>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</si>
  <si>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</si>
  <si>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</si>
  <si>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</si>
  <si>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</si>
  <si>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</si>
  <si>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</si>
  <si>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</si>
  <si>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</si>
  <si>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</si>
  <si>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</si>
  <si>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</si>
  <si>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</si>
  <si>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</si>
  <si>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</si>
  <si>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</si>
  <si>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</si>
  <si>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</si>
  <si>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</si>
  <si>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</si>
  <si>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</si>
  <si>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</si>
  <si>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</si>
  <si>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</si>
  <si>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</si>
  <si>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</si>
  <si>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</si>
  <si>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</si>
  <si>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</si>
  <si>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</si>
  <si>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</si>
  <si>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</si>
  <si>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</si>
  <si>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</si>
  <si>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</si>
  <si>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</si>
  <si>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</si>
  <si>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</si>
  <si>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</si>
  <si>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</si>
  <si>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</si>
  <si>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</si>
  <si>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</si>
  <si>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</si>
  <si>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</si>
  <si>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</si>
  <si>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</si>
  <si>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</si>
  <si>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</si>
  <si>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</si>
  <si>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</si>
  <si>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</si>
  <si>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</si>
  <si>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</si>
  <si>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</si>
  <si>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</si>
  <si>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</si>
  <si>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</si>
  <si>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</si>
  <si>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</si>
  <si>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</si>
  <si>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</si>
  <si>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</si>
  <si>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</si>
  <si>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</si>
  <si>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</si>
  <si>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</si>
  <si>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</si>
  <si>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</si>
  <si>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</si>
  <si>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</si>
  <si>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</si>
  <si>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</si>
  <si>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</si>
  <si>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</si>
  <si>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</si>
  <si>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</si>
  <si>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</si>
  <si>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</si>
  <si>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</si>
  <si>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</si>
  <si>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</si>
  <si>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</si>
  <si>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</si>
  <si>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</si>
  <si>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</si>
  <si>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</si>
  <si>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</si>
  <si>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</si>
  <si>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</si>
  <si>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</si>
  <si>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</si>
  <si>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</si>
  <si>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</si>
  <si>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</si>
  <si>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</si>
  <si>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</si>
  <si>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</si>
  <si>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</si>
  <si>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</si>
  <si>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</si>
  <si>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</si>
  <si>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</si>
  <si>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</si>
  <si>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</si>
  <si>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</si>
  <si>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</si>
  <si>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</si>
  <si>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</si>
  <si>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</si>
  <si>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</si>
  <si>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</si>
  <si>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</si>
  <si>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</si>
  <si>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</si>
  <si>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</si>
  <si>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</si>
  <si>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</si>
  <si>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</si>
  <si>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</si>
  <si>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</si>
  <si>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</si>
  <si>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</si>
  <si>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</si>
  <si>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</si>
  <si>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</si>
  <si>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</si>
  <si>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</si>
  <si>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</si>
  <si>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</si>
  <si>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</si>
  <si>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</si>
  <si>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</si>
  <si>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</si>
  <si>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</si>
  <si>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</si>
  <si>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</si>
  <si>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</si>
  <si>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</si>
  <si>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</si>
  <si>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</si>
  <si>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</si>
  <si>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</si>
  <si>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</si>
  <si>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</si>
  <si>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</si>
  <si>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</si>
  <si>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</si>
  <si>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</si>
  <si>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</si>
  <si>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</si>
  <si>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</si>
  <si>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</si>
  <si>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</si>
  <si>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</si>
  <si>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</si>
  <si>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</si>
  <si>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</si>
  <si>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</si>
  <si>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</si>
  <si>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</si>
  <si>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</si>
  <si>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</si>
  <si>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</si>
  <si>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</si>
  <si>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</si>
  <si>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</si>
  <si>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</si>
  <si>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</si>
  <si>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</si>
  <si>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</si>
  <si>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</si>
  <si>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</si>
  <si>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</si>
  <si>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</si>
  <si>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</si>
  <si>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</si>
  <si>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</si>
  <si>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</si>
  <si>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</si>
  <si>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</si>
  <si>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</si>
  <si>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</si>
  <si>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</si>
  <si>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</si>
  <si>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</si>
  <si>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</si>
  <si>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</si>
  <si>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</si>
  <si>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</si>
  <si>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</si>
  <si>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</si>
  <si>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</si>
  <si>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</si>
  <si>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</si>
  <si>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</si>
  <si>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</si>
  <si>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</si>
  <si>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</si>
  <si>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</si>
  <si>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</si>
  <si>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</si>
  <si>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</si>
  <si>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</si>
  <si>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</si>
  <si>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</si>
  <si>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</si>
  <si>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</si>
  <si>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</si>
  <si>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</si>
  <si>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</si>
  <si>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</si>
  <si>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</si>
  <si>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</si>
  <si>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</si>
  <si>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</si>
  <si>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</si>
  <si>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</si>
  <si>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</si>
  <si>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</si>
  <si>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</si>
  <si>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</si>
  <si>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</si>
  <si>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</si>
  <si>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</si>
  <si>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</si>
  <si>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</si>
  <si>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</si>
  <si>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</si>
  <si>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</si>
  <si>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</si>
  <si>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</si>
  <si>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</si>
  <si>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</si>
  <si>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</si>
  <si>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</si>
  <si>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</si>
  <si>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</si>
  <si>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</si>
  <si>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</si>
  <si>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</si>
  <si>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</si>
  <si>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</si>
  <si>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</si>
  <si>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</si>
  <si>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</si>
  <si>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</si>
  <si>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</si>
  <si>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</si>
  <si>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</si>
  <si>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</si>
  <si>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</si>
  <si>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</si>
  <si>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</si>
  <si>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</si>
  <si>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</si>
  <si>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</si>
  <si>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</si>
  <si>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</si>
  <si>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</si>
  <si>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</si>
  <si>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</si>
  <si>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</si>
  <si>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</si>
  <si>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</si>
  <si>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</si>
  <si>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</si>
  <si>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</si>
  <si>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</si>
  <si>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</si>
  <si>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</si>
  <si>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</si>
  <si>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</si>
  <si>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</si>
  <si>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</si>
  <si>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</si>
  <si>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</si>
  <si>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</si>
  <si>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</si>
  <si>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</si>
  <si>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</si>
  <si>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</si>
  <si>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</si>
  <si>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</si>
  <si>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</si>
  <si>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</si>
  <si>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</si>
  <si>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</si>
  <si>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</si>
  <si>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</si>
  <si>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</si>
  <si>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</si>
  <si>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</si>
  <si>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</si>
  <si>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</si>
  <si>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</si>
  <si>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</si>
  <si>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</si>
  <si>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</si>
  <si>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</si>
  <si>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</si>
  <si>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</si>
  <si>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</si>
  <si>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</si>
  <si>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</si>
  <si>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</si>
  <si>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</si>
  <si>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</si>
  <si>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</si>
  <si>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</si>
  <si>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</si>
  <si>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</si>
  <si>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</si>
  <si>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</si>
  <si>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</si>
  <si>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</si>
  <si>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</si>
  <si>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</si>
  <si>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</si>
  <si>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</si>
  <si>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</si>
  <si>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</si>
  <si>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</si>
  <si>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</si>
  <si>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</si>
  <si>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</si>
  <si>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</si>
  <si>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</si>
  <si>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</si>
  <si>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</si>
  <si>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</si>
  <si>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</si>
  <si>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</si>
  <si>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</si>
  <si>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</si>
  <si>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</si>
  <si>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</si>
  <si>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</si>
  <si>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</si>
  <si>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</si>
  <si>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</si>
  <si>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</si>
  <si>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</si>
  <si>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</si>
  <si>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</si>
  <si>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</si>
  <si>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</si>
  <si>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</si>
  <si>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</si>
  <si>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</si>
  <si>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</si>
  <si>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</si>
  <si>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</si>
  <si>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</si>
  <si>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</si>
  <si>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</si>
  <si>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</si>
  <si>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</si>
  <si>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</si>
  <si>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</si>
  <si>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</si>
  <si>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</si>
  <si>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</si>
  <si>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</si>
  <si>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</si>
  <si>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</si>
  <si>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</si>
  <si>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</si>
  <si>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</si>
  <si>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</si>
  <si>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</si>
  <si>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</si>
  <si>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</si>
  <si>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</si>
  <si>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</si>
  <si>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</si>
  <si>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</si>
  <si>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</si>
  <si>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</si>
  <si>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</si>
  <si>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</si>
  <si>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</si>
  <si>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</si>
  <si>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</si>
  <si>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</si>
  <si>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</si>
  <si>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</si>
  <si>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</si>
  <si>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</si>
  <si>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</si>
  <si>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</si>
  <si>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</si>
  <si>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</si>
  <si>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</si>
  <si>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</si>
  <si>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</si>
  <si>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</si>
  <si>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</si>
  <si>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</si>
  <si>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</si>
  <si>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</si>
  <si>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</si>
  <si>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</si>
  <si>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</si>
  <si>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</si>
  <si>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</si>
  <si>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</si>
  <si>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</si>
  <si>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</si>
  <si>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</si>
  <si>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</si>
  <si>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</si>
  <si>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</si>
  <si>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</si>
  <si>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</si>
  <si>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</si>
  <si>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</si>
  <si>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</si>
  <si>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</si>
  <si>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</si>
  <si>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</si>
  <si>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</si>
  <si>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</si>
  <si>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</si>
  <si>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</si>
  <si>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</si>
  <si>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</si>
  <si>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</si>
  <si>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</si>
  <si>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</si>
  <si>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</si>
  <si>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</si>
  <si>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</si>
  <si>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</si>
  <si>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</si>
  <si>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</si>
  <si>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</si>
  <si>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</si>
  <si>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</si>
  <si>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</si>
  <si>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</si>
  <si>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</si>
  <si>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</si>
  <si>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</si>
  <si>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</si>
  <si>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</si>
  <si>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</si>
  <si>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</si>
  <si>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</si>
  <si>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</si>
  <si>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</si>
  <si>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</si>
  <si>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</si>
  <si>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</si>
  <si>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</si>
  <si>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</si>
  <si>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</si>
  <si>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</si>
  <si>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</si>
  <si>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</si>
  <si>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</si>
  <si>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</si>
  <si>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</si>
  <si>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</si>
  <si>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</si>
  <si>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</si>
  <si>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</si>
  <si>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</si>
  <si>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</si>
  <si>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</si>
  <si>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</si>
  <si>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</si>
  <si>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</si>
  <si>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</si>
  <si>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</si>
  <si>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</si>
  <si>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</si>
  <si>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</si>
  <si>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</si>
  <si>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</si>
  <si>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</si>
  <si>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</si>
  <si>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</si>
  <si>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</si>
  <si>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</si>
  <si>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</si>
  <si>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</si>
  <si>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</si>
  <si>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</si>
  <si>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</si>
  <si>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</si>
  <si>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</si>
  <si>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</si>
  <si>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</si>
  <si>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</si>
  <si>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</si>
  <si>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</si>
  <si>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</si>
  <si>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</si>
  <si>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</si>
  <si>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</si>
  <si>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</si>
  <si>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</si>
  <si>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</si>
  <si>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</si>
  <si>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</si>
  <si>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</si>
  <si>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</si>
  <si>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</si>
  <si>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</si>
  <si>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</si>
  <si>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</si>
  <si>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</si>
  <si>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</si>
  <si>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</si>
  <si>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</si>
  <si>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</si>
  <si>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</si>
  <si>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</si>
  <si>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</si>
  <si>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</si>
  <si>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</si>
  <si>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</si>
  <si>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</si>
  <si>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</si>
  <si>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</si>
  <si>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</si>
  <si>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</si>
  <si>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</si>
  <si>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</si>
  <si>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</si>
  <si>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</si>
  <si>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</si>
  <si>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</si>
  <si>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</si>
  <si>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</si>
  <si>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</si>
  <si>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</si>
  <si>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</si>
  <si>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</si>
  <si>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</si>
  <si>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</si>
  <si>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</si>
  <si>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</si>
  <si>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</si>
  <si>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</si>
  <si>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</si>
  <si>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</si>
  <si>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</si>
  <si>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</si>
  <si>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</si>
  <si>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</si>
  <si>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</si>
  <si>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</si>
  <si>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</si>
  <si>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</si>
  <si>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</si>
  <si>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</si>
  <si>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</si>
  <si>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</si>
  <si>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</si>
  <si>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</si>
  <si>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</si>
  <si>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</si>
  <si>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</si>
  <si>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</si>
  <si>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</si>
  <si>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</si>
  <si>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</si>
  <si>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</si>
  <si>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</si>
  <si>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</si>
  <si>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</si>
  <si>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</si>
  <si>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</si>
  <si>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</si>
  <si>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</si>
  <si>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</si>
  <si>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</si>
  <si>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</si>
  <si>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</si>
  <si>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</si>
  <si>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</si>
  <si>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</si>
  <si>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</si>
  <si>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</si>
  <si>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</si>
  <si>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</si>
  <si>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</si>
  <si>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</si>
  <si>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</si>
  <si>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</si>
  <si>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</si>
  <si>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</si>
  <si>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</si>
  <si>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</si>
  <si>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</si>
  <si>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</si>
  <si>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</si>
  <si>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</si>
  <si>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</si>
  <si>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</si>
  <si>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</si>
  <si>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</si>
  <si>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</si>
  <si>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</si>
  <si>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</si>
  <si>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</si>
  <si>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</si>
  <si>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</si>
  <si>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</si>
  <si>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</si>
  <si>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</si>
  <si>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</si>
  <si>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</si>
  <si>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</si>
  <si>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</si>
  <si>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</si>
  <si>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</si>
  <si>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</si>
  <si>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</si>
  <si>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</si>
  <si>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</si>
  <si>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</si>
  <si>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</si>
  <si>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</si>
  <si>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</si>
  <si>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</si>
  <si>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</si>
  <si>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</si>
  <si>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</si>
  <si>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</si>
  <si>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</si>
  <si>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</si>
  <si>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</si>
  <si>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</si>
  <si>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</si>
  <si>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</si>
  <si>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</si>
  <si>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</si>
  <si>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</si>
  <si>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</si>
  <si>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</si>
  <si>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</si>
  <si>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</si>
  <si>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</si>
  <si>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</si>
  <si>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</si>
  <si>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</si>
  <si>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</si>
  <si>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</si>
  <si>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</si>
  <si>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</si>
  <si>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</si>
  <si>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</si>
  <si>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</si>
  <si>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</si>
  <si>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</si>
  <si>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</si>
  <si>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</si>
  <si>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</si>
  <si>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</si>
  <si>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</si>
  <si>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</si>
  <si>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</si>
  <si>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</si>
  <si>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</si>
  <si>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</si>
  <si>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</si>
  <si>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</si>
  <si>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</si>
  <si>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</si>
  <si>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</si>
  <si>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</si>
  <si>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</si>
  <si>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</si>
  <si>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</si>
  <si>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</si>
  <si>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</si>
  <si>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</si>
  <si>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</si>
  <si>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</si>
  <si>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</si>
  <si>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</si>
  <si>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</si>
  <si>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</si>
  <si>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</si>
  <si>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</si>
  <si>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</si>
  <si>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</si>
  <si>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</si>
  <si>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</si>
  <si>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</si>
  <si>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</si>
  <si>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</si>
  <si>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</si>
  <si>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</si>
  <si>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</si>
  <si>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</si>
  <si>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</si>
  <si>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</si>
  <si>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</si>
  <si>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</si>
  <si>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</si>
  <si>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</si>
  <si>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</si>
  <si>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</si>
  <si>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</si>
  <si>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</si>
  <si>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</si>
  <si>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</si>
  <si>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</si>
  <si>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</si>
  <si>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</si>
  <si>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</si>
  <si>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</si>
  <si>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</si>
  <si>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</si>
  <si>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</si>
  <si>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</si>
  <si>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</si>
  <si>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</si>
  <si>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</si>
  <si>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</si>
  <si>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</si>
  <si>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</si>
  <si>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</si>
  <si>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</si>
  <si>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</si>
  <si>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</si>
  <si>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</si>
  <si>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</si>
  <si>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</si>
  <si>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</si>
  <si>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</si>
  <si>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</si>
  <si>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</si>
  <si>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</si>
  <si>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</si>
  <si>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</si>
  <si>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</si>
  <si>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</si>
  <si>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</si>
  <si>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</si>
  <si>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</si>
  <si>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</si>
  <si>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</si>
  <si>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</si>
  <si>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</si>
  <si>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</si>
  <si>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</si>
  <si>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</si>
  <si>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</si>
  <si>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</si>
  <si>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</si>
  <si>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</si>
  <si>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</si>
  <si>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</si>
  <si>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</si>
  <si>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</si>
  <si>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</si>
  <si>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</si>
  <si>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</si>
  <si>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</si>
  <si>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</si>
  <si>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</si>
  <si>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</si>
  <si>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</si>
  <si>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</si>
  <si>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</si>
  <si>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</si>
  <si>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</si>
  <si>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</si>
  <si>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</si>
  <si>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</si>
  <si>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</si>
  <si>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</si>
  <si>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</si>
  <si>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</si>
  <si>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</si>
  <si>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</si>
  <si>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</si>
  <si>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</si>
  <si>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</si>
  <si>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</si>
  <si>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</si>
  <si>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</si>
  <si>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</si>
  <si>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</si>
  <si>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</si>
  <si>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</si>
  <si>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</si>
  <si>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</si>
  <si>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</si>
  <si>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</si>
  <si>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</si>
  <si>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</si>
  <si>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</si>
  <si>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</si>
  <si>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</si>
  <si>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</si>
  <si>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</si>
  <si>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</si>
  <si>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</si>
  <si>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</si>
  <si>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</si>
  <si>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</si>
  <si>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</si>
  <si>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</si>
  <si>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</si>
  <si>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</si>
  <si>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</si>
  <si>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</si>
  <si>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</si>
  <si>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</si>
  <si>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</si>
  <si>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</si>
  <si>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</si>
  <si>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</si>
  <si>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</si>
  <si>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</si>
  <si>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</si>
  <si>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</si>
  <si>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</si>
  <si>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</si>
  <si>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</si>
  <si>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</si>
  <si>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</si>
  <si>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</si>
  <si>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</si>
  <si>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</si>
  <si>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</si>
  <si>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</si>
  <si>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</si>
  <si>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</si>
  <si>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</si>
  <si>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</si>
  <si>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</si>
  <si>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</si>
  <si>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</si>
  <si>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</si>
  <si>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</si>
  <si>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</si>
  <si>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</si>
  <si>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</si>
  <si>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</si>
  <si>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</si>
  <si>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</si>
  <si>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</si>
  <si>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</si>
  <si>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</si>
  <si>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</si>
  <si>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</si>
  <si>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</si>
  <si>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</si>
  <si>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</si>
  <si>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</si>
  <si>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</si>
  <si>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</si>
  <si>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</si>
  <si>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</si>
  <si>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</si>
  <si>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</si>
  <si>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</si>
  <si>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</si>
  <si>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</si>
  <si>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</si>
  <si>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</si>
  <si>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</si>
  <si>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</si>
  <si>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</si>
  <si>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</si>
  <si>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</si>
  <si>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</si>
  <si>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</si>
  <si>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</si>
  <si>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</si>
  <si>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</si>
  <si>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</si>
  <si>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</si>
  <si>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</si>
  <si>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</si>
  <si>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</si>
  <si>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</si>
  <si>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</si>
  <si>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</si>
  <si>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</si>
  <si>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</si>
  <si>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</si>
  <si>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</si>
  <si>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</si>
  <si>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</si>
  <si>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</si>
  <si>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</si>
  <si>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</si>
  <si>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</si>
  <si>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</si>
  <si>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</si>
  <si>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</si>
  <si>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</si>
  <si>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</si>
  <si>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</si>
  <si>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</si>
  <si>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</si>
  <si>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</si>
  <si>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</si>
  <si>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</si>
  <si>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</si>
  <si>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</si>
  <si>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</si>
  <si>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</si>
  <si>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</si>
  <si>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</si>
  <si>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</si>
  <si>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</si>
  <si>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</si>
  <si>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</si>
  <si>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</si>
  <si>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</si>
  <si>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</si>
  <si>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</si>
  <si>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</si>
  <si>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</si>
  <si>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</si>
  <si>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</si>
  <si>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</si>
  <si>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</si>
  <si>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</si>
  <si>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</si>
  <si>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</si>
  <si>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</si>
  <si>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</si>
  <si>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</si>
  <si>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</si>
  <si>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</si>
  <si>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</si>
  <si>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</si>
  <si>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</si>
  <si>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</si>
  <si>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</si>
  <si>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</si>
  <si>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</si>
  <si>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</si>
  <si>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</si>
  <si>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</si>
  <si>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</si>
  <si>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</si>
  <si>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</si>
  <si>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</si>
  <si>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</si>
  <si>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</si>
  <si>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</si>
  <si>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</si>
  <si>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</si>
  <si>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</si>
  <si>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</si>
  <si>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</si>
  <si>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</si>
  <si>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</si>
  <si>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</si>
  <si>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</si>
  <si>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</si>
  <si>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</si>
  <si>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</si>
  <si>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</si>
  <si>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</si>
  <si>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</si>
  <si>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</si>
  <si>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</si>
  <si>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</si>
  <si>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</si>
  <si>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</si>
  <si>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</si>
  <si>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</si>
  <si>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</si>
  <si>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</si>
  <si>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</si>
  <si>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</si>
  <si>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</si>
  <si>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</si>
  <si>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</si>
  <si>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</si>
  <si>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</si>
  <si>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</si>
  <si>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</si>
  <si>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</si>
  <si>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</si>
  <si>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</si>
  <si>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</si>
  <si>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</si>
  <si>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</si>
  <si>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</si>
  <si>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</si>
  <si>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</si>
  <si>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</si>
  <si>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</si>
  <si>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</si>
  <si>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</si>
  <si>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</si>
  <si>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</si>
  <si>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</si>
  <si>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</si>
  <si>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</si>
  <si>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</si>
  <si>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</si>
  <si>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</si>
  <si>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</si>
  <si>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</si>
  <si>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</si>
  <si>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</si>
  <si>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</si>
  <si>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</si>
  <si>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</si>
  <si>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</si>
  <si>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</si>
  <si>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</si>
  <si>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</si>
  <si>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</si>
  <si>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</si>
  <si>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</si>
  <si>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</si>
  <si>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</si>
  <si>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</si>
  <si>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</si>
  <si>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</si>
  <si>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</si>
  <si>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</si>
  <si>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</si>
  <si>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</si>
  <si>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</si>
  <si>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</si>
  <si>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</si>
  <si>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</si>
  <si>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</si>
  <si>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</si>
  <si>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</si>
  <si>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</si>
  <si>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</si>
  <si>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</si>
  <si>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</si>
  <si>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</si>
  <si>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</si>
  <si>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</si>
  <si>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</si>
  <si>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</si>
  <si>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</si>
  <si>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</si>
  <si>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</si>
  <si>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</si>
  <si>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</si>
  <si>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</si>
  <si>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</si>
  <si>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</si>
  <si>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</si>
  <si>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</si>
  <si>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</si>
  <si>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</si>
  <si>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</si>
  <si>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</si>
  <si>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</si>
  <si>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</si>
  <si>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</si>
  <si>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</si>
  <si>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</si>
  <si>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</si>
  <si>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</si>
  <si>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</si>
  <si>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</si>
  <si>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</si>
  <si>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</si>
  <si>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</si>
  <si>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</si>
  <si>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</si>
  <si>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</si>
  <si>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</si>
  <si>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</si>
  <si>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</si>
  <si>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</si>
  <si>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</si>
  <si>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</si>
  <si>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</si>
  <si>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</si>
  <si>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</si>
  <si>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</si>
  <si>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</si>
  <si>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</si>
  <si>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</si>
  <si>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</si>
  <si>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</si>
  <si>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</si>
  <si>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</si>
  <si>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</si>
  <si>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</si>
  <si>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</si>
  <si>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</si>
  <si>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</si>
  <si>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</si>
  <si>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</si>
  <si>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</si>
  <si>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</si>
  <si>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</si>
  <si>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</si>
  <si>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</si>
  <si>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</si>
  <si>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</si>
  <si>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</si>
  <si>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</si>
  <si>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</si>
  <si>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</si>
  <si>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</si>
  <si>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</si>
  <si>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</si>
  <si>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</si>
  <si>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</si>
  <si>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</si>
  <si>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</si>
  <si>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</si>
  <si>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</si>
  <si>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</si>
  <si>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</si>
  <si>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</si>
  <si>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</si>
  <si>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</si>
  <si>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</si>
  <si>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</si>
  <si>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</si>
  <si>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</si>
  <si>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</si>
  <si>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</si>
  <si>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</si>
  <si>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</si>
  <si>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</si>
  <si>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</si>
  <si>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</si>
  <si>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</si>
  <si>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</si>
  <si>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</si>
  <si>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</si>
  <si>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</si>
  <si>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</si>
  <si>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</si>
  <si>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</si>
  <si>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</si>
  <si>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</si>
  <si>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</si>
  <si>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</si>
  <si>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</si>
  <si>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</si>
  <si>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</si>
  <si>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</si>
  <si>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</si>
  <si>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</si>
  <si>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</si>
  <si>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</si>
  <si>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</si>
  <si>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</si>
  <si>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</si>
  <si>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</si>
  <si>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</si>
  <si>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</si>
  <si>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</si>
  <si>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</si>
  <si>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</si>
  <si>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</si>
  <si>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</si>
  <si>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</si>
  <si>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</si>
  <si>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</si>
  <si>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</si>
  <si>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</si>
  <si>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</si>
  <si>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</si>
  <si>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</si>
  <si>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</si>
  <si>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</si>
  <si>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</si>
  <si>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</si>
  <si>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</si>
  <si>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</si>
  <si>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</si>
  <si>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</si>
  <si>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</si>
  <si>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</si>
  <si>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</si>
  <si>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</si>
  <si>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</si>
  <si>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</si>
  <si>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</si>
  <si>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</si>
  <si>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</si>
  <si>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</si>
  <si>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</si>
  <si>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</si>
  <si>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</si>
  <si>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</si>
  <si>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</si>
  <si>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</si>
  <si>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</si>
  <si>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</si>
  <si>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</si>
  <si>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</si>
  <si>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</si>
  <si>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</si>
  <si>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</si>
  <si>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</si>
  <si>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</si>
  <si>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</si>
  <si>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</si>
  <si>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</si>
  <si>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</si>
  <si>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</si>
  <si>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</si>
  <si>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</si>
  <si>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</si>
  <si>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</si>
  <si>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</si>
  <si>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</si>
  <si>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</si>
  <si>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</si>
  <si>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</si>
  <si>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</si>
  <si>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</si>
  <si>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</si>
  <si>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</si>
  <si>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</si>
  <si>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</si>
  <si>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</si>
  <si>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</si>
  <si>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</si>
  <si>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</si>
  <si>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</si>
  <si>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</si>
  <si>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</si>
  <si>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</si>
  <si>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</si>
  <si>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</si>
  <si>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</si>
  <si>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</si>
  <si>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</si>
  <si>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</si>
  <si>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</si>
  <si>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</si>
  <si>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</si>
  <si>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</si>
  <si>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</si>
  <si>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</si>
  <si>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</si>
  <si>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</si>
  <si>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</si>
  <si>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</si>
  <si>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</si>
  <si>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</si>
  <si>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</si>
  <si>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</si>
  <si>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</si>
  <si>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</si>
  <si>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</si>
  <si>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</si>
  <si>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</si>
  <si>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</si>
  <si>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</si>
  <si>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</si>
  <si>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</si>
  <si>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</si>
  <si>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</si>
  <si>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</si>
  <si>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</si>
  <si>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</si>
  <si>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</si>
  <si>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</si>
  <si>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</si>
  <si>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</si>
  <si>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</si>
  <si>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</si>
  <si>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</si>
  <si>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</si>
  <si>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</si>
  <si>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</si>
  <si>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</si>
  <si>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</si>
  <si>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</si>
  <si>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</si>
  <si>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</si>
  <si>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</si>
  <si>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</si>
  <si>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</si>
  <si>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</si>
  <si>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</si>
  <si>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</si>
  <si>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</si>
  <si>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</si>
  <si>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</si>
  <si>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</si>
  <si>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</si>
  <si>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</si>
  <si>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</si>
  <si>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</si>
  <si>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</si>
  <si>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</si>
  <si>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</si>
  <si>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</si>
  <si>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</si>
  <si>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</si>
  <si>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</si>
  <si>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</si>
  <si>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</si>
  <si>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</si>
  <si>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</si>
  <si>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</si>
  <si>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</si>
  <si>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</si>
  <si>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</si>
  <si>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</si>
  <si>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</si>
  <si>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</si>
  <si>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</si>
  <si>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</si>
  <si>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</si>
  <si>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</si>
  <si>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</si>
  <si>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</si>
  <si>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</si>
  <si>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</si>
  <si>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</si>
  <si>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</si>
  <si>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</si>
  <si>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</si>
  <si>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</si>
  <si>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</si>
  <si>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</si>
  <si>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</si>
  <si>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</si>
  <si>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</si>
  <si>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</si>
  <si>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</si>
  <si>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</si>
  <si>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</si>
  <si>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</si>
  <si>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</si>
  <si>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</si>
  <si>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</si>
  <si>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</si>
  <si>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</si>
  <si>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</si>
  <si>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</si>
  <si>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</si>
  <si>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</si>
  <si>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</si>
  <si>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</si>
  <si>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</si>
  <si>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</si>
  <si>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</si>
  <si>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</si>
  <si>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</si>
  <si>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</si>
  <si>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</si>
  <si>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</si>
  <si>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</si>
  <si>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</si>
  <si>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</si>
  <si>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</si>
  <si>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</si>
  <si>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</si>
  <si>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</si>
  <si>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</si>
  <si>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</si>
  <si>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</si>
  <si>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</si>
  <si>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</si>
  <si>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</si>
  <si>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</si>
  <si>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</si>
  <si>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</si>
  <si>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</si>
  <si>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</si>
  <si>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</si>
  <si>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</si>
  <si>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</si>
  <si>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</si>
  <si>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</si>
  <si>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</si>
  <si>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</si>
  <si>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</si>
  <si>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</si>
  <si>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</si>
  <si>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</si>
  <si>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</si>
  <si>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</si>
  <si>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</si>
  <si>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</si>
  <si>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</si>
  <si>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</si>
  <si>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</si>
  <si>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</si>
  <si>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</si>
  <si>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</si>
  <si>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</si>
  <si>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</si>
  <si>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</si>
  <si>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</si>
  <si>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</si>
  <si>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</si>
  <si>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</si>
  <si>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</si>
  <si>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</si>
  <si>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</si>
  <si>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</si>
  <si>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</si>
  <si>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</si>
  <si>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</si>
  <si>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</si>
  <si>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</si>
  <si>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</si>
  <si>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</si>
  <si>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</si>
  <si>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</si>
  <si>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</si>
  <si>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</si>
  <si>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</si>
  <si>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</si>
  <si>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</si>
  <si>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</si>
  <si>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</si>
  <si>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</si>
  <si>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</si>
  <si>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</si>
  <si>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</si>
  <si>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</si>
  <si>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</si>
  <si>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</si>
  <si>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</si>
  <si>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</si>
  <si>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</si>
  <si>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</si>
  <si>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</si>
  <si>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</si>
  <si>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</si>
  <si>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</si>
  <si>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</si>
  <si>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</si>
  <si>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</si>
  <si>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</si>
  <si>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</si>
  <si>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</si>
  <si>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</si>
  <si>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</si>
  <si>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</si>
  <si>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</si>
  <si>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</si>
  <si>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</si>
  <si>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</si>
  <si>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</si>
  <si>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</si>
  <si>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</si>
  <si>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</si>
  <si>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</si>
  <si>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</si>
  <si>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</si>
  <si>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</si>
  <si>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</si>
  <si>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</si>
  <si>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</si>
  <si>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</si>
  <si>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</si>
  <si>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</si>
  <si>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</si>
  <si>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</si>
  <si>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</si>
  <si>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</si>
  <si>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</si>
  <si>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</si>
  <si>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</si>
  <si>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</si>
  <si>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</si>
  <si>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</si>
  <si>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</si>
  <si>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</si>
  <si>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</si>
  <si>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</si>
  <si>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</si>
  <si>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</si>
  <si>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</si>
  <si>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</si>
  <si>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</si>
  <si>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</si>
  <si>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</si>
  <si>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</si>
  <si>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</si>
  <si>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</si>
  <si>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</si>
  <si>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</si>
  <si>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</si>
  <si>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</si>
  <si>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</si>
  <si>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</si>
  <si>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</si>
  <si>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</si>
  <si>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</si>
  <si>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</si>
  <si>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</si>
  <si>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</si>
  <si>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</si>
  <si>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</si>
  <si>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</si>
  <si>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</si>
  <si>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</si>
  <si>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</si>
  <si>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</si>
  <si>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</si>
  <si>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</si>
  <si>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</si>
  <si>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</si>
  <si>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</si>
  <si>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</si>
  <si>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</si>
  <si>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</si>
  <si>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</si>
  <si>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</si>
  <si>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</si>
  <si>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</si>
  <si>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</si>
  <si>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</si>
  <si>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</si>
  <si>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</si>
  <si>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</si>
  <si>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</si>
  <si>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</si>
  <si>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</si>
  <si>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</si>
  <si>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</si>
  <si>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</si>
  <si>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</si>
  <si>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</si>
  <si>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</si>
  <si>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</si>
  <si>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</si>
  <si>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</si>
  <si>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</si>
  <si>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</si>
  <si>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</si>
  <si>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</si>
  <si>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</si>
  <si>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</si>
  <si>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</si>
  <si>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</si>
  <si>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</si>
  <si>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</si>
  <si>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</si>
  <si>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</si>
  <si>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</si>
  <si>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</si>
  <si>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</si>
  <si>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</si>
  <si>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</si>
  <si>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</si>
  <si>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</si>
  <si>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</si>
  <si>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</si>
  <si>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</si>
  <si>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</si>
  <si>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</si>
  <si>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</si>
  <si>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</si>
  <si>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</si>
  <si>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</si>
  <si>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</si>
  <si>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</si>
  <si>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</si>
  <si>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</si>
  <si>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</si>
  <si>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</si>
  <si>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</si>
  <si>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</si>
  <si>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</si>
  <si>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</si>
  <si>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</si>
  <si>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</si>
  <si>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</si>
  <si>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</si>
  <si>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</si>
  <si>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</si>
  <si>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</si>
  <si>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</si>
  <si>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</si>
  <si>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</si>
  <si>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</si>
  <si>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</si>
  <si>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</si>
  <si>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</si>
  <si>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</si>
  <si>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</si>
  <si>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</si>
  <si>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</si>
  <si>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</si>
  <si>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</si>
  <si>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</si>
  <si>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</si>
  <si>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</si>
  <si>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</si>
  <si>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</si>
  <si>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</si>
  <si>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</si>
  <si>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</si>
  <si>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</si>
  <si>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</si>
  <si>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</si>
  <si>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</si>
  <si>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</si>
  <si>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</si>
  <si>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</si>
  <si>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</si>
  <si>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</si>
  <si>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</si>
  <si>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</si>
  <si>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</si>
  <si>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</si>
  <si>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</si>
  <si>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</si>
  <si>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</si>
  <si>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</si>
  <si>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</si>
  <si>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</si>
  <si>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</si>
  <si>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</si>
  <si>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</si>
  <si>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</si>
  <si>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</si>
  <si>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</si>
  <si>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</si>
  <si>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</si>
  <si>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</si>
  <si>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</si>
  <si>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</si>
  <si>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</si>
  <si>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</si>
  <si>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</si>
  <si>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</si>
  <si>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</si>
  <si>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</si>
  <si>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</si>
  <si>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</si>
  <si>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</si>
  <si>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</si>
  <si>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</si>
  <si>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</si>
  <si>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</si>
  <si>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</si>
  <si>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</si>
  <si>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</si>
  <si>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</si>
  <si>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</si>
  <si>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</si>
  <si>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</si>
  <si>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</si>
  <si>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</si>
  <si>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</si>
  <si>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</si>
  <si>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</si>
  <si>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</si>
  <si>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</si>
  <si>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</si>
  <si>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</si>
  <si>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</si>
  <si>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</si>
  <si>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</si>
  <si>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</si>
  <si>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</si>
  <si>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</si>
  <si>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</si>
  <si>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</si>
  <si>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</si>
  <si>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</si>
  <si>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</si>
  <si>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</si>
  <si>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</si>
  <si>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</si>
  <si>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</si>
  <si>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</si>
  <si>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</si>
  <si>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</si>
  <si>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</si>
  <si>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</si>
  <si>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</si>
  <si>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</si>
  <si>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</si>
  <si>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</si>
  <si>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</si>
  <si>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</si>
  <si>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</si>
  <si>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</si>
  <si>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</si>
  <si>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</si>
  <si>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</si>
  <si>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</si>
  <si>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</si>
  <si>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</si>
  <si>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</si>
  <si>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</si>
  <si>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</si>
  <si>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</si>
  <si>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</si>
  <si>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</si>
  <si>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</si>
  <si>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</si>
  <si>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</si>
  <si>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</si>
  <si>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</si>
  <si>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</si>
  <si>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</si>
  <si>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</si>
  <si>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</si>
  <si>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</si>
  <si>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</si>
  <si>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</si>
  <si>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</si>
  <si>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</si>
  <si>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</si>
  <si>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</si>
  <si>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</si>
  <si>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</si>
  <si>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</si>
  <si>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</si>
  <si>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</si>
  <si>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</si>
  <si>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</si>
  <si>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</si>
  <si>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</si>
  <si>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</si>
  <si>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</si>
  <si>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</si>
  <si>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</si>
  <si>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</si>
  <si>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</si>
  <si>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</si>
  <si>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</si>
  <si>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</si>
  <si>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</si>
  <si>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</si>
  <si>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</si>
  <si>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</si>
  <si>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</si>
  <si>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</si>
  <si>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Goal</t>
  </si>
  <si>
    <t>Pledged</t>
  </si>
  <si>
    <t>Number of Backers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</si>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</sst>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EF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9-479A-AD67-0F24AC3149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9-479A-AD67-0F24AC3149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9-479A-AD67-0F24AC314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5219632"/>
        <c:axId val="921949616"/>
      </c:lineChart>
      <c:catAx>
        <c:axId val="1025219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49616"/>
        <c:crosses val="autoZero"/>
        <c:auto val="1"/>
        <c:lblAlgn val="ctr"/>
        <c:lblOffset val="100"/>
        <c:noMultiLvlLbl val="0"/>
      </c:catAx>
      <c:valAx>
        <c:axId val="92194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2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727105611384603"/>
          <c:y val="0.1292187741238227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6-425D-B39C-4521B3FA64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6-425D-B39C-4521B3FA64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6-425D-B39C-4521B3FA6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899600"/>
        <c:axId val="1573038752"/>
      </c:lineChart>
      <c:catAx>
        <c:axId val="200889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38752"/>
        <c:crosses val="autoZero"/>
        <c:auto val="1"/>
        <c:lblAlgn val="ctr"/>
        <c:lblOffset val="100"/>
        <c:noMultiLvlLbl val="0"/>
      </c:catAx>
      <c:valAx>
        <c:axId val="15730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8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697389816003423"/>
          <c:y val="5.64188495829785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3-4A90-861D-C64AEA391A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63-4A90-861D-C64AEA391A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63-4A90-861D-C64AEA391A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63-4A90-861D-C64AEA391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950896"/>
        <c:axId val="962414928"/>
      </c:barChart>
      <c:catAx>
        <c:axId val="96395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414928"/>
        <c:crosses val="autoZero"/>
        <c:auto val="1"/>
        <c:lblAlgn val="ctr"/>
        <c:lblOffset val="100"/>
        <c:noMultiLvlLbl val="0"/>
      </c:catAx>
      <c:valAx>
        <c:axId val="9624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9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6557582926107133"/>
          <c:y val="3.74750453490610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A-4969-93DB-6A36177D766C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A-4969-93DB-6A36177D766C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A-4969-93DB-6A36177D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8999792"/>
        <c:axId val="1075354192"/>
      </c:barChart>
      <c:catAx>
        <c:axId val="10789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54192"/>
        <c:crosses val="autoZero"/>
        <c:auto val="1"/>
        <c:lblAlgn val="ctr"/>
        <c:lblOffset val="100"/>
        <c:noMultiLvlLbl val="0"/>
      </c:catAx>
      <c:valAx>
        <c:axId val="10753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99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7176509186351708"/>
          <c:y val="2.0601191991641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9-4DDA-A930-186DA04035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D-41A1-97F0-603AAB979F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D-41A1-97F0-603AAB979F8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2D-41A1-97F0-603AAB979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299600"/>
        <c:axId val="1061265120"/>
      </c:lineChart>
      <c:catAx>
        <c:axId val="12102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265120"/>
        <c:crosses val="autoZero"/>
        <c:auto val="1"/>
        <c:lblAlgn val="ctr"/>
        <c:lblOffset val="100"/>
        <c:noMultiLvlLbl val="0"/>
      </c:catAx>
      <c:valAx>
        <c:axId val="10612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13</xdr:row>
      <xdr:rowOff>57151</xdr:rowOff>
    </xdr:from>
    <xdr:to>
      <xdr:col>7</xdr:col>
      <xdr:colOff>495300</xdr:colOff>
      <xdr:row>38</xdr:row>
      <xdr:rowOff>123831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EF0D73-BDA6-4177-B741-4CEC2E070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1</xdr:row>
      <xdr:rowOff>161925</xdr:rowOff>
    </xdr:from>
    <xdr:to>
      <xdr:col>18</xdr:col>
      <xdr:colOff>428625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11551-E425-4F7D-BFDA-20EA93A5B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5</xdr:row>
      <xdr:rowOff>14287</xdr:rowOff>
    </xdr:from>
    <xdr:to>
      <xdr:col>19</xdr:col>
      <xdr:colOff>171449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21012-445B-49B8-86E8-290C1A070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5</xdr:row>
      <xdr:rowOff>47625</xdr:rowOff>
    </xdr:from>
    <xdr:to>
      <xdr:col>23</xdr:col>
      <xdr:colOff>47625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A60A7-EA14-4236-8742-6E91C64D7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5</xdr:row>
      <xdr:rowOff>28575</xdr:rowOff>
    </xdr:from>
    <xdr:to>
      <xdr:col>19</xdr:col>
      <xdr:colOff>142875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6AD43-7E9D-4555-BF59-FAEB780FF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" refreshedDate="44368.623397337964" createdVersion="6" refreshedVersion="6" minRefreshableVersion="3" recordCount="4114" xr:uid="{34EEFDA7-B4A9-4C38-A0D8-B8DA0925B34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" refreshedDate="44368.673384374997" createdVersion="6" refreshedVersion="6" minRefreshableVersion="3" recordCount="4114" xr:uid="{FDF4DC43-320F-43D2-ACF2-AA9231BE83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" refreshedDate="44370.907378124997" createdVersion="6" refreshedVersion="6" minRefreshableVersion="3" recordCount="4114" xr:uid="{3FB869A6-4D34-4E18-84B7-64D24C46CDC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E1962-CEEA-4C8F-A306-C5C7C7B3C99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33482-A831-4E71-A410-3FEB876950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739C4-FD09-498C-BA1B-9577A5640A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4FCC3-D7D4-42A7-BDA6-248B7B81F6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DA014-CE89-4298-AA03-2151C6F8FA35}">
  <dimension ref="A1:H13"/>
  <sheetViews>
    <sheetView tabSelected="1" workbookViewId="0">
      <selection activeCell="O24" sqref="O24"/>
    </sheetView>
  </sheetViews>
  <sheetFormatPr defaultRowHeight="15" x14ac:dyDescent="0.25"/>
  <cols>
    <col min="1" max="1" width="15.85546875" bestFit="1" customWidth="1"/>
    <col min="2" max="2" width="18.140625" bestFit="1" customWidth="1"/>
    <col min="3" max="3" width="18.140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8384</v>
      </c>
      <c r="C1" s="1" t="s">
        <v>8402</v>
      </c>
      <c r="D1" s="1" t="s">
        <v>8385</v>
      </c>
      <c r="E1" s="1" t="s">
        <v>8386</v>
      </c>
      <c r="F1" s="18" t="s">
        <v>8387</v>
      </c>
      <c r="G1" s="1" t="s">
        <v>8388</v>
      </c>
      <c r="H1" s="1" t="s">
        <v>8389</v>
      </c>
    </row>
    <row r="2" spans="1:8" x14ac:dyDescent="0.25">
      <c r="A2" t="s">
        <v>8390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4">
        <f>ROUND((B2/E2)*100,0)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8391</v>
      </c>
      <c r="B3">
        <f>COUNTIFS(Kickstarter!F:F,"successful",Kickstarter!D:D,"&gt;=1000",Kickstarter!R:R,"plays",Kickstarter!D:D,"&lt;=4999")</f>
        <v>388</v>
      </c>
      <c r="C3">
        <f>COUNTIFS(Kickstarter!F:F,"Failed",Kickstarter!D:D,"&gt;=1000",Kickstarter!R:R,"plays",Kickstarter!D:D,"&lt;=4999")</f>
        <v>146</v>
      </c>
      <c r="D3">
        <f>COUNTIFS(Kickstarter!F:F,"Canceled",Kickstarter!D:D,"&gt;=1000",Kickstarter!R:R,"plays",Kickstarter!D:D,"&lt;=4999")</f>
        <v>0</v>
      </c>
      <c r="E3">
        <f t="shared" ref="E3:E13" si="0">SUM(B3:D3)</f>
        <v>534</v>
      </c>
      <c r="F3" s="14">
        <f t="shared" ref="F3:F13" si="1">ROUND((B3/E3)*100,0)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8392</v>
      </c>
      <c r="B4">
        <f>COUNTIFS(Kickstarter!F:F,"successful",Kickstarter!D:D,"&gt;=5000",Kickstarter!R:R,"plays",Kickstarter!D:D,"&lt;=9999")</f>
        <v>93</v>
      </c>
      <c r="C4">
        <f>COUNTIFS(Kickstarter!F:F,"Failed",Kickstarter!D:D,"&gt;=5000",Kickstarter!R:R,"plays",Kickstarter!D:D,"&lt;=9999")</f>
        <v>76</v>
      </c>
      <c r="D4">
        <f>COUNTIFS(Kickstarter!F:F,"Canceled",Kickstarter!D:D,"&gt;=5000",Kickstarter!R:R,"plays",Kickstarter!D:D,"&lt;=9999")</f>
        <v>0</v>
      </c>
      <c r="E4">
        <f t="shared" si="0"/>
        <v>169</v>
      </c>
      <c r="F4" s="1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8393</v>
      </c>
      <c r="B5">
        <f>COUNTIFS(Kickstarter!F:F,"successful",Kickstarter!D:D,"&gt;=10000",Kickstarter!R:R,"plays",Kickstarter!D:D,"&lt;=14999")</f>
        <v>39</v>
      </c>
      <c r="C5">
        <f>COUNTIFS(Kickstarter!F:F,"Failed",Kickstarter!D:D,"&gt;=10000",Kickstarter!R:R,"plays",Kickstarter!D:D,"&lt;=14999")</f>
        <v>33</v>
      </c>
      <c r="D5">
        <f>COUNTIFS(Kickstarter!F:F,"Canceled",Kickstarter!D:D,"&gt;=10000",Kickstarter!R:R,"plays",Kickstarter!D:D,"&lt;=14999")</f>
        <v>0</v>
      </c>
      <c r="E5">
        <f t="shared" si="0"/>
        <v>72</v>
      </c>
      <c r="F5" s="14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8394</v>
      </c>
      <c r="B6">
        <f>COUNTIFS(Kickstarter!F:F,"successful",Kickstarter!D:D,"&gt;=15000",Kickstarter!R:R,"plays",Kickstarter!D:D,"&lt;=19999")</f>
        <v>12</v>
      </c>
      <c r="C6">
        <f>COUNTIFS(Kickstarter!F:F,"Failed",Kickstarter!D:D,"&gt;=15000",Kickstarter!R:R,"plays",Kickstarter!D:D,"&lt;=19999")</f>
        <v>12</v>
      </c>
      <c r="D6">
        <f>COUNTIFS(Kickstarter!F:F,"Canceled",Kickstarter!D:D,"&gt;=15000",Kickstarter!R:R,"plays",Kickstarter!D:D,"&lt;=19999")</f>
        <v>0</v>
      </c>
      <c r="E6">
        <f t="shared" si="0"/>
        <v>24</v>
      </c>
      <c r="F6" s="14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8395</v>
      </c>
      <c r="B7">
        <f>COUNTIFS(Kickstarter!F:F,"successful",Kickstarter!D:D,"&gt;=20000",Kickstarter!R:R,"plays",Kickstarter!D:D,"&lt;=24999")</f>
        <v>9</v>
      </c>
      <c r="C7">
        <f>COUNTIFS(Kickstarter!F:F,"Failed",Kickstarter!D:D,"&gt;=20000",Kickstarter!R:R,"plays",Kickstarter!D:D,"&lt;=24999")</f>
        <v>11</v>
      </c>
      <c r="D7">
        <f>COUNTIFS(Kickstarter!F:F,"Canceled",Kickstarter!D:D,"&gt;=20000",Kickstarter!R:R,"plays",Kickstarter!D:D,"&lt;=24999")</f>
        <v>0</v>
      </c>
      <c r="E7">
        <f t="shared" si="0"/>
        <v>20</v>
      </c>
      <c r="F7" s="14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8396</v>
      </c>
      <c r="B8">
        <f>COUNTIFS(Kickstarter!F:F,"successful",Kickstarter!D:D,"&gt;=25000",Kickstarter!R:R,"plays",Kickstarter!D:D,"&lt;=29999")</f>
        <v>1</v>
      </c>
      <c r="C8">
        <f>COUNTIFS(Kickstarter!F:F,"Failed",Kickstarter!D:D,"&gt;=25000",Kickstarter!R:R,"plays",Kickstarter!D:D,"&lt;=29999")</f>
        <v>4</v>
      </c>
      <c r="D8">
        <f>COUNTIFS(Kickstarter!F:F,"Canceled",Kickstarter!D:D,"&gt;=25000",Kickstarter!R:R,"plays",Kickstarter!D:D,"&lt;=29999")</f>
        <v>0</v>
      </c>
      <c r="E8">
        <f t="shared" si="0"/>
        <v>5</v>
      </c>
      <c r="F8" s="14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8397</v>
      </c>
      <c r="B9">
        <f>COUNTIFS(Kickstarter!F:F,"successful",Kickstarter!D:D,"&gt;=30000",Kickstarter!R:R,"plays",Kickstarter!D:D,"&lt;=34999")</f>
        <v>3</v>
      </c>
      <c r="C9">
        <f>COUNTIFS(Kickstarter!F:F,"Failed",Kickstarter!D:D,"&gt;=30000",Kickstarter!R:R,"plays",Kickstarter!D:D,"&lt;=34999")</f>
        <v>8</v>
      </c>
      <c r="D9">
        <f>COUNTIFS(Kickstarter!F:F,"Canceled",Kickstarter!D:D,"&gt;=30000",Kickstarter!R:R,"plays",Kickstarter!D:D,"&lt;=34999")</f>
        <v>0</v>
      </c>
      <c r="E9">
        <f t="shared" si="0"/>
        <v>11</v>
      </c>
      <c r="F9" s="14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8398</v>
      </c>
      <c r="B10">
        <f>COUNTIFS(Kickstarter!F:F,"successful",Kickstarter!D:D,"&gt;=35000",Kickstarter!R:R,"plays",Kickstarter!D:D,"&lt;=39999")</f>
        <v>4</v>
      </c>
      <c r="C10">
        <f>COUNTIFS(Kickstarter!F:F,"Failed",Kickstarter!D:D,"&gt;=35000",Kickstarter!R:R,"plays",Kickstarter!D:D,"&lt;=39999")</f>
        <v>2</v>
      </c>
      <c r="D10">
        <f>COUNTIFS(Kickstarter!F:F,"Canceled",Kickstarter!D:D,"&gt;=35000",Kickstarter!R:R,"plays",Kickstarter!D:D,"&lt;=39999")</f>
        <v>0</v>
      </c>
      <c r="E10">
        <f t="shared" si="0"/>
        <v>6</v>
      </c>
      <c r="F10" s="14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8399</v>
      </c>
      <c r="B11">
        <f>COUNTIFS(Kickstarter!F:F,"successful",Kickstarter!D:D,"&gt;=40000",Kickstarter!R:R,"plays",Kickstarter!D:D,"&lt;=44999")</f>
        <v>2</v>
      </c>
      <c r="C11">
        <f>COUNTIFS(Kickstarter!F:F,"Failed",Kickstarter!D:D,"&gt;=40000",Kickstarter!R:R,"plays",Kickstarter!D:D,"&lt;=44999")</f>
        <v>1</v>
      </c>
      <c r="D11">
        <f>COUNTIFS(Kickstarter!F:F,"Canceled",Kickstarter!D:D,"&gt;=40000",Kickstarter!R:R,"plays",Kickstarter!D:D,"&lt;=44999")</f>
        <v>0</v>
      </c>
      <c r="E11">
        <f t="shared" si="0"/>
        <v>3</v>
      </c>
      <c r="F11" s="14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8400</v>
      </c>
      <c r="B12">
        <f>COUNTIFS(Kickstarter!F:F,"successful",Kickstarter!D:D,"&gt;=45000",Kickstarter!R:R,"plays",Kickstarter!D:D,"&lt;=49999")</f>
        <v>0</v>
      </c>
      <c r="C12">
        <f>COUNTIFS(Kickstarter!F:F,"Failed",Kickstarter!D:D,"&gt;=45000",Kickstarter!R:R,"plays",Kickstarter!D:D,"&lt;=49999")</f>
        <v>1</v>
      </c>
      <c r="D12">
        <f>COUNTIFS(Kickstarter!F:F,"Canceled",Kickstarter!D:D,"&gt;=45000",Kickstarter!R:R,"plays",Kickstarter!D:D,"&lt;=49999")</f>
        <v>0</v>
      </c>
      <c r="E12">
        <f t="shared" si="0"/>
        <v>1</v>
      </c>
      <c r="F12" s="14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8401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14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9D03C-F33B-4CAF-97A1-E43456931AFD}">
  <dimension ref="A1:E18"/>
  <sheetViews>
    <sheetView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8378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U2" sqref="U2"/>
    </sheetView>
  </sheetViews>
  <sheetFormatPr defaultColWidth="8.85546875" defaultRowHeight="15" x14ac:dyDescent="0.25"/>
  <cols>
    <col min="2" max="2" width="38.42578125" style="6" customWidth="1"/>
    <col min="3" max="3" width="40.28515625" style="3" customWidth="1"/>
    <col min="4" max="4" width="16.85546875" style="7" bestFit="1" customWidth="1"/>
    <col min="5" max="5" width="13.42578125" style="5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style="16" bestFit="1" customWidth="1"/>
    <col min="20" max="20" width="22.85546875" style="16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  <c r="U1" s="1" t="s">
        <v>8379</v>
      </c>
    </row>
    <row r="2" spans="1:21" ht="60" x14ac:dyDescent="0.25">
      <c r="A2">
        <v>0</v>
      </c>
      <c r="B2" s="6" t="s">
        <v>2</v>
      </c>
      <c r="C2" s="6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6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6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6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6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6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6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6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6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6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6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6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6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6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6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6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6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6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6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6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6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6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6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6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6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6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6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6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6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6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6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6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6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6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6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6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6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6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6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6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6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6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6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6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6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6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6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6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6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6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6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6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6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6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6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6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6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6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6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6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6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6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6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6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6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6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6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6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6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6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6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6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6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6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6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6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6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6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6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6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6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6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6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6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6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6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6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6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6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6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6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6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6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6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6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6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6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6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6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6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6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6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6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6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6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6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6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6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6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6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6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6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6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6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6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6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6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6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6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6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6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6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6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6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6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6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6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6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6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6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6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6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6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6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6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6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6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6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6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6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6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6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6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6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6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6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6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6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6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6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6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6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6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6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6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6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6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6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6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6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6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6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6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6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6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6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6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6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6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6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6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6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6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6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6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6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6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6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6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6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6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6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6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6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6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6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6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6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6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6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6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6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6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6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6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6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6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6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6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6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6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6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6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6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6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6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6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6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6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6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6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6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6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6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6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6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6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6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6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6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6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6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6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6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6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6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6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6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6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6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6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6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6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6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6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6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6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6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6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6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6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6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6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6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6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6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6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6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6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6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6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6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6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6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6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6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6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6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6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6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6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6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6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6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6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6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6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6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6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6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6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6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6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6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6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6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6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6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6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6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6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6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6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6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6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6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6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6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6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6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6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6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6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6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6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6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6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6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6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6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6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6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6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6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6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6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6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6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6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6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6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6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6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6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6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6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6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6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6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6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6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6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6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6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6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6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6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6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6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6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6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6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6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6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6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6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6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6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6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6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6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6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6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6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6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6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6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6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6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6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6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6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6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6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6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6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6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6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6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6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6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6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6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6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6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6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6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6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6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6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6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6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6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6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6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6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6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6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6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6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6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6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6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6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6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6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6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6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6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6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6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6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6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6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6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6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6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6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6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6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6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6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6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6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6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6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6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6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6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6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6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6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6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6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6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6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6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6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6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6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6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6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6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6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6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6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6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6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6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6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6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6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6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6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6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6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6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6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6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6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6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6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6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6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6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6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6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6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6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6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6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6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6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6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6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6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6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6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6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6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6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6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6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6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6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6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6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6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6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6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6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6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6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6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6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6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6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6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6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6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6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6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6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6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6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6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6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6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6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6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6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6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6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6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6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6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6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6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6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6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6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6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6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6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6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6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6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6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6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6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6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6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6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6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6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6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6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6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6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6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6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6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6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6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6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6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6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6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6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6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6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6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6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6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6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6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6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6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6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6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6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6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6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6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6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6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6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6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6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6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6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6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6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6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6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6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6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6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6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6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6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6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6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6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6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6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6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6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6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6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6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6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6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6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6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6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6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6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6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6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6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6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6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6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6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6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6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6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6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6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6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6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6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6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6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6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6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6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6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6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6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6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6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6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6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6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6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6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6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6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6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6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6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6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6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6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6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6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6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6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6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6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6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6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6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6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6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6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6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6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6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6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6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6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6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6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6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6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6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6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6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6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6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6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6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6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6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6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6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6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6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6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6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6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6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6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6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6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6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6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6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6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6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6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6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6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6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6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6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6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6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6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6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6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6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6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6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6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6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6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6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6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6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6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6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6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6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6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6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6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6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6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6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6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6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6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6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6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6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6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6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6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6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6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6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6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6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6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6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6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6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6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6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6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6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6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6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6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6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6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6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6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6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6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6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6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6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6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6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6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6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6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6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6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6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6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6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6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6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6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6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6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6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6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6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6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6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6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6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6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6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6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6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6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6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6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6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6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6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6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6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6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6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6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6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6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6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6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6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6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6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6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6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6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6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6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6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6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6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6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6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6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6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6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6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6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6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6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6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6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6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6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6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6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6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6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6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6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6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6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6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6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6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6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6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6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6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6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6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6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6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6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6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6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6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6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6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6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6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6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6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6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6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6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6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6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6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6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6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6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6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6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6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6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6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6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6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6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6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6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6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6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6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6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6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6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6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6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6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6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6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6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6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6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6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6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6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6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6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6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6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6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6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6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6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6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6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6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6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6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6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6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6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6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6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6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6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6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6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6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6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6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6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6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6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6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6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6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6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6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6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6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6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6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6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6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6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6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6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6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6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6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6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6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6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6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6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6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6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6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6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6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6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6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6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6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6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6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6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6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6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6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6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6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6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6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6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6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6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6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6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6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6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6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6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6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6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6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6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6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6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6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6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6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6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6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6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6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6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6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6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6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6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6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6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6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6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6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6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6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6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6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6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6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6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6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6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6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6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6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6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6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6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6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6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6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6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6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6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6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6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6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6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6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6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6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6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6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6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6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6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6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6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6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6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6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6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6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6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6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6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6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6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6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6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6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6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6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6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6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6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6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6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6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6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6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6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6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6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6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6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6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6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6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6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6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6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6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6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6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6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6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6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6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6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6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6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6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6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6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6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6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6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6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6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6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6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6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6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6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6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6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6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6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6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6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6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6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6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6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6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6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6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6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6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6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6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6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6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6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6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6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6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6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6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6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6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6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6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6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6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6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6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6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6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6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6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6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6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6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6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6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6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6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6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6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6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6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6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6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6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6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6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6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6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6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6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6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6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6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6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6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6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6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6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6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6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6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6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6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6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6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6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6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6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6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6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6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6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6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6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6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6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6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6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6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6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6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6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6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6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6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6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6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6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6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6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6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6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6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6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6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6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6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6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6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6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6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6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6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6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6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6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6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6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6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6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6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6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6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6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6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6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6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6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6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6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6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6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6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6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6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6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6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6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6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6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6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6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6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6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6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6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6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6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6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6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6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6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6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6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6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6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6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6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6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6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6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6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6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6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6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6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6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6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6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6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6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6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6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6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6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6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6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6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6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6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6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6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6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6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6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6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6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6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6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6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6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6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6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6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6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6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6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6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6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6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6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6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6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6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6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6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6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6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6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6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6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6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6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6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6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6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6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6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6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6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6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6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6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6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6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6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6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6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6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6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6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6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6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6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6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6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6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6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6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6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6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6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6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6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6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6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6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6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6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6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6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6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6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6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6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6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6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6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6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6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6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6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6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6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6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6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6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6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6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6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6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6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6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6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6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6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6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6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6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6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6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6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6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6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6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6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6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6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6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6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6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6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6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6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6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6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6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6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6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6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6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6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6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6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6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6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6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6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6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6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6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6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6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6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6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6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6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6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6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6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6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6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6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6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6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6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6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6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6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6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6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6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6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6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6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6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6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6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6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6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6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6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6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6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6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6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6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6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6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6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6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6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6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6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6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6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6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6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6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6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6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6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6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6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6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6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6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6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6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6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6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6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6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6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6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6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6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6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6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6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6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6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6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6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6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6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6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6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6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6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6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6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6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6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6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6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6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6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6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6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6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6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6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6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6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6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6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6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6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6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6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6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6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6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6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6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6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6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6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6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6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6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6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6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6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6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6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6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6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6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6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6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6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6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6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6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6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6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6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6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6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6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6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6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6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6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6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6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6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6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6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6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6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6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6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6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6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6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6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6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6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6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6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6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6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6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6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6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6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6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6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6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6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6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6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6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6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6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6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6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6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6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6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6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6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6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6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6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6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6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6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6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6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6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6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6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6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6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6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6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6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6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6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6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6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6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6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6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6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6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6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6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6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6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6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6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6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6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6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6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6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6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6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6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6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6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6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6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6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6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6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6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6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6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6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6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6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6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6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6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6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6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6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6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6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6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6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6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6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6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6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6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6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6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6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6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6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6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6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6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6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6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6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6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6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6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6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6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6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6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6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6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6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6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6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6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6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6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6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6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6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6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6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6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6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6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6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6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6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6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6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6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6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6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6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6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6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6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6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6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6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6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6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6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6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6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6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6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6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6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6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6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6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6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6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6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6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6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6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6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6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6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6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6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6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6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6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6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6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6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6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6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6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6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6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6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6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6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6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6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6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6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6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6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6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6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6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6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6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6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6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6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6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6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6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6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6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6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6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6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6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6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6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6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6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6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6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6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6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6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6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6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6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6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6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6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6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6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6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6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6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6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6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6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6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6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6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6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6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6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6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6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6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6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6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6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6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6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6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6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6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6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6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6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6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6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6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6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6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6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6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6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6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6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6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6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6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6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6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6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6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6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6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6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6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6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6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6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6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6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6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6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6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6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6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6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6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6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6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6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6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6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6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6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6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6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6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6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6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6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6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6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6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6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6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6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6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6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6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6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6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6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6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6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6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6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6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6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6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6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6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6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6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6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6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6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6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6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6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6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6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6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6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6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6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6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6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6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6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6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6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6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6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6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6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6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6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6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6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6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6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6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6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6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6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6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6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6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6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6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6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6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6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6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6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6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6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6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6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6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6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6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6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6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6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6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6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6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6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6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6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6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6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6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6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6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6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6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6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6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6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6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6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6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6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6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6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6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6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6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6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6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6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6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6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6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6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6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6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6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6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6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6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6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6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6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6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6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6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6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6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6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6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6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6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6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6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6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6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6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6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6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6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6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6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6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6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6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6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6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6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6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6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6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6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6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6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6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6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6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6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6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6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6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6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6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6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6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6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6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6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6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6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6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6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6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6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6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6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6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6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6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6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6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6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6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6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6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6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6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6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6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6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6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6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6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6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6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6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6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6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6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6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6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6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6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6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6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6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6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6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6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6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6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6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6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6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6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6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6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6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6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6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6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6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6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6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6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6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6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6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6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6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6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6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6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6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6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6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6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6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6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6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6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6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6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6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6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6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6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6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6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6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6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6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6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6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6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6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6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6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6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6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6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6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6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6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6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6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6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6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6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6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6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6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6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6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6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6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6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6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6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6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6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6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6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6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6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6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6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6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6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6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6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6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6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6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6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6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6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6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6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6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6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6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6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6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6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6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6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6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6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6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6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6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6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6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6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6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6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6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6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6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6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6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6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6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6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6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6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6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6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6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6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6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6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6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6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6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6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6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6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6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6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6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6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6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6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6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6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6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6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6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6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6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6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6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6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6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6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6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6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6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6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6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6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6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6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6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6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6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6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6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6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6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6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6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6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6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6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6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6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6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6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6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6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6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6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6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6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6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6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6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6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6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6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6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6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6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6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6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6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6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6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6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6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6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6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6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6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6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6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6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6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6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6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6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6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6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6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6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6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6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6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6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6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6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6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6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6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6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6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6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6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6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6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6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6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6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6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6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6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6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6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6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6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6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6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6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6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6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6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6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6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6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6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6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6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6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6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6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6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6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6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6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6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6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6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6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6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6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6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6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6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6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6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6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6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6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6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6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6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6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6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6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6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6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6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6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6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6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6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6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6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6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6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6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6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6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6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6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6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6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6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6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6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6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6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6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6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6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6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6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6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6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6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6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6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6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6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6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6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6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6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6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6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6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6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6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6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6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6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6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6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6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6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6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6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6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6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6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6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6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6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6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6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6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6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6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6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6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6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6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6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6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6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6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6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6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6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6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6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6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6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6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6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6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6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6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6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6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6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6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6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6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6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6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6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6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6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6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6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6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6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6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6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6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6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6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6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6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6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6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6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6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6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6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6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6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6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6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6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6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6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6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6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6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6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6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6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6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6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6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6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6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6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6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6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6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6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6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6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6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6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6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6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6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6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6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6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6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6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6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6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6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6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6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6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6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6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6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6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6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6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6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6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6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6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6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6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6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6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6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6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6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6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6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6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6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6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6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6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6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6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6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6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6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6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6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6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6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6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6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6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6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6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6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6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6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6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6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6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6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6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6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6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6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6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6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6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6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6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6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6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6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6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6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6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6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6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6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6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6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6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6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6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6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6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6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6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6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6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6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6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6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6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6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6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6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6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6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6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6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6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6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6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6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6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6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6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6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6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6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6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6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6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6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6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6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6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6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6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6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6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6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6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6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6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6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6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6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6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6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6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6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6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6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6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6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6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6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6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6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6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6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6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6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6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6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6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6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6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6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6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6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6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6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6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6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6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6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6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6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6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6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6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6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6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6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6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6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6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6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6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6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6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6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6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6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6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6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6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6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6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6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6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6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6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6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6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6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6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6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6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6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6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6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6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6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6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6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6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6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6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6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6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6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6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6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6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6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6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6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6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6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6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6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6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6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6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6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6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6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6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6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6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6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6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6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6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6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6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6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6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6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6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6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6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6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6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6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6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6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6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6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6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6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6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6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6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6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6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6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6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6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6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6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6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6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6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6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6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6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6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6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6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6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6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6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6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6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6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6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6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6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6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6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6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6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6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6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6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6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6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6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6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6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6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6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6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6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6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6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6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6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6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6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6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6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6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6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6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6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6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6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6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6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6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6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6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6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6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6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6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6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6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6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6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6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6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6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6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6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6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6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6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6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6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6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6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6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6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6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6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6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6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6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6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6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6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6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6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6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6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6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6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6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6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6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6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6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6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6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6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6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6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6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6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6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6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6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6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6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6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6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6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6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6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6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6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6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6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6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6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6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6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6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6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6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6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6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6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6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6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6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6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6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6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6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6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6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6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6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6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6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6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6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6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6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6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6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6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6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6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6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6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6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6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6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6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6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6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6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6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6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6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6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6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6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6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6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6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6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6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6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6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6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6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6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6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6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6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6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6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6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6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6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6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6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6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6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6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6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6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6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6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6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6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6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6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6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6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6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6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6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6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6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6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6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6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6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6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6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6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6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6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6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6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6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6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6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6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6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6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6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6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6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6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6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6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6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6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6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6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6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6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6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6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6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6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6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6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6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6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6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6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6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6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6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6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6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6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6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6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6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6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6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6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6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6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6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6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6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6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6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6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6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6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6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6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6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6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6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6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6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6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6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6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6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6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6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6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6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6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6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6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6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6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6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6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6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6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6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6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6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6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6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6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6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6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6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6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6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6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6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6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6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6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6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6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6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6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6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6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6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6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6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6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6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6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6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6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6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6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6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6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6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6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6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6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6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6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6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6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6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6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6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6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6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6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6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6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6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6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6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6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6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6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6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6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6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6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6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6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6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6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6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6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6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6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6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6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6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6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6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6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6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6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6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6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6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6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6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6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6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6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6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6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6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6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6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6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6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6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6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6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6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6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6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6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6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6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6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6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6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6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6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6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6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6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6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6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6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6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6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6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6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6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6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6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6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6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6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6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6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6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6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6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6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6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6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6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6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6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6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6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6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6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6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6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6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6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6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6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6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6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6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6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6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6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6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6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6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6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6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6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6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6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6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6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6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6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6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6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6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6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6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6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6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6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6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6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6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6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6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6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6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6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6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6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6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6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6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6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6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6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6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6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6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6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6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6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6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6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6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6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6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6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6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6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6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6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6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6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6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6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6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6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6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6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6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6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6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6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6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6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6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6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6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6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6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6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6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6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6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6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6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6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6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6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6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6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6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6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6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6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6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6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6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6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6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6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6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6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6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6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6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6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6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6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6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6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6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6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6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6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6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6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6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6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6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6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6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6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6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6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6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6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6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6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6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6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6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6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6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6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6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6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6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6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6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6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6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6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6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6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6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6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6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6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6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6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6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6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6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6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6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6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6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6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6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6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6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6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6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6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6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6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6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6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6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6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6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6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6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6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6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6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6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6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6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6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6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6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6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6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6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6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6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6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6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6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6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6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6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6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6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6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6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6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6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6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6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6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6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6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6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6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6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6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6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6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6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6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6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6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6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6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6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6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6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6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6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6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6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6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6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6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6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6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6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6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6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6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6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6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6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6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6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6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6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6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6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6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6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6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6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6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6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6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6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6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6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6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6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6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6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6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6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6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6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6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6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6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6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6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6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6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6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6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6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6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6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6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6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6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6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6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6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6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6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6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6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6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6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6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6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6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6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6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6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6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6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6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6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6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6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6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6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6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6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6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6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6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6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6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6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6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6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6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6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6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6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6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6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6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6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6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6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6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6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6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6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6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6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6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6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6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6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6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6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6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6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6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6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6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6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6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6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6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6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6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6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6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6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6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6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6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6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6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6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6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6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6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6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6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6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6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6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6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6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6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6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6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6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6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6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6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6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6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6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6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6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6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6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6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6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6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6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6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6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6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6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6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6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6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6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6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6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6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6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6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6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6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6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6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6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6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6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6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6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6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6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6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6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6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6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6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6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6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6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6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6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6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6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6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6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6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6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6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6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6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6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6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6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6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6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6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6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6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6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6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6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6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6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6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6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6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6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6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6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6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6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6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6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6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6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6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6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6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6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6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6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6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6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6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6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6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6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6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6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6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6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6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6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6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6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6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6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6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6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6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6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6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6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6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6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6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6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6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6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6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6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6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6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6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6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6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6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6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6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6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6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6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6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6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6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6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6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6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6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6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6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6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6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6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6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6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6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6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6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6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6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6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6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6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6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6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6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6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6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6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6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6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6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6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6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6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6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6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6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6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6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6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6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6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6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6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6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6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6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6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6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6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6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6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6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6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6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6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6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6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6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6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6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6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6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6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6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6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6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6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6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6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6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6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6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6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6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6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6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6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6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6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6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6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6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6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6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6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6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6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6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6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6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6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6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6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6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6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6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6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6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6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6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6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6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6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6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6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6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6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6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6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6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6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6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6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6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6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6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6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6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6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6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6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6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6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6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6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6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6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6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6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6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6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6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6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6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6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6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6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6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6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6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6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6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6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6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6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6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6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6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6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6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6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6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6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6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6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6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6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6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6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6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6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6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6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6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6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6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6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6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6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6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6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6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6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6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6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6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6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6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6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6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6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6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6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6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6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6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6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6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6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6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6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6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6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6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6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6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6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6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6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6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6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6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6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6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6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6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6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6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6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6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6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6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6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6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6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6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6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6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6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6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6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6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6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6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6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6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6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6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6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6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6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6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6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6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6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6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6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6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6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6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6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6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6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6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6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6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6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6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6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6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6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6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6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6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6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6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6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6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6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6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6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6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6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6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6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6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6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6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6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6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6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6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6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6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6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6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6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6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6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6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6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6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6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6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6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6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6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6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6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6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6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6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6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6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6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6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6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6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6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6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6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6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6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6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6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6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6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6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6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6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6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6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6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6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6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6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6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6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6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6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6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6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6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6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6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6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6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6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6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6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6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6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6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6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6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6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6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6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6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6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6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6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6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6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6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6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6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6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6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6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6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6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6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6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6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6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6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6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6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6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6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6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6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6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6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6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6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6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6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6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6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6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6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6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6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6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6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6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6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6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6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6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6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6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6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6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6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6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6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6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6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6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6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6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6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6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6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6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6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6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6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6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6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6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6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6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6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6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6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6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6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6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6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6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6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6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6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6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6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6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6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6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6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6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6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6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6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6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6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6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6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6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6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6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6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6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6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6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6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6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6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6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6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6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6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6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6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6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6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6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6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6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6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6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6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6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6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6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6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6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6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6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6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6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6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6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6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6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6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6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6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6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6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6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6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6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6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6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6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6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6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6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6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6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6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6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6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6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6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6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6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6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6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6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6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6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6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6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6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6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6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6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6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6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6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6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6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6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6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6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6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6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6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6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6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6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6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6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6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6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6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6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6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6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6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6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6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6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6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6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6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6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12" operator="equal">
      <formula>"canceled"</formula>
    </cfRule>
    <cfRule type="cellIs" dxfId="2" priority="13" operator="equal">
      <formula>"failed"</formula>
    </cfRule>
    <cfRule type="cellIs" dxfId="1" priority="14" operator="equal">
      <formula>"live"</formula>
    </cfRule>
    <cfRule type="cellIs" dxfId="0" priority="1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4990F-0593-4BB6-9C9B-91C395432BFF}">
  <dimension ref="A1:F14"/>
  <sheetViews>
    <sheetView zoomScaleNormal="100" workbookViewId="0">
      <selection activeCell="F20" sqref="F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8378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5A51-4896-4476-A83D-D01D718AEEC3}">
  <dimension ref="A1:E6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3" spans="1:5" x14ac:dyDescent="0.25">
      <c r="A3" s="12" t="s">
        <v>8363</v>
      </c>
      <c r="B3" s="12" t="s">
        <v>8360</v>
      </c>
    </row>
    <row r="4" spans="1:5" x14ac:dyDescent="0.25">
      <c r="A4" s="12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3" t="s">
        <v>8316</v>
      </c>
      <c r="B5" s="14">
        <v>70</v>
      </c>
      <c r="C5" s="14">
        <v>6</v>
      </c>
      <c r="D5" s="14">
        <v>238</v>
      </c>
      <c r="E5" s="14">
        <v>314</v>
      </c>
    </row>
    <row r="6" spans="1:5" x14ac:dyDescent="0.25">
      <c r="A6" s="13" t="s">
        <v>8361</v>
      </c>
      <c r="B6" s="14">
        <v>70</v>
      </c>
      <c r="C6" s="14">
        <v>6</v>
      </c>
      <c r="D6" s="14">
        <v>238</v>
      </c>
      <c r="E6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AF83A-789F-4676-8F2B-B59310702536}">
  <dimension ref="A1:F18"/>
  <sheetViews>
    <sheetView workbookViewId="0">
      <selection activeCell="D16" sqref="D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8378</v>
      </c>
    </row>
    <row r="2" spans="1:6" x14ac:dyDescent="0.25">
      <c r="A2" s="12" t="s">
        <v>8379</v>
      </c>
      <c r="B2" t="s">
        <v>8378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63365-6FD4-4EF7-BE89-AC1E02912CDA}">
  <dimension ref="A1:F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C39" sqref="C3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style="14" bestFit="1" customWidth="1"/>
    <col min="6" max="6" width="18" style="14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s="14" t="s">
        <v>8307</v>
      </c>
      <c r="F1" s="14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 s="14">
        <f>VLOOKUP(A2, Kickstarter!B:P, 15, FALSE)</f>
        <v>51.79</v>
      </c>
      <c r="F2" s="14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 s="14">
        <f>VLOOKUP(A3, Kickstarter!B:P, 15, FALSE)</f>
        <v>36.07</v>
      </c>
      <c r="F3" s="14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 s="14">
        <f>VLOOKUP(A4, Kickstarter!B:P, 15, FALSE)</f>
        <v>33.03</v>
      </c>
      <c r="F4" s="1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 4, FALSE)</f>
        <v>1168</v>
      </c>
      <c r="E5" s="14">
        <f>VLOOKUP(A5, Kickstarter!B:P, 15, FALSE)</f>
        <v>44.92</v>
      </c>
      <c r="F5" s="14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 4, FALSE)</f>
        <v>4137</v>
      </c>
      <c r="E6" s="14">
        <f>VLOOKUP(A6, Kickstarter!B:P, 15, FALSE)</f>
        <v>36.61</v>
      </c>
      <c r="F6" s="14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TRON</cp:lastModifiedBy>
  <dcterms:created xsi:type="dcterms:W3CDTF">2017-04-20T15:17:24Z</dcterms:created>
  <dcterms:modified xsi:type="dcterms:W3CDTF">2021-06-24T21:44:54Z</dcterms:modified>
</cp:coreProperties>
</file>