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d_mazza6_studenti_unisa_it/Documents/GPS/Documenti/Documentation/1 - Initiation/"/>
    </mc:Choice>
  </mc:AlternateContent>
  <xr:revisionPtr revIDLastSave="0" documentId="8_{33F7CD0D-77BD-45F2-BD45-5FECE8151AD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44" i="1"/>
  <c r="B51" i="1"/>
  <c r="B40" i="1"/>
  <c r="D36" i="1"/>
  <c r="C71" i="1"/>
  <c r="C70" i="1"/>
  <c r="C69" i="1"/>
  <c r="B60" i="1"/>
  <c r="C59" i="1"/>
  <c r="C60" i="1" s="1"/>
  <c r="C57" i="1"/>
  <c r="C56" i="1"/>
  <c r="C55" i="1"/>
  <c r="D39" i="1"/>
  <c r="D35" i="1"/>
  <c r="D34" i="1"/>
  <c r="D33" i="1"/>
  <c r="D32" i="1"/>
  <c r="E14" i="1"/>
  <c r="D14" i="1"/>
  <c r="C14" i="1"/>
  <c r="B14" i="1"/>
  <c r="B15" i="1" s="1"/>
  <c r="E10" i="1"/>
  <c r="D10" i="1"/>
  <c r="C10" i="1"/>
  <c r="B10" i="1"/>
  <c r="B9" i="1" l="1"/>
  <c r="B11" i="1" s="1"/>
  <c r="D59" i="1"/>
  <c r="D60" i="1" s="1"/>
  <c r="B71" i="1" s="1"/>
  <c r="D71" i="1" s="1"/>
  <c r="E71" i="1" s="1"/>
  <c r="D65" i="1" l="1"/>
  <c r="B47" i="1"/>
  <c r="C47" i="1" s="1"/>
  <c r="B17" i="1"/>
  <c r="B18" i="1" s="1"/>
  <c r="D77" i="1"/>
  <c r="D82" i="1" s="1"/>
  <c r="C77" i="1"/>
  <c r="C82" i="1" s="1"/>
  <c r="B77" i="1"/>
  <c r="B82" i="1" s="1"/>
  <c r="E9" i="1" l="1"/>
  <c r="E11" i="1" s="1"/>
  <c r="C65" i="1"/>
  <c r="D9" i="1" s="1"/>
  <c r="B65" i="1"/>
  <c r="C9" i="1" s="1"/>
  <c r="E82" i="1"/>
  <c r="E13" i="1" s="1"/>
  <c r="E15" i="1" s="1"/>
  <c r="E17" i="1" l="1"/>
  <c r="C11" i="1"/>
  <c r="B69" i="1"/>
  <c r="D69" i="1" s="1"/>
  <c r="E69" i="1" s="1"/>
  <c r="B70" i="1"/>
  <c r="D70" i="1" s="1"/>
  <c r="E70" i="1" s="1"/>
  <c r="D11" i="1"/>
  <c r="F11" i="1" l="1"/>
  <c r="D75" i="1"/>
  <c r="D80" i="1" s="1"/>
  <c r="C75" i="1"/>
  <c r="C80" i="1" s="1"/>
  <c r="B80" i="1"/>
  <c r="B76" i="1"/>
  <c r="B81" i="1" s="1"/>
  <c r="D76" i="1"/>
  <c r="D81" i="1" s="1"/>
  <c r="C76" i="1"/>
  <c r="C81" i="1" s="1"/>
  <c r="E81" i="1" l="1"/>
  <c r="D13" i="1" s="1"/>
  <c r="D15" i="1" s="1"/>
  <c r="D17" i="1" s="1"/>
  <c r="E80" i="1"/>
  <c r="C13" i="1" s="1"/>
  <c r="C15" i="1" s="1"/>
  <c r="C17" i="1" s="1"/>
  <c r="C18" i="1" s="1"/>
  <c r="D18" i="1" l="1"/>
  <c r="E18" i="1" s="1"/>
  <c r="F15" i="1"/>
  <c r="B20" i="1" s="1"/>
  <c r="F17" i="1" l="1"/>
</calcChain>
</file>

<file path=xl/sharedStrings.xml><?xml version="1.0" encoding="utf-8"?>
<sst xmlns="http://schemas.openxmlformats.org/spreadsheetml/2006/main" count="89" uniqueCount="71">
  <si>
    <t>Financial Analysis for beehAIve</t>
  </si>
  <si>
    <t>Created by: Nicolò Delogu, Dario Mazza</t>
  </si>
  <si>
    <t>Date:</t>
  </si>
  <si>
    <t>1/</t>
  </si>
  <si>
    <t>11/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</si>
  <si>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</si>
  <si>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</si>
  <si>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</si>
  <si>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</si>
  <si>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</si>
  <si>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</si>
  <si>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</si>
  <si>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</si>
  <si>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</si>
  <si>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</si>
  <si>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</si>
  <si>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</si>
  <si>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</si>
  <si>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2</t>
  </si>
  <si>
    <t>Assumptions</t>
  </si>
  <si>
    <t>Mean IoT Sensors prices</t>
  </si>
  <si>
    <t>Humidity / Temperature / Weight sensor</t>
  </si>
  <si>
    <t>per hive</t>
  </si>
  <si>
    <t>Production Costs</t>
  </si>
  <si>
    <t>Cost/Hour</t>
  </si>
  <si>
    <t>#Hours</t>
  </si>
  <si>
    <t>Partial</t>
  </si>
  <si>
    <t>1 Project Manager (Senior)</t>
  </si>
  <si>
    <t>2 Front-end developers</t>
  </si>
  <si>
    <t>2 Back-end developers (Senior)</t>
  </si>
  <si>
    <t>2 Data scientists</t>
  </si>
  <si>
    <t>#Kits</t>
  </si>
  <si>
    <t>#Installation costs</t>
  </si>
  <si>
    <t>IoT Kits for Testing</t>
  </si>
  <si>
    <t>Total Project Costs (applied in year 0)</t>
  </si>
  <si>
    <t>Maintenance Costs</t>
  </si>
  <si>
    <t>Per Year</t>
  </si>
  <si>
    <t xml:space="preserve">%20 * Total Project Production Costs </t>
  </si>
  <si>
    <t>Devices</t>
  </si>
  <si>
    <t>Total Budget for IoT Devices</t>
  </si>
  <si>
    <t>#Devices</t>
  </si>
  <si>
    <t>Customers's distribution</t>
  </si>
  <si>
    <t>Small</t>
  </si>
  <si>
    <t>Medium</t>
  </si>
  <si>
    <t>Large</t>
  </si>
  <si>
    <t>Total used devices</t>
  </si>
  <si>
    <t>Operative Costs</t>
  </si>
  <si>
    <t>Price/month</t>
  </si>
  <si>
    <t>Price/year</t>
  </si>
  <si>
    <t>Server w/ GPU</t>
  </si>
  <si>
    <t>Cloud Backup</t>
  </si>
  <si>
    <t>Technical Support</t>
  </si>
  <si>
    <t>Marketing</t>
  </si>
  <si>
    <t>Year 1</t>
  </si>
  <si>
    <t>Year 2</t>
  </si>
  <si>
    <t>Year 3</t>
  </si>
  <si>
    <t>Total Operative Costs</t>
  </si>
  <si>
    <t>Total Yearly Costs</t>
  </si>
  <si>
    <t>Hive cost/year</t>
  </si>
  <si>
    <t>Operative+Maintenance Costs</t>
  </si>
  <si>
    <t>HW Costs</t>
  </si>
  <si>
    <t>(Hardware related costs are covered within a period of 24 months)</t>
  </si>
  <si>
    <t>Subscriptions Plan (Monthly)</t>
  </si>
  <si>
    <t>Subscriptions Revenues(Monthly)</t>
  </si>
  <si>
    <t>Total (yearly)</t>
  </si>
  <si>
    <t xml:space="preserve">  </t>
  </si>
  <si>
    <t>1 Cyper Security Expert (Senior)</t>
  </si>
  <si>
    <t>Total + target profit (25%)</t>
  </si>
  <si>
    <r>
      <t xml:space="preserve">Small </t>
    </r>
    <r>
      <rPr>
        <sz val="10"/>
        <color theme="1"/>
        <rFont val="Arial"/>
        <family val="2"/>
      </rPr>
      <t>(max 15 devices)</t>
    </r>
  </si>
  <si>
    <r>
      <t xml:space="preserve">Medium </t>
    </r>
    <r>
      <rPr>
        <sz val="10"/>
        <color theme="1"/>
        <rFont val="Arial"/>
        <family val="2"/>
      </rPr>
      <t>(max 100 devices)</t>
    </r>
  </si>
  <si>
    <r>
      <t xml:space="preserve">Large </t>
    </r>
    <r>
      <rPr>
        <sz val="10"/>
        <color theme="1"/>
        <rFont val="Arial"/>
        <family val="2"/>
      </rPr>
      <t>(max 300 devices)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</si>
</sst>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"/>
  </numFmts>
  <fonts count="17">
    <font>
      <sz val="10"/>
      <color rgb="FF000000"/>
      <name val="Arial"/>
      <scheme val="minor"/>
    </font>
    <font>
      <b/>
      <sz val="18"/>
      <color theme="1"/>
      <name val="Arial"/>
    </font>
    <font>
      <b/>
      <sz val="12"/>
      <color theme="1"/>
      <name val="Arial"/>
    </font>
    <font>
      <sz val="12"/>
      <color theme="1"/>
      <name val="New york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B050"/>
      <name val="Arial"/>
    </font>
    <font>
      <sz val="10"/>
      <name val="Arial"/>
    </font>
    <font>
      <b/>
      <sz val="10"/>
      <color theme="9"/>
      <name val="Arial"/>
    </font>
    <font>
      <sz val="11"/>
      <color theme="1"/>
      <name val="Calibri"/>
    </font>
    <font>
      <b/>
      <sz val="10"/>
      <color rgb="FFFF0000"/>
      <name val="Arial"/>
    </font>
    <font>
      <b/>
      <sz val="10"/>
      <color theme="7"/>
      <name val="Arial"/>
    </font>
    <font>
      <sz val="11"/>
      <color rgb="FF31859B"/>
      <name val="Calibri"/>
    </font>
    <font>
      <sz val="11"/>
      <color rgb="FF006100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C6EFCE"/>
        <bgColor rgb="FFC6EFCE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5" fillId="0" borderId="1" xfId="0" applyFont="1" applyBorder="1"/>
    <xf numFmtId="10" fontId="6" fillId="0" borderId="2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9" fontId="5" fillId="0" borderId="0" xfId="0" applyNumberFormat="1" applyFont="1"/>
    <xf numFmtId="0" fontId="4" fillId="0" borderId="5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2" fontId="4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0" fontId="5" fillId="0" borderId="5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8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2" borderId="12" xfId="0" applyFont="1" applyFill="1" applyBorder="1"/>
    <xf numFmtId="164" fontId="9" fillId="2" borderId="13" xfId="0" applyNumberFormat="1" applyFont="1" applyFill="1" applyBorder="1"/>
    <xf numFmtId="0" fontId="9" fillId="2" borderId="14" xfId="0" applyFont="1" applyFill="1" applyBorder="1"/>
    <xf numFmtId="0" fontId="4" fillId="0" borderId="0" xfId="0" applyFont="1"/>
    <xf numFmtId="0" fontId="10" fillId="0" borderId="15" xfId="0" applyFont="1" applyBorder="1"/>
    <xf numFmtId="0" fontId="5" fillId="0" borderId="15" xfId="0" applyFont="1" applyBorder="1"/>
    <xf numFmtId="0" fontId="4" fillId="0" borderId="15" xfId="0" applyFont="1" applyBorder="1"/>
    <xf numFmtId="164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4" fillId="0" borderId="15" xfId="0" applyNumberFormat="1" applyFont="1" applyBorder="1"/>
    <xf numFmtId="0" fontId="9" fillId="2" borderId="15" xfId="0" applyFont="1" applyFill="1" applyBorder="1"/>
    <xf numFmtId="0" fontId="10" fillId="0" borderId="9" xfId="0" applyFont="1" applyBorder="1"/>
    <xf numFmtId="0" fontId="5" fillId="0" borderId="11" xfId="0" applyFont="1" applyBorder="1"/>
    <xf numFmtId="0" fontId="4" fillId="0" borderId="0" xfId="0" applyFont="1" applyAlignment="1">
      <alignment horizontal="left"/>
    </xf>
    <xf numFmtId="164" fontId="9" fillId="2" borderId="14" xfId="0" applyNumberFormat="1" applyFont="1" applyFill="1" applyBorder="1"/>
    <xf numFmtId="4" fontId="5" fillId="0" borderId="0" xfId="0" applyNumberFormat="1" applyFont="1"/>
    <xf numFmtId="0" fontId="11" fillId="0" borderId="9" xfId="0" applyFont="1" applyBorder="1"/>
    <xf numFmtId="0" fontId="5" fillId="0" borderId="10" xfId="0" applyFont="1" applyBorder="1"/>
    <xf numFmtId="0" fontId="4" fillId="0" borderId="12" xfId="0" applyFont="1" applyBorder="1"/>
    <xf numFmtId="164" fontId="4" fillId="0" borderId="13" xfId="0" applyNumberFormat="1" applyFont="1" applyBorder="1"/>
    <xf numFmtId="1" fontId="4" fillId="0" borderId="14" xfId="0" applyNumberFormat="1" applyFont="1" applyBorder="1" applyAlignment="1">
      <alignment horizontal="center" vertical="center"/>
    </xf>
    <xf numFmtId="0" fontId="4" fillId="0" borderId="19" xfId="0" applyFont="1" applyBorder="1"/>
    <xf numFmtId="0" fontId="4" fillId="0" borderId="20" xfId="0" applyFont="1" applyBorder="1"/>
    <xf numFmtId="0" fontId="9" fillId="2" borderId="2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0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64" fontId="4" fillId="0" borderId="5" xfId="0" applyNumberFormat="1" applyFont="1" applyBorder="1"/>
    <xf numFmtId="0" fontId="4" fillId="0" borderId="24" xfId="0" applyFont="1" applyBorder="1"/>
    <xf numFmtId="164" fontId="4" fillId="0" borderId="25" xfId="0" applyNumberFormat="1" applyFont="1" applyBorder="1"/>
    <xf numFmtId="0" fontId="4" fillId="0" borderId="26" xfId="0" applyFont="1" applyBorder="1"/>
    <xf numFmtId="164" fontId="5" fillId="0" borderId="0" xfId="0" applyNumberFormat="1" applyFont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4" fillId="0" borderId="26" xfId="0" applyNumberFormat="1" applyFont="1" applyBorder="1"/>
    <xf numFmtId="0" fontId="9" fillId="2" borderId="27" xfId="0" applyFont="1" applyFill="1" applyBorder="1"/>
    <xf numFmtId="164" fontId="9" fillId="2" borderId="28" xfId="0" applyNumberFormat="1" applyFont="1" applyFill="1" applyBorder="1"/>
    <xf numFmtId="164" fontId="9" fillId="2" borderId="29" xfId="0" applyNumberFormat="1" applyFont="1" applyFill="1" applyBorder="1"/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4" fillId="0" borderId="7" xfId="0" applyNumberFormat="1" applyFont="1" applyBorder="1"/>
    <xf numFmtId="164" fontId="4" fillId="0" borderId="8" xfId="0" applyNumberFormat="1" applyFont="1" applyBorder="1"/>
    <xf numFmtId="164" fontId="9" fillId="2" borderId="31" xfId="0" applyNumberFormat="1" applyFont="1" applyFill="1" applyBorder="1"/>
    <xf numFmtId="0" fontId="5" fillId="0" borderId="6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3" borderId="32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164" fontId="9" fillId="3" borderId="33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28" xfId="0" applyNumberFormat="1" applyFont="1" applyFill="1" applyBorder="1" applyAlignment="1">
      <alignment horizontal="center" vertical="center"/>
    </xf>
    <xf numFmtId="164" fontId="9" fillId="3" borderId="29" xfId="0" applyNumberFormat="1" applyFont="1" applyFill="1" applyBorder="1" applyAlignment="1">
      <alignment horizontal="center" vertical="center"/>
    </xf>
    <xf numFmtId="0" fontId="5" fillId="0" borderId="9" xfId="0" applyFont="1" applyBorder="1"/>
    <xf numFmtId="0" fontId="9" fillId="4" borderId="10" xfId="0" applyFont="1" applyFill="1" applyBorder="1" applyAlignment="1">
      <alignment horizontal="center"/>
    </xf>
    <xf numFmtId="0" fontId="9" fillId="4" borderId="34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164" fontId="9" fillId="4" borderId="15" xfId="0" applyNumberFormat="1" applyFont="1" applyFill="1" applyBorder="1" applyAlignment="1">
      <alignment horizontal="center"/>
    </xf>
    <xf numFmtId="164" fontId="9" fillId="4" borderId="35" xfId="0" applyNumberFormat="1" applyFont="1" applyFill="1" applyBorder="1" applyAlignment="1">
      <alignment horizontal="center"/>
    </xf>
    <xf numFmtId="164" fontId="13" fillId="5" borderId="20" xfId="0" applyNumberFormat="1" applyFont="1" applyFill="1" applyBorder="1"/>
    <xf numFmtId="164" fontId="9" fillId="4" borderId="15" xfId="0" applyNumberFormat="1" applyFont="1" applyFill="1" applyBorder="1"/>
    <xf numFmtId="164" fontId="9" fillId="4" borderId="35" xfId="0" applyNumberFormat="1" applyFont="1" applyFill="1" applyBorder="1"/>
    <xf numFmtId="164" fontId="9" fillId="4" borderId="13" xfId="0" applyNumberFormat="1" applyFont="1" applyFill="1" applyBorder="1"/>
    <xf numFmtId="164" fontId="9" fillId="4" borderId="21" xfId="0" applyNumberFormat="1" applyFont="1" applyFill="1" applyBorder="1"/>
    <xf numFmtId="164" fontId="13" fillId="5" borderId="14" xfId="0" applyNumberFormat="1" applyFont="1" applyFill="1" applyBorder="1"/>
    <xf numFmtId="0" fontId="0" fillId="0" borderId="33" xfId="0" applyBorder="1"/>
    <xf numFmtId="0" fontId="5" fillId="0" borderId="36" xfId="0" applyFont="1" applyBorder="1"/>
    <xf numFmtId="0" fontId="5" fillId="0" borderId="33" xfId="0" applyFont="1" applyBorder="1"/>
    <xf numFmtId="0" fontId="4" fillId="0" borderId="33" xfId="0" applyFont="1" applyBorder="1"/>
    <xf numFmtId="0" fontId="4" fillId="0" borderId="33" xfId="0" applyFont="1" applyBorder="1" applyAlignment="1">
      <alignment horizontal="center" vertical="center"/>
    </xf>
    <xf numFmtId="0" fontId="4" fillId="0" borderId="37" xfId="0" applyFont="1" applyBorder="1"/>
    <xf numFmtId="0" fontId="4" fillId="0" borderId="37" xfId="0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7" xfId="0" applyFont="1" applyBorder="1" applyAlignment="1">
      <alignment horizontal="right"/>
    </xf>
    <xf numFmtId="0" fontId="7" fillId="0" borderId="7" xfId="0" applyFont="1" applyBorder="1"/>
    <xf numFmtId="0" fontId="4" fillId="0" borderId="0" xfId="0" applyFont="1"/>
    <xf numFmtId="164" fontId="9" fillId="2" borderId="16" xfId="0" applyNumberFormat="1" applyFont="1" applyFill="1" applyBorder="1"/>
    <xf numFmtId="0" fontId="7" fillId="0" borderId="17" xfId="0" applyFont="1" applyBorder="1"/>
    <xf numFmtId="0" fontId="7" fillId="0" borderId="18" xfId="0" applyFont="1" applyBorder="1"/>
    <xf numFmtId="164" fontId="14" fillId="0" borderId="0" xfId="0" applyNumberFormat="1" applyFont="1"/>
    <xf numFmtId="0" fontId="15" fillId="2" borderId="30" xfId="0" applyFont="1" applyFill="1" applyBorder="1"/>
    <xf numFmtId="0" fontId="16" fillId="0" borderId="10" xfId="0" applyFont="1" applyBorder="1"/>
    <xf numFmtId="0" fontId="16" fillId="0" borderId="11" xfId="0" applyFont="1" applyBorder="1"/>
    <xf numFmtId="0" fontId="5" fillId="0" borderId="3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66675</xdr:rowOff>
    </xdr:from>
    <xdr:ext cx="2762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809220" y="2847975"/>
          <a:ext cx="276225" cy="38100"/>
          <a:chOff x="5207888" y="3780000"/>
          <a:chExt cx="2762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5207888" y="3780000"/>
            <a:ext cx="2762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333375</xdr:colOff>
      <xdr:row>18</xdr:row>
      <xdr:rowOff>38100</xdr:rowOff>
    </xdr:from>
    <xdr:ext cx="38100" cy="2857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7968615" y="3139440"/>
          <a:ext cx="38100" cy="285750"/>
          <a:chOff x="5346000" y="3637125"/>
          <a:chExt cx="0" cy="2857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>
            <a:off x="5346000" y="3637125"/>
            <a:ext cx="0" cy="2857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352425</xdr:colOff>
      <xdr:row>19</xdr:row>
      <xdr:rowOff>66675</xdr:rowOff>
    </xdr:from>
    <xdr:ext cx="2019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52425" y="3328035"/>
          <a:ext cx="2019300" cy="38100"/>
          <a:chOff x="4336350" y="3780000"/>
          <a:chExt cx="2019300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topLeftCell="A38" workbookViewId="0">
      <selection activeCell="A85" sqref="A85"/>
    </sheetView>
  </sheetViews>
  <sheetFormatPr defaultColWidth="12.5546875" defaultRowHeight="15" customHeight="1"/>
  <cols>
    <col min="1" max="1" width="56.44140625" customWidth="1"/>
    <col min="2" max="2" width="27.5546875" customWidth="1"/>
    <col min="3" max="3" width="27.33203125" customWidth="1"/>
    <col min="4" max="4" width="27.5546875" customWidth="1"/>
    <col min="5" max="5" width="23.88671875" customWidth="1"/>
    <col min="6" max="6" width="24" customWidth="1"/>
    <col min="7" max="26" width="8.5546875" customWidth="1"/>
  </cols>
  <sheetData>
    <row r="1" spans="1:7" ht="12.75" customHeight="1">
      <c r="A1" s="98" t="s">
        <v>0</v>
      </c>
      <c r="B1" s="99"/>
      <c r="C1" s="99"/>
      <c r="D1" s="99"/>
      <c r="E1" s="99"/>
      <c r="F1" s="99"/>
      <c r="G1" s="99"/>
    </row>
    <row r="2" spans="1:7" ht="12.75" customHeight="1">
      <c r="A2" s="2" t="s">
        <v>1</v>
      </c>
      <c r="B2" s="2"/>
      <c r="C2" s="2" t="s">
        <v>2</v>
      </c>
      <c r="D2" s="1" t="s">
        <v>3</v>
      </c>
      <c r="E2" s="1" t="s">
        <v>4</v>
      </c>
      <c r="F2" s="1">
        <v>2023</v>
      </c>
      <c r="G2" s="1"/>
    </row>
    <row r="3" spans="1:7" ht="30" customHeight="1">
      <c r="A3" s="100"/>
      <c r="B3" s="99"/>
      <c r="C3" s="99"/>
      <c r="D3" s="99"/>
      <c r="E3" s="99"/>
      <c r="F3" s="99"/>
      <c r="G3" s="99"/>
    </row>
    <row r="4" spans="1:7" ht="12.75" customHeight="1">
      <c r="A4" s="3"/>
      <c r="B4" s="3"/>
      <c r="C4" s="3"/>
      <c r="D4" s="3"/>
      <c r="E4" s="3"/>
      <c r="F4" s="3"/>
      <c r="G4" s="3"/>
    </row>
    <row r="5" spans="1:7" ht="12.75" customHeight="1">
      <c r="A5" s="4" t="s">
        <v>5</v>
      </c>
      <c r="B5" s="5">
        <v>0.08</v>
      </c>
      <c r="C5" s="6"/>
      <c r="D5" s="6"/>
      <c r="E5" s="6"/>
      <c r="F5" s="6"/>
      <c r="G5" s="7"/>
    </row>
    <row r="6" spans="1:7" ht="12.75" customHeight="1">
      <c r="A6" s="8"/>
      <c r="B6" s="9"/>
      <c r="G6" s="10"/>
    </row>
    <row r="7" spans="1:7" ht="12.75" customHeight="1">
      <c r="A7" s="11" t="s">
        <v>6</v>
      </c>
      <c r="D7" s="12" t="s">
        <v>7</v>
      </c>
      <c r="F7" s="12"/>
      <c r="G7" s="10"/>
    </row>
    <row r="8" spans="1:7" ht="12.75" customHeight="1">
      <c r="A8" s="11"/>
      <c r="B8" s="13">
        <v>0</v>
      </c>
      <c r="C8" s="13">
        <v>1</v>
      </c>
      <c r="D8" s="13">
        <v>2</v>
      </c>
      <c r="E8" s="13">
        <v>3</v>
      </c>
      <c r="F8" s="12" t="s">
        <v>8</v>
      </c>
      <c r="G8" s="10"/>
    </row>
    <row r="9" spans="1:7" ht="12.75" customHeight="1">
      <c r="A9" s="11" t="s">
        <v>9</v>
      </c>
      <c r="B9" s="14">
        <f>B40</f>
        <v>63637</v>
      </c>
      <c r="C9" s="14">
        <f>B65+(B25*B51/3)+(D36/3)</f>
        <v>99167.733333333337</v>
      </c>
      <c r="D9" s="14">
        <f>C65+(B25*B51/3)+(D36/3)</f>
        <v>96667.733333333337</v>
      </c>
      <c r="E9" s="14">
        <f>D65+(B25*B51/3)+(D36/3)</f>
        <v>94792.733333333337</v>
      </c>
      <c r="G9" s="10"/>
    </row>
    <row r="10" spans="1:7" ht="12.75" customHeight="1">
      <c r="A10" s="11" t="s">
        <v>10</v>
      </c>
      <c r="B10" s="15">
        <f t="shared" ref="B10:E10" si="0">ROUND(1/(1+$B$5)^B$8,2)</f>
        <v>1</v>
      </c>
      <c r="C10" s="15">
        <f t="shared" si="0"/>
        <v>0.93</v>
      </c>
      <c r="D10" s="15">
        <f t="shared" si="0"/>
        <v>0.86</v>
      </c>
      <c r="E10" s="15">
        <f t="shared" si="0"/>
        <v>0.79</v>
      </c>
      <c r="G10" s="10"/>
    </row>
    <row r="11" spans="1:7" ht="12.75" customHeight="1">
      <c r="A11" s="8" t="s">
        <v>11</v>
      </c>
      <c r="B11" s="16">
        <f t="shared" ref="B11:E11" si="1">B9*B10</f>
        <v>63637</v>
      </c>
      <c r="C11" s="16">
        <f t="shared" si="1"/>
        <v>92225.992000000013</v>
      </c>
      <c r="D11" s="16">
        <f t="shared" si="1"/>
        <v>83134.250666666674</v>
      </c>
      <c r="E11" s="16">
        <f t="shared" si="1"/>
        <v>74886.259333333335</v>
      </c>
      <c r="F11" s="16">
        <f>SUM(B11:E11)</f>
        <v>313883.50200000004</v>
      </c>
      <c r="G11" s="10"/>
    </row>
    <row r="12" spans="1:7" ht="12.75" customHeight="1">
      <c r="A12" s="11"/>
      <c r="G12" s="10"/>
    </row>
    <row r="13" spans="1:7" ht="12.75" customHeight="1">
      <c r="A13" s="11" t="s">
        <v>12</v>
      </c>
      <c r="B13" s="14">
        <v>0</v>
      </c>
      <c r="C13" s="14">
        <f>E80</f>
        <v>159009.25000000003</v>
      </c>
      <c r="D13" s="14">
        <f>E81</f>
        <v>155884.25</v>
      </c>
      <c r="E13" s="14">
        <f>E82</f>
        <v>137631.25000000003</v>
      </c>
      <c r="G13" s="10"/>
    </row>
    <row r="14" spans="1:7" ht="12.75" customHeight="1">
      <c r="A14" s="11" t="s">
        <v>10</v>
      </c>
      <c r="B14" s="15">
        <f t="shared" ref="B14:E14" si="2">ROUND(1/(1+$B$5)^B$8,2)</f>
        <v>1</v>
      </c>
      <c r="C14" s="15">
        <f t="shared" si="2"/>
        <v>0.93</v>
      </c>
      <c r="D14" s="15">
        <f t="shared" si="2"/>
        <v>0.86</v>
      </c>
      <c r="E14" s="15">
        <f t="shared" si="2"/>
        <v>0.79</v>
      </c>
      <c r="G14" s="10"/>
    </row>
    <row r="15" spans="1:7" ht="12.75" customHeight="1">
      <c r="A15" s="8" t="s">
        <v>13</v>
      </c>
      <c r="B15" s="16">
        <f t="shared" ref="B15:E15" si="3">B13*B14</f>
        <v>0</v>
      </c>
      <c r="C15" s="16">
        <f t="shared" si="3"/>
        <v>147878.60250000004</v>
      </c>
      <c r="D15" s="16">
        <f t="shared" si="3"/>
        <v>134060.45499999999</v>
      </c>
      <c r="E15" s="16">
        <f t="shared" si="3"/>
        <v>108728.68750000003</v>
      </c>
      <c r="F15" s="16">
        <f>SUM(B15:E15)</f>
        <v>390667.745</v>
      </c>
      <c r="G15" s="10"/>
    </row>
    <row r="16" spans="1:7" ht="12.75" customHeight="1">
      <c r="A16" s="11"/>
      <c r="G16" s="10"/>
    </row>
    <row r="17" spans="1:26" ht="12.75" customHeight="1">
      <c r="A17" s="11" t="s">
        <v>14</v>
      </c>
      <c r="B17" s="17">
        <f t="shared" ref="B17:F17" si="4">B15-B11</f>
        <v>-63637</v>
      </c>
      <c r="C17" s="17">
        <f t="shared" si="4"/>
        <v>55652.610500000024</v>
      </c>
      <c r="D17" s="17">
        <f t="shared" si="4"/>
        <v>50926.204333333313</v>
      </c>
      <c r="E17" s="17">
        <f t="shared" si="4"/>
        <v>33842.428166666694</v>
      </c>
      <c r="F17" s="16">
        <f t="shared" si="4"/>
        <v>76784.242999999959</v>
      </c>
      <c r="G17" s="18" t="s">
        <v>15</v>
      </c>
    </row>
    <row r="18" spans="1:26" ht="12.75" customHeight="1">
      <c r="A18" s="11" t="s">
        <v>16</v>
      </c>
      <c r="B18" s="17">
        <f>B17</f>
        <v>-63637</v>
      </c>
      <c r="C18" s="17">
        <f t="shared" ref="C18:E18" si="5">B18+C17</f>
        <v>-7984.3894999999757</v>
      </c>
      <c r="D18" s="17">
        <f t="shared" si="5"/>
        <v>42941.814833333337</v>
      </c>
      <c r="E18" s="17">
        <f t="shared" si="5"/>
        <v>76784.243000000031</v>
      </c>
      <c r="F18" s="17"/>
      <c r="G18" s="10"/>
    </row>
    <row r="19" spans="1:26" ht="12.75" customHeight="1">
      <c r="A19" s="11"/>
      <c r="G19" s="10"/>
    </row>
    <row r="20" spans="1:26" ht="12.75" customHeight="1">
      <c r="A20" s="8" t="s">
        <v>17</v>
      </c>
      <c r="B20" s="9">
        <f>(F15-F11)/F11</f>
        <v>0.24462656530447385</v>
      </c>
      <c r="G20" s="10"/>
    </row>
    <row r="21" spans="1:26" ht="12.75" customHeight="1">
      <c r="A21" s="19"/>
      <c r="B21" s="101" t="s">
        <v>18</v>
      </c>
      <c r="C21" s="102"/>
      <c r="D21" s="102"/>
      <c r="E21" s="20"/>
      <c r="F21" s="20"/>
      <c r="G21" s="21"/>
    </row>
    <row r="22" spans="1:26" ht="12.75" customHeight="1"/>
    <row r="23" spans="1:26" ht="12.75" customHeight="1">
      <c r="A23" s="12" t="s">
        <v>19</v>
      </c>
    </row>
    <row r="24" spans="1:26" ht="12.75" customHeight="1">
      <c r="A24" s="22" t="s">
        <v>20</v>
      </c>
      <c r="B24" s="23"/>
      <c r="C24" s="24"/>
    </row>
    <row r="25" spans="1:26" ht="12.75" customHeight="1">
      <c r="A25" s="25" t="s">
        <v>21</v>
      </c>
      <c r="B25" s="26">
        <v>32.6</v>
      </c>
      <c r="C25" s="27" t="s">
        <v>22</v>
      </c>
    </row>
    <row r="26" spans="1:26" ht="12.75" customHeight="1"/>
    <row r="27" spans="1:26" ht="12.75" customHeight="1"/>
    <row r="28" spans="1:26" ht="12.75" customHeight="1">
      <c r="B28" s="103"/>
      <c r="C28" s="9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/>
    <row r="30" spans="1:26" ht="12.75" customHeight="1"/>
    <row r="31" spans="1:26" ht="12.75" customHeight="1">
      <c r="A31" s="29" t="s">
        <v>23</v>
      </c>
      <c r="B31" s="30" t="s">
        <v>24</v>
      </c>
      <c r="C31" s="30" t="s">
        <v>25</v>
      </c>
      <c r="D31" s="30" t="s">
        <v>26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>
      <c r="A32" s="31" t="s">
        <v>27</v>
      </c>
      <c r="B32" s="32">
        <v>22</v>
      </c>
      <c r="C32" s="33">
        <v>605</v>
      </c>
      <c r="D32" s="32">
        <f t="shared" ref="D32:D35" si="6">B32*C32</f>
        <v>13310</v>
      </c>
    </row>
    <row r="33" spans="1:26" ht="12.75" customHeight="1">
      <c r="A33" s="31" t="s">
        <v>28</v>
      </c>
      <c r="B33" s="34">
        <v>17</v>
      </c>
      <c r="C33" s="33">
        <v>739</v>
      </c>
      <c r="D33" s="32">
        <f t="shared" si="6"/>
        <v>12563</v>
      </c>
    </row>
    <row r="34" spans="1:26" ht="12.75" customHeight="1">
      <c r="A34" s="31" t="s">
        <v>29</v>
      </c>
      <c r="B34" s="34">
        <v>22</v>
      </c>
      <c r="C34" s="33">
        <v>740</v>
      </c>
      <c r="D34" s="32">
        <f t="shared" si="6"/>
        <v>16280</v>
      </c>
    </row>
    <row r="35" spans="1:26" ht="12.75" customHeight="1">
      <c r="A35" s="31" t="s">
        <v>30</v>
      </c>
      <c r="B35" s="34">
        <v>19</v>
      </c>
      <c r="C35" s="33">
        <v>740</v>
      </c>
      <c r="D35" s="32">
        <f t="shared" si="6"/>
        <v>14060</v>
      </c>
    </row>
    <row r="36" spans="1:26" s="90" customFormat="1" ht="12.75" customHeight="1">
      <c r="A36" s="95" t="s">
        <v>66</v>
      </c>
      <c r="B36" s="32">
        <v>21</v>
      </c>
      <c r="C36" s="96">
        <v>357</v>
      </c>
      <c r="D36" s="97">
        <f>B36*(C36-16)</f>
        <v>7161</v>
      </c>
    </row>
    <row r="37" spans="1:26" s="90" customFormat="1" ht="12.75" customHeight="1">
      <c r="A37" s="93"/>
      <c r="B37" s="93"/>
      <c r="C37" s="94"/>
      <c r="D37" s="93"/>
    </row>
    <row r="38" spans="1:26" s="90" customFormat="1" ht="12.75" customHeight="1">
      <c r="A38" s="91"/>
      <c r="B38" s="111" t="s">
        <v>31</v>
      </c>
      <c r="C38" s="111" t="s">
        <v>32</v>
      </c>
      <c r="D38" s="111" t="s">
        <v>26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2.75" customHeight="1">
      <c r="A39" s="31" t="s">
        <v>33</v>
      </c>
      <c r="B39" s="33">
        <v>5</v>
      </c>
      <c r="C39" s="32">
        <v>20</v>
      </c>
      <c r="D39" s="32">
        <f>(B25+C39)*B39</f>
        <v>263</v>
      </c>
    </row>
    <row r="40" spans="1:26" ht="12.75" customHeight="1">
      <c r="A40" s="35" t="s">
        <v>34</v>
      </c>
      <c r="B40" s="104">
        <f>SUM(D32:D36)+D39</f>
        <v>63637</v>
      </c>
      <c r="C40" s="105"/>
      <c r="D40" s="106"/>
    </row>
    <row r="41" spans="1:26" ht="12.75" customHeight="1">
      <c r="A41" s="12"/>
      <c r="B41" s="12"/>
      <c r="C41" s="12"/>
      <c r="D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>
      <c r="E42" s="12"/>
      <c r="F42" s="12"/>
    </row>
    <row r="43" spans="1:26" ht="12.75" customHeight="1">
      <c r="A43" s="36" t="s">
        <v>35</v>
      </c>
      <c r="B43" s="37" t="s">
        <v>36</v>
      </c>
      <c r="C43" s="12"/>
      <c r="F43" s="38"/>
    </row>
    <row r="44" spans="1:26" ht="12.75" customHeight="1">
      <c r="A44" s="25" t="s">
        <v>37</v>
      </c>
      <c r="B44" s="39">
        <f>0.2*B40</f>
        <v>12727.400000000001</v>
      </c>
      <c r="D44" s="12"/>
    </row>
    <row r="45" spans="1:26" ht="12.75" customHeight="1">
      <c r="E45" s="12"/>
      <c r="F45" s="40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>
      <c r="A46" s="41" t="s">
        <v>38</v>
      </c>
      <c r="B46" s="42" t="s">
        <v>39</v>
      </c>
      <c r="C46" s="37" t="s">
        <v>40</v>
      </c>
      <c r="G46" s="28"/>
    </row>
    <row r="47" spans="1:26" ht="12.75" customHeight="1">
      <c r="A47" s="43"/>
      <c r="B47" s="44">
        <f>(250000-B40)</f>
        <v>186363</v>
      </c>
      <c r="C47" s="45">
        <f>B47/B25</f>
        <v>5716.6564417177915</v>
      </c>
      <c r="G47" s="28"/>
    </row>
    <row r="48" spans="1:26" ht="12.75" customHeight="1">
      <c r="A48" s="12"/>
      <c r="B48" s="12"/>
      <c r="C48" s="12"/>
      <c r="D48" s="12"/>
      <c r="E48" s="12"/>
      <c r="G48" s="28"/>
    </row>
    <row r="49" spans="1:6" ht="12.75" customHeight="1">
      <c r="A49" s="41" t="s">
        <v>41</v>
      </c>
      <c r="B49" s="109" t="s">
        <v>68</v>
      </c>
      <c r="C49" s="109" t="s">
        <v>69</v>
      </c>
      <c r="D49" s="110" t="s">
        <v>70</v>
      </c>
      <c r="E49" s="12"/>
      <c r="F49" s="12"/>
    </row>
    <row r="50" spans="1:6" ht="12.75" customHeight="1">
      <c r="A50" s="46"/>
      <c r="B50" s="31">
        <v>200</v>
      </c>
      <c r="C50" s="31">
        <v>20</v>
      </c>
      <c r="D50" s="47">
        <v>2</v>
      </c>
    </row>
    <row r="51" spans="1:6" ht="12.75" customHeight="1">
      <c r="A51" s="25" t="s">
        <v>45</v>
      </c>
      <c r="B51" s="48">
        <f>(B50*15)+(C50*100)+(D50*300)</f>
        <v>5600</v>
      </c>
      <c r="C51" s="49"/>
      <c r="D51" s="50"/>
      <c r="F51" s="12"/>
    </row>
    <row r="52" spans="1:6" ht="12.75" customHeight="1"/>
    <row r="53" spans="1:6" ht="12.75" customHeight="1"/>
    <row r="54" spans="1:6" ht="12.75" customHeight="1">
      <c r="A54" s="51" t="s">
        <v>46</v>
      </c>
      <c r="B54" s="52" t="s">
        <v>47</v>
      </c>
      <c r="C54" s="52" t="s">
        <v>48</v>
      </c>
      <c r="D54" s="53"/>
    </row>
    <row r="55" spans="1:6" ht="12.75" customHeight="1">
      <c r="A55" s="11" t="s">
        <v>49</v>
      </c>
      <c r="B55" s="17">
        <v>500</v>
      </c>
      <c r="C55" s="17">
        <f t="shared" ref="C55:C57" si="7">B55*12</f>
        <v>6000</v>
      </c>
      <c r="D55" s="54"/>
      <c r="E55" s="12"/>
    </row>
    <row r="56" spans="1:6" ht="12.75" customHeight="1">
      <c r="A56" s="11" t="s">
        <v>50</v>
      </c>
      <c r="B56" s="17">
        <v>100</v>
      </c>
      <c r="C56" s="17">
        <f t="shared" si="7"/>
        <v>1200</v>
      </c>
      <c r="D56" s="10"/>
      <c r="E56" s="17"/>
    </row>
    <row r="57" spans="1:6" ht="12.75" customHeight="1">
      <c r="A57" s="55" t="s">
        <v>51</v>
      </c>
      <c r="B57" s="56">
        <v>500</v>
      </c>
      <c r="C57" s="56">
        <f t="shared" si="7"/>
        <v>6000</v>
      </c>
      <c r="D57" s="57"/>
    </row>
    <row r="58" spans="1:6" ht="12.75" customHeight="1">
      <c r="A58" s="11" t="s">
        <v>52</v>
      </c>
      <c r="B58" s="58" t="s">
        <v>53</v>
      </c>
      <c r="C58" s="58" t="s">
        <v>54</v>
      </c>
      <c r="D58" s="59" t="s">
        <v>55</v>
      </c>
    </row>
    <row r="59" spans="1:6" ht="12.75" customHeight="1">
      <c r="A59" s="55"/>
      <c r="B59" s="56">
        <v>10000</v>
      </c>
      <c r="C59" s="56">
        <f t="shared" ref="C59:D59" si="8">B59-(B59*0.25)</f>
        <v>7500</v>
      </c>
      <c r="D59" s="60">
        <f t="shared" si="8"/>
        <v>5625</v>
      </c>
    </row>
    <row r="60" spans="1:6" ht="12.75" customHeight="1">
      <c r="A60" s="61" t="s">
        <v>56</v>
      </c>
      <c r="B60" s="62">
        <f>(B55+B56+B57)*12+B59</f>
        <v>23200</v>
      </c>
      <c r="C60" s="62">
        <f>(B55+B56+B57)*12+C59</f>
        <v>20700</v>
      </c>
      <c r="D60" s="63">
        <f>(B55+B56+B57)*12+D59</f>
        <v>18825</v>
      </c>
    </row>
    <row r="61" spans="1:6" ht="12.75" customHeight="1"/>
    <row r="62" spans="1:6" ht="12.75" customHeight="1"/>
    <row r="63" spans="1:6" ht="12.75" customHeight="1"/>
    <row r="64" spans="1:6" ht="12.75" customHeight="1">
      <c r="A64" s="51" t="s">
        <v>57</v>
      </c>
      <c r="B64" s="64" t="s">
        <v>53</v>
      </c>
      <c r="C64" s="64" t="s">
        <v>54</v>
      </c>
      <c r="D64" s="65" t="s">
        <v>55</v>
      </c>
    </row>
    <row r="65" spans="1:6" ht="12.75" customHeight="1">
      <c r="A65" s="19"/>
      <c r="B65" s="66">
        <f>B60+B44</f>
        <v>35927.4</v>
      </c>
      <c r="C65" s="66">
        <f>C60+B44</f>
        <v>33427.4</v>
      </c>
      <c r="D65" s="67">
        <f>D60+B44</f>
        <v>31552.400000000001</v>
      </c>
    </row>
    <row r="66" spans="1:6" ht="12.75" customHeight="1"/>
    <row r="67" spans="1:6" ht="12.75" customHeight="1"/>
    <row r="68" spans="1:6" ht="12.75" customHeight="1">
      <c r="A68" s="4" t="s">
        <v>58</v>
      </c>
      <c r="B68" s="52" t="s">
        <v>59</v>
      </c>
      <c r="C68" s="52" t="s">
        <v>60</v>
      </c>
      <c r="D68" s="52" t="s">
        <v>8</v>
      </c>
      <c r="E68" s="108" t="s">
        <v>67</v>
      </c>
    </row>
    <row r="69" spans="1:6" ht="12.75" customHeight="1">
      <c r="A69" s="8" t="s">
        <v>53</v>
      </c>
      <c r="B69" s="17">
        <f>B65/B51</f>
        <v>6.4156071428571435</v>
      </c>
      <c r="C69" s="17">
        <f>B25/2</f>
        <v>16.3</v>
      </c>
      <c r="D69" s="107">
        <f>B69+C69</f>
        <v>22.715607142857145</v>
      </c>
      <c r="E69" s="68">
        <f>D69*1.25</f>
        <v>28.394508928571433</v>
      </c>
    </row>
    <row r="70" spans="1:6" ht="12.75" customHeight="1">
      <c r="A70" s="8" t="s">
        <v>54</v>
      </c>
      <c r="B70" s="17">
        <f>C65/B51</f>
        <v>5.9691785714285714</v>
      </c>
      <c r="C70" s="17">
        <f>B25/2</f>
        <v>16.3</v>
      </c>
      <c r="D70" s="17">
        <f>B70+C69</f>
        <v>22.269178571428572</v>
      </c>
      <c r="E70" s="68">
        <f>D70*1.25</f>
        <v>27.836473214285714</v>
      </c>
    </row>
    <row r="71" spans="1:6" ht="12.75" customHeight="1">
      <c r="A71" s="69" t="s">
        <v>55</v>
      </c>
      <c r="B71" s="66">
        <f>D60/B51</f>
        <v>3.3616071428571428</v>
      </c>
      <c r="C71" s="66">
        <f>B25/2</f>
        <v>16.3</v>
      </c>
      <c r="D71" s="66">
        <f>B71+C69</f>
        <v>19.661607142857143</v>
      </c>
      <c r="E71" s="63">
        <f>D71*1.25</f>
        <v>24.577008928571431</v>
      </c>
    </row>
    <row r="72" spans="1:6" ht="12.75" customHeight="1">
      <c r="A72" s="70" t="s">
        <v>61</v>
      </c>
      <c r="B72" s="70"/>
      <c r="C72" s="70"/>
      <c r="D72" s="70"/>
    </row>
    <row r="73" spans="1:6" ht="12.75" customHeight="1">
      <c r="E73" s="71"/>
    </row>
    <row r="74" spans="1:6" ht="12.75" customHeight="1">
      <c r="A74" s="4" t="s">
        <v>62</v>
      </c>
      <c r="B74" s="72" t="s">
        <v>42</v>
      </c>
      <c r="C74" s="72" t="s">
        <v>43</v>
      </c>
      <c r="D74" s="73" t="s">
        <v>44</v>
      </c>
      <c r="F74" s="12"/>
    </row>
    <row r="75" spans="1:6" ht="12.75" customHeight="1">
      <c r="A75" s="11" t="s">
        <v>53</v>
      </c>
      <c r="B75" s="74">
        <f>(E69/12)*15</f>
        <v>35.493136160714293</v>
      </c>
      <c r="C75" s="74">
        <f t="shared" ref="C75:C77" si="9">(E69/12)*100</f>
        <v>236.62090773809527</v>
      </c>
      <c r="D75" s="75">
        <f t="shared" ref="D75:D77" si="10">(E69/12)*300</f>
        <v>709.86272321428578</v>
      </c>
      <c r="F75" s="28"/>
    </row>
    <row r="76" spans="1:6" ht="12.75" customHeight="1">
      <c r="A76" s="11" t="s">
        <v>54</v>
      </c>
      <c r="B76" s="74">
        <f t="shared" ref="B75:B77" si="11">(E70/12)*15</f>
        <v>34.79559151785714</v>
      </c>
      <c r="C76" s="74">
        <f t="shared" si="9"/>
        <v>231.97061011904759</v>
      </c>
      <c r="D76" s="75">
        <f t="shared" si="10"/>
        <v>695.91183035714278</v>
      </c>
    </row>
    <row r="77" spans="1:6" ht="12.75" customHeight="1">
      <c r="A77" s="19" t="s">
        <v>55</v>
      </c>
      <c r="B77" s="76">
        <f t="shared" si="11"/>
        <v>30.721261160714288</v>
      </c>
      <c r="C77" s="76">
        <f t="shared" si="9"/>
        <v>204.80840773809524</v>
      </c>
      <c r="D77" s="77">
        <f t="shared" si="10"/>
        <v>614.42522321428578</v>
      </c>
    </row>
    <row r="78" spans="1:6" ht="12.75" customHeight="1"/>
    <row r="79" spans="1:6" ht="12.75" customHeight="1">
      <c r="A79" s="78" t="s">
        <v>63</v>
      </c>
      <c r="B79" s="79" t="s">
        <v>42</v>
      </c>
      <c r="C79" s="79" t="s">
        <v>43</v>
      </c>
      <c r="D79" s="80" t="s">
        <v>44</v>
      </c>
      <c r="E79" s="81" t="s">
        <v>64</v>
      </c>
    </row>
    <row r="80" spans="1:6" ht="12.75" customHeight="1">
      <c r="A80" s="46" t="s">
        <v>53</v>
      </c>
      <c r="B80" s="82">
        <f t="shared" ref="B80:D80" si="12">B75*B50</f>
        <v>7098.6272321428587</v>
      </c>
      <c r="C80" s="82">
        <f t="shared" si="12"/>
        <v>4732.4181547619055</v>
      </c>
      <c r="D80" s="83">
        <f t="shared" si="12"/>
        <v>1419.7254464285716</v>
      </c>
      <c r="E80" s="84">
        <f t="shared" ref="E80:E82" si="13">SUM(B80:D80)*12</f>
        <v>159009.25000000003</v>
      </c>
    </row>
    <row r="81" spans="1:6" ht="12.75" customHeight="1">
      <c r="A81" s="46" t="s">
        <v>54</v>
      </c>
      <c r="B81" s="85">
        <f t="shared" ref="B81:D81" si="14">B76*B50</f>
        <v>6959.1183035714284</v>
      </c>
      <c r="C81" s="85">
        <f t="shared" si="14"/>
        <v>4639.4122023809523</v>
      </c>
      <c r="D81" s="86">
        <f t="shared" si="14"/>
        <v>1391.8236607142856</v>
      </c>
      <c r="E81" s="84">
        <f t="shared" si="13"/>
        <v>155884.25</v>
      </c>
      <c r="F81" s="17"/>
    </row>
    <row r="82" spans="1:6" ht="12.75" customHeight="1">
      <c r="A82" s="43" t="s">
        <v>55</v>
      </c>
      <c r="B82" s="87">
        <f t="shared" ref="B82:D82" si="15">B77*B50</f>
        <v>6144.2522321428578</v>
      </c>
      <c r="C82" s="87">
        <f t="shared" si="15"/>
        <v>4096.1681547619046</v>
      </c>
      <c r="D82" s="88">
        <f t="shared" si="15"/>
        <v>1228.8504464285716</v>
      </c>
      <c r="E82" s="89">
        <f t="shared" si="13"/>
        <v>137631.25000000003</v>
      </c>
    </row>
    <row r="83" spans="1:6" ht="12.75" customHeight="1"/>
    <row r="84" spans="1:6" ht="12.75" customHeight="1"/>
    <row r="85" spans="1:6" ht="12.75" customHeight="1"/>
    <row r="86" spans="1:6" ht="12.75" customHeight="1"/>
    <row r="87" spans="1:6" ht="12.75" customHeight="1"/>
    <row r="88" spans="1:6" ht="12.75" customHeight="1"/>
    <row r="89" spans="1:6" ht="12.75" customHeight="1"/>
    <row r="90" spans="1:6" ht="12.75" customHeight="1"/>
    <row r="91" spans="1:6" ht="12.75" customHeight="1"/>
    <row r="92" spans="1:6" ht="12.75" customHeight="1">
      <c r="E92" s="28" t="s">
        <v>65</v>
      </c>
    </row>
    <row r="93" spans="1:6" ht="12.75" customHeight="1"/>
    <row r="94" spans="1:6" ht="12.75" customHeight="1"/>
    <row r="95" spans="1:6" ht="12.75" customHeight="1"/>
    <row r="96" spans="1: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5">
    <mergeCell ref="A1:G1"/>
    <mergeCell ref="A3:G3"/>
    <mergeCell ref="B21:D21"/>
    <mergeCell ref="B28:C28"/>
    <mergeCell ref="B40:D40"/>
  </mergeCells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546875" defaultRowHeight="15" customHeight="1"/>
  <cols>
    <col min="1" max="26" width="8.55468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25" workbookViewId="0">
      <selection activeCell="G51" sqref="G51"/>
    </sheetView>
  </sheetViews>
  <sheetFormatPr defaultColWidth="12.5546875" defaultRowHeight="15" customHeight="1"/>
  <cols>
    <col min="1" max="24" width="8.55468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6" ma:contentTypeDescription="Creare un nuovo documento." ma:contentTypeScope="" ma:versionID="b1f7f859887a576099417fc5e54e3dcc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73c609e8a9a9f77cd2bc46b773ca697c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2C06C996-7475-4C95-AFF9-A3C9A39E7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C0DE6-0350-4542-8C70-EEA4D6D4CD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254089-101E-4994-8F46-62327EAFD11F}">
  <ds:schemaRefs>
    <ds:schemaRef ds:uri="25379ffa-1be3-456e-9b5c-56d073d73bb0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1651439-6e46-4f78-9acb-4a905f92618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MAZZA</cp:lastModifiedBy>
  <dcterms:created xsi:type="dcterms:W3CDTF">2024-01-22T18:25:28Z</dcterms:created>
  <dcterms:modified xsi:type="dcterms:W3CDTF">2024-01-22T18:25:28Z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